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5" yWindow="-30" windowWidth="12975" windowHeight="8175" tabRatio="843" activeTab="5"/>
  </bookViews>
  <sheets>
    <sheet name="instructions" sheetId="1" r:id="rId1"/>
    <sheet name="inputPrYr" sheetId="2" r:id="rId2"/>
    <sheet name="inputOth" sheetId="20" r:id="rId3"/>
    <sheet name="inputBudSum" sheetId="32" r:id="rId4"/>
    <sheet name="cert" sheetId="3" r:id="rId5"/>
    <sheet name="SignCert" sheetId="39" r:id="rId6"/>
    <sheet name="computation" sheetId="14" r:id="rId7"/>
    <sheet name="mvalloc" sheetId="4" r:id="rId8"/>
    <sheet name="transfer" sheetId="21" r:id="rId9"/>
    <sheet name="TransferStatutes" sheetId="24" r:id="rId10"/>
    <sheet name="debt" sheetId="13" r:id="rId11"/>
    <sheet name="Library Grant" sheetId="35" r:id="rId12"/>
    <sheet name="gen" sheetId="6" r:id="rId13"/>
    <sheet name="DebtSvs-Library" sheetId="36" r:id="rId14"/>
    <sheet name="road" sheetId="7" r:id="rId15"/>
    <sheet name="SpecRoad&amp;Noxious" sheetId="8" r:id="rId16"/>
    <sheet name="levypage10" sheetId="9" r:id="rId17"/>
    <sheet name="levypage11" sheetId="10" r:id="rId18"/>
    <sheet name="levypage12" sheetId="11" r:id="rId19"/>
    <sheet name="nolevypage13" sheetId="17" r:id="rId20"/>
    <sheet name="nolevypage14" sheetId="18" r:id="rId21"/>
    <sheet name="nonbud" sheetId="25" r:id="rId22"/>
    <sheet name="NonBudFunds" sheetId="31" r:id="rId23"/>
    <sheet name="summ" sheetId="12" r:id="rId24"/>
    <sheet name="ProofPub" sheetId="40" r:id="rId25"/>
    <sheet name="nhood" sheetId="23" r:id="rId26"/>
    <sheet name="Pub. Notice Option 1" sheetId="38" r:id="rId27"/>
    <sheet name="Pub. Notice Option 2" sheetId="37" r:id="rId28"/>
    <sheet name="Tab A" sheetId="26" r:id="rId29"/>
    <sheet name="Tab B" sheetId="27" r:id="rId30"/>
    <sheet name="Tab C" sheetId="28" r:id="rId31"/>
    <sheet name="Tab D" sheetId="29" r:id="rId32"/>
    <sheet name="Tab E" sheetId="30" r:id="rId33"/>
    <sheet name="Mill Rate Computation" sheetId="33" r:id="rId34"/>
    <sheet name="Helpful Links" sheetId="34" r:id="rId35"/>
    <sheet name="legend" sheetId="15" r:id="rId36"/>
  </sheets>
  <externalReferences>
    <externalReference r:id="rId37"/>
  </externalReferences>
  <definedNames>
    <definedName name="_xlnm.Print_Area" localSheetId="13">'DebtSvs-Library'!$B$1:$E$83</definedName>
    <definedName name="_xlnm.Print_Area" localSheetId="12">gen!$B$1:$E$61</definedName>
    <definedName name="_xlnm.Print_Area" localSheetId="1">inputPrYr!$A$1:$E$93</definedName>
    <definedName name="_xlnm.Print_Area" localSheetId="16">levypage10!$A$1:$E$90</definedName>
    <definedName name="_xlnm.Print_Area" localSheetId="17">levypage11!$A$1:$E$90</definedName>
    <definedName name="_xlnm.Print_Area" localSheetId="18">levypage12!$A$1:$E$90</definedName>
    <definedName name="_xlnm.Print_Area" localSheetId="11">'Library Grant'!$A$1:$J$40</definedName>
    <definedName name="_xlnm.Print_Area" localSheetId="14">road!$B$1:$E$67</definedName>
    <definedName name="_xlnm.Print_Area" localSheetId="15">'SpecRoad&amp;Noxious'!$A$1:$E$90</definedName>
    <definedName name="_xlnm.Print_Area" localSheetId="23">summ!$A$2:$H$54</definedName>
  </definedNames>
  <calcPr calcId="145621"/>
</workbook>
</file>

<file path=xl/calcChain.xml><?xml version="1.0" encoding="utf-8"?>
<calcChain xmlns="http://schemas.openxmlformats.org/spreadsheetml/2006/main">
  <c r="C6" i="37" l="1"/>
  <c r="H2" i="37"/>
  <c r="C9" i="37" s="1"/>
  <c r="C6" i="38"/>
  <c r="I2" i="38"/>
  <c r="C7" i="38" s="1"/>
  <c r="G16" i="35"/>
  <c r="E19" i="35"/>
  <c r="E18" i="35"/>
  <c r="E17" i="35"/>
  <c r="E16" i="35"/>
  <c r="A9" i="20"/>
  <c r="D39" i="36"/>
  <c r="D79" i="36"/>
  <c r="C35" i="36"/>
  <c r="C75" i="36"/>
  <c r="D75" i="36"/>
  <c r="D35" i="36"/>
  <c r="C19" i="3"/>
  <c r="A19" i="3"/>
  <c r="E20" i="12"/>
  <c r="E29" i="35" s="1"/>
  <c r="C20" i="12"/>
  <c r="B19" i="35"/>
  <c r="B18" i="35"/>
  <c r="B17" i="35"/>
  <c r="B16" i="35"/>
  <c r="B15" i="35"/>
  <c r="C23" i="3"/>
  <c r="B23" i="3"/>
  <c r="A23" i="3"/>
  <c r="C22" i="3"/>
  <c r="D8" i="23"/>
  <c r="E8" i="23"/>
  <c r="E70" i="36" s="1"/>
  <c r="E73" i="36" s="1"/>
  <c r="B8" i="23"/>
  <c r="G86" i="11"/>
  <c r="G85" i="11"/>
  <c r="G86" i="10"/>
  <c r="G85" i="10"/>
  <c r="G86" i="9"/>
  <c r="G85" i="9"/>
  <c r="G86" i="8"/>
  <c r="G85" i="8"/>
  <c r="E13" i="7"/>
  <c r="E14" i="6"/>
  <c r="B45" i="36"/>
  <c r="B5" i="36"/>
  <c r="B1" i="36"/>
  <c r="E1" i="36"/>
  <c r="G24" i="36" s="1"/>
  <c r="D73" i="36"/>
  <c r="D72" i="36" s="1"/>
  <c r="C73" i="36"/>
  <c r="C60" i="36"/>
  <c r="C61" i="36" s="1"/>
  <c r="D33" i="36"/>
  <c r="C33" i="36"/>
  <c r="B19" i="12" s="1"/>
  <c r="C20" i="36"/>
  <c r="C21" i="36" s="1"/>
  <c r="G14" i="35"/>
  <c r="E14" i="35"/>
  <c r="B89" i="35" s="1"/>
  <c r="B8" i="35"/>
  <c r="B7" i="35"/>
  <c r="B5" i="35"/>
  <c r="G31" i="2"/>
  <c r="D48" i="11"/>
  <c r="D60" i="11" s="1"/>
  <c r="D59" i="11" s="1"/>
  <c r="G30" i="2"/>
  <c r="D8" i="11"/>
  <c r="D20" i="11" s="1"/>
  <c r="G29" i="2"/>
  <c r="D48" i="10"/>
  <c r="D60" i="10" s="1"/>
  <c r="G28" i="2"/>
  <c r="D8" i="10"/>
  <c r="D20" i="10" s="1"/>
  <c r="G27" i="2"/>
  <c r="D48" i="9"/>
  <c r="D60" i="9" s="1"/>
  <c r="D59" i="9" s="1"/>
  <c r="G26" i="2"/>
  <c r="D8" i="9"/>
  <c r="D20" i="9" s="1"/>
  <c r="G25" i="2"/>
  <c r="D48" i="8"/>
  <c r="D60" i="8" s="1"/>
  <c r="D59" i="8" s="1"/>
  <c r="G24" i="2"/>
  <c r="D8" i="8"/>
  <c r="D20" i="8" s="1"/>
  <c r="G23" i="2"/>
  <c r="D8" i="7"/>
  <c r="D23" i="7" s="1"/>
  <c r="D22" i="7" s="1"/>
  <c r="G22" i="2"/>
  <c r="D48" i="36"/>
  <c r="E15" i="35" s="1"/>
  <c r="G21" i="2"/>
  <c r="D8" i="36"/>
  <c r="D20" i="36" s="1"/>
  <c r="G20" i="2"/>
  <c r="D8" i="6"/>
  <c r="A76" i="20"/>
  <c r="A51" i="12"/>
  <c r="A52" i="12"/>
  <c r="A20" i="12"/>
  <c r="G21" i="32"/>
  <c r="G23" i="32" s="1"/>
  <c r="D13" i="4"/>
  <c r="B13" i="4"/>
  <c r="A85" i="20"/>
  <c r="A39" i="20"/>
  <c r="B51" i="2"/>
  <c r="A48" i="20"/>
  <c r="A94" i="20"/>
  <c r="C37" i="3"/>
  <c r="C38" i="3"/>
  <c r="C32" i="3"/>
  <c r="C31" i="3"/>
  <c r="C30" i="3"/>
  <c r="C29" i="3"/>
  <c r="C28" i="3"/>
  <c r="C27" i="3"/>
  <c r="C26" i="3"/>
  <c r="C25" i="3"/>
  <c r="C24" i="3"/>
  <c r="C21" i="3"/>
  <c r="B35" i="12"/>
  <c r="D79" i="11"/>
  <c r="D39" i="11"/>
  <c r="D79" i="10"/>
  <c r="E79" i="10" s="1"/>
  <c r="D39" i="10"/>
  <c r="E39" i="10" s="1"/>
  <c r="D79" i="9"/>
  <c r="E79" i="9" s="1"/>
  <c r="D39" i="9"/>
  <c r="E39" i="9" s="1"/>
  <c r="D79" i="8"/>
  <c r="D39" i="8"/>
  <c r="C75" i="11"/>
  <c r="D75" i="11"/>
  <c r="C35" i="11"/>
  <c r="D35" i="11"/>
  <c r="C75" i="10"/>
  <c r="D75" i="10"/>
  <c r="C35" i="10"/>
  <c r="D35" i="10"/>
  <c r="C75" i="9"/>
  <c r="D75" i="9"/>
  <c r="C35" i="9"/>
  <c r="D35" i="9"/>
  <c r="C35" i="8"/>
  <c r="D35" i="8"/>
  <c r="C75" i="8"/>
  <c r="D75" i="8"/>
  <c r="D58" i="7"/>
  <c r="D49" i="7"/>
  <c r="E49" i="7" s="1"/>
  <c r="C59" i="7"/>
  <c r="C58" i="7"/>
  <c r="C57" i="7"/>
  <c r="C45" i="7"/>
  <c r="D45" i="7"/>
  <c r="D56" i="6"/>
  <c r="C52" i="6"/>
  <c r="D52" i="6"/>
  <c r="B32" i="3"/>
  <c r="B60" i="2"/>
  <c r="A32" i="3"/>
  <c r="D22" i="4"/>
  <c r="B22" i="4"/>
  <c r="B45" i="11"/>
  <c r="B17" i="23"/>
  <c r="A29" i="12"/>
  <c r="J148" i="33"/>
  <c r="H134" i="33"/>
  <c r="C137" i="33" s="1"/>
  <c r="J137" i="33" s="1"/>
  <c r="H120" i="33"/>
  <c r="C123" i="33" s="1"/>
  <c r="H114" i="33"/>
  <c r="F117" i="33" s="1"/>
  <c r="H117" i="33" s="1"/>
  <c r="F123" i="33" s="1"/>
  <c r="H100" i="33"/>
  <c r="C103" i="33" s="1"/>
  <c r="H94" i="33"/>
  <c r="F97" i="33" s="1"/>
  <c r="H97" i="33" s="1"/>
  <c r="F103" i="33" s="1"/>
  <c r="H80" i="33"/>
  <c r="C83" i="33" s="1"/>
  <c r="H74" i="33"/>
  <c r="F77" i="33" s="1"/>
  <c r="H77" i="33" s="1"/>
  <c r="F83" i="33" s="1"/>
  <c r="H48" i="33"/>
  <c r="F50" i="33" s="1"/>
  <c r="J50" i="33" s="1"/>
  <c r="H41" i="33"/>
  <c r="B28" i="33"/>
  <c r="H28" i="33" s="1"/>
  <c r="H25" i="33"/>
  <c r="C25" i="33"/>
  <c r="A37" i="3"/>
  <c r="A8" i="30"/>
  <c r="A46" i="29"/>
  <c r="A41" i="29"/>
  <c r="A6" i="29"/>
  <c r="A38" i="28"/>
  <c r="A33" i="28"/>
  <c r="A19" i="28"/>
  <c r="A6" i="28"/>
  <c r="A34" i="27"/>
  <c r="A33" i="27"/>
  <c r="A6" i="27"/>
  <c r="A77" i="26"/>
  <c r="A74" i="26"/>
  <c r="A33" i="26"/>
  <c r="A28" i="26"/>
  <c r="A25" i="26"/>
  <c r="A16" i="26"/>
  <c r="A6" i="26"/>
  <c r="A9" i="12"/>
  <c r="A7" i="12"/>
  <c r="A34" i="12"/>
  <c r="A33" i="12"/>
  <c r="I5" i="25"/>
  <c r="G5" i="25"/>
  <c r="E5" i="25"/>
  <c r="C5" i="25"/>
  <c r="A5" i="25"/>
  <c r="K1" i="25"/>
  <c r="F2" i="25" s="1"/>
  <c r="A1" i="25"/>
  <c r="J28" i="25"/>
  <c r="H28" i="25"/>
  <c r="F28" i="25"/>
  <c r="D28" i="25"/>
  <c r="B28" i="25"/>
  <c r="J17" i="25"/>
  <c r="J18" i="25" s="1"/>
  <c r="J29" i="25" s="1"/>
  <c r="J30" i="25" s="1"/>
  <c r="H17" i="25"/>
  <c r="H18" i="25" s="1"/>
  <c r="F17" i="25"/>
  <c r="F18" i="25" s="1"/>
  <c r="D17" i="25"/>
  <c r="B17" i="25"/>
  <c r="B18" i="25" s="1"/>
  <c r="K7" i="25"/>
  <c r="E18" i="2"/>
  <c r="G19" i="2" s="1"/>
  <c r="D18" i="2"/>
  <c r="E13" i="21"/>
  <c r="D13" i="21"/>
  <c r="C13" i="21"/>
  <c r="D21" i="4"/>
  <c r="D20" i="4"/>
  <c r="D19" i="4"/>
  <c r="D18" i="4"/>
  <c r="D17" i="4"/>
  <c r="D16" i="4"/>
  <c r="D15" i="4"/>
  <c r="D14" i="4"/>
  <c r="D12" i="4"/>
  <c r="D11" i="4"/>
  <c r="J6" i="14"/>
  <c r="C26" i="6"/>
  <c r="C25" i="6" s="1"/>
  <c r="C50" i="6"/>
  <c r="G55" i="6" s="1"/>
  <c r="D50" i="6"/>
  <c r="D18" i="12" s="1"/>
  <c r="G25" i="4"/>
  <c r="I27" i="4"/>
  <c r="J29" i="4"/>
  <c r="E32" i="2"/>
  <c r="C60" i="11"/>
  <c r="C61" i="11" s="1"/>
  <c r="C73" i="11"/>
  <c r="G78" i="11" s="1"/>
  <c r="D73" i="11"/>
  <c r="D29" i="12" s="1"/>
  <c r="C20" i="11"/>
  <c r="C33" i="11"/>
  <c r="B28" i="12" s="1"/>
  <c r="D33" i="11"/>
  <c r="D32" i="11" s="1"/>
  <c r="C60" i="10"/>
  <c r="C73" i="10"/>
  <c r="G78" i="10" s="1"/>
  <c r="D73" i="10"/>
  <c r="C20" i="10"/>
  <c r="C33" i="10"/>
  <c r="D33" i="10"/>
  <c r="D85" i="10" s="1"/>
  <c r="C60" i="9"/>
  <c r="C59" i="9" s="1"/>
  <c r="C73" i="9"/>
  <c r="D73" i="9"/>
  <c r="D72" i="9" s="1"/>
  <c r="C20" i="9"/>
  <c r="C21" i="9" s="1"/>
  <c r="C33" i="9"/>
  <c r="G38" i="9" s="1"/>
  <c r="D33" i="9"/>
  <c r="C60" i="8"/>
  <c r="C59" i="8" s="1"/>
  <c r="C73" i="8"/>
  <c r="C87" i="8" s="1"/>
  <c r="D73" i="8"/>
  <c r="C20" i="8"/>
  <c r="C33" i="8"/>
  <c r="C85" i="8" s="1"/>
  <c r="D33" i="8"/>
  <c r="D6" i="23"/>
  <c r="E6" i="23"/>
  <c r="E47" i="6" s="1"/>
  <c r="E50" i="6" s="1"/>
  <c r="D21" i="3" s="1"/>
  <c r="E43" i="7"/>
  <c r="E45" i="7" s="1"/>
  <c r="C23" i="7"/>
  <c r="C24" i="7" s="1"/>
  <c r="C44" i="6"/>
  <c r="E12" i="21"/>
  <c r="E11" i="21"/>
  <c r="D12" i="21"/>
  <c r="D11" i="21"/>
  <c r="C12" i="21"/>
  <c r="E1" i="11"/>
  <c r="E1" i="10"/>
  <c r="H43" i="10" s="1"/>
  <c r="E1" i="9"/>
  <c r="E1" i="8"/>
  <c r="H84" i="8" s="1"/>
  <c r="D30" i="18"/>
  <c r="D61" i="18"/>
  <c r="D61" i="17"/>
  <c r="D30" i="17"/>
  <c r="E1" i="7"/>
  <c r="E1" i="6"/>
  <c r="B52" i="6" s="1"/>
  <c r="C57" i="6"/>
  <c r="A64" i="2"/>
  <c r="A63" i="2"/>
  <c r="D47" i="2"/>
  <c r="D39" i="2"/>
  <c r="A39" i="2"/>
  <c r="A32" i="2"/>
  <c r="C30" i="18"/>
  <c r="C61" i="18"/>
  <c r="C30" i="17"/>
  <c r="C31" i="17" s="1"/>
  <c r="C61" i="17"/>
  <c r="E1" i="17"/>
  <c r="B30" i="17" s="1"/>
  <c r="E59" i="17"/>
  <c r="E58" i="17" s="1"/>
  <c r="E1" i="18"/>
  <c r="B61" i="18" s="1"/>
  <c r="E1" i="20"/>
  <c r="A51" i="20" s="1"/>
  <c r="E16" i="20"/>
  <c r="G11" i="14" s="1"/>
  <c r="E21" i="20"/>
  <c r="E14" i="14"/>
  <c r="E31" i="20"/>
  <c r="E15" i="14" s="1"/>
  <c r="E26" i="20"/>
  <c r="G18" i="14" s="1"/>
  <c r="E11" i="20"/>
  <c r="C41" i="3"/>
  <c r="D16" i="23"/>
  <c r="E16" i="23"/>
  <c r="E30" i="11" s="1"/>
  <c r="E33" i="11" s="1"/>
  <c r="D17" i="23"/>
  <c r="E17" i="23"/>
  <c r="E70" i="11" s="1"/>
  <c r="E73" i="11" s="1"/>
  <c r="D14" i="23"/>
  <c r="E14" i="23"/>
  <c r="E30" i="10" s="1"/>
  <c r="E33" i="10" s="1"/>
  <c r="D15" i="23"/>
  <c r="E15" i="23"/>
  <c r="E70" i="10" s="1"/>
  <c r="E73" i="10" s="1"/>
  <c r="F76" i="10" s="1"/>
  <c r="D13" i="23"/>
  <c r="E13" i="23"/>
  <c r="E70" i="9" s="1"/>
  <c r="E73" i="9" s="1"/>
  <c r="D12" i="23"/>
  <c r="E12" i="23"/>
  <c r="D11" i="23"/>
  <c r="E11" i="23"/>
  <c r="E70" i="8" s="1"/>
  <c r="E73" i="8" s="1"/>
  <c r="D10" i="23"/>
  <c r="E10" i="23"/>
  <c r="E30" i="8" s="1"/>
  <c r="E33" i="8" s="1"/>
  <c r="D9" i="23"/>
  <c r="E9" i="23"/>
  <c r="E40" i="7" s="1"/>
  <c r="E13" i="6"/>
  <c r="B47" i="3"/>
  <c r="D7" i="23"/>
  <c r="E7" i="23"/>
  <c r="E30" i="36" s="1"/>
  <c r="E33" i="36" s="1"/>
  <c r="E28" i="17"/>
  <c r="E30" i="17"/>
  <c r="E28" i="18"/>
  <c r="D35" i="3" s="1"/>
  <c r="E30" i="18"/>
  <c r="E59" i="18"/>
  <c r="D59" i="18"/>
  <c r="D58" i="18" s="1"/>
  <c r="C59" i="18"/>
  <c r="D28" i="18"/>
  <c r="C28" i="18"/>
  <c r="C31" i="18" s="1"/>
  <c r="D59" i="17"/>
  <c r="C59" i="17"/>
  <c r="C62" i="17" s="1"/>
  <c r="D28" i="17"/>
  <c r="C28" i="17"/>
  <c r="E15" i="18"/>
  <c r="E14" i="18" s="1"/>
  <c r="D15" i="18"/>
  <c r="D14" i="18" s="1"/>
  <c r="C15" i="18"/>
  <c r="E46" i="18"/>
  <c r="E45" i="18" s="1"/>
  <c r="D46" i="18"/>
  <c r="D45" i="18" s="1"/>
  <c r="C46" i="18"/>
  <c r="C45" i="18" s="1"/>
  <c r="E46" i="17"/>
  <c r="E45" i="17" s="1"/>
  <c r="D46" i="17"/>
  <c r="D45" i="17"/>
  <c r="C46" i="17"/>
  <c r="C19" i="9"/>
  <c r="D72" i="11"/>
  <c r="C72" i="11"/>
  <c r="D72" i="10"/>
  <c r="C72" i="9"/>
  <c r="D32" i="8"/>
  <c r="C22" i="7"/>
  <c r="E15" i="17"/>
  <c r="D15" i="17"/>
  <c r="D14" i="17" s="1"/>
  <c r="C15" i="17"/>
  <c r="C14" i="17"/>
  <c r="B16" i="23"/>
  <c r="B15" i="23"/>
  <c r="B14" i="23"/>
  <c r="B13" i="23"/>
  <c r="B12" i="23"/>
  <c r="B11" i="23"/>
  <c r="B10" i="23"/>
  <c r="B9" i="23"/>
  <c r="B7" i="23"/>
  <c r="B6" i="23"/>
  <c r="D25" i="23"/>
  <c r="D27" i="23" s="1"/>
  <c r="F1" i="23"/>
  <c r="B5" i="23" s="1"/>
  <c r="A1" i="23"/>
  <c r="C18" i="23"/>
  <c r="K1" i="4"/>
  <c r="B10" i="4" s="1"/>
  <c r="B22" i="3"/>
  <c r="J1" i="14"/>
  <c r="B32" i="14" s="1"/>
  <c r="F41" i="12"/>
  <c r="A98" i="20"/>
  <c r="A97" i="20"/>
  <c r="A96" i="20"/>
  <c r="A95" i="20"/>
  <c r="A93" i="20"/>
  <c r="A92" i="20"/>
  <c r="A91" i="20"/>
  <c r="A90" i="20"/>
  <c r="A89" i="20"/>
  <c r="A88" i="20"/>
  <c r="A87" i="20"/>
  <c r="A86" i="20"/>
  <c r="A84" i="20"/>
  <c r="A83" i="20"/>
  <c r="C81" i="20"/>
  <c r="E12" i="4"/>
  <c r="E14" i="4"/>
  <c r="E15" i="4"/>
  <c r="E16" i="4"/>
  <c r="E17" i="4"/>
  <c r="E18" i="4"/>
  <c r="E19" i="4"/>
  <c r="E20" i="4"/>
  <c r="E21" i="4"/>
  <c r="E22" i="4"/>
  <c r="E11" i="4"/>
  <c r="A16" i="20"/>
  <c r="A11" i="20"/>
  <c r="A30" i="20"/>
  <c r="A29" i="20"/>
  <c r="A25" i="20"/>
  <c r="A24" i="20"/>
  <c r="A20" i="20"/>
  <c r="A19" i="20"/>
  <c r="A15" i="20"/>
  <c r="A14" i="20"/>
  <c r="A10" i="20"/>
  <c r="A12" i="20"/>
  <c r="F40" i="12"/>
  <c r="B40" i="12"/>
  <c r="E55" i="20"/>
  <c r="D40" i="12" s="1"/>
  <c r="E27" i="35" s="1"/>
  <c r="A54" i="20"/>
  <c r="A53" i="20"/>
  <c r="A46" i="3"/>
  <c r="A45" i="3"/>
  <c r="A44" i="3"/>
  <c r="D32" i="12"/>
  <c r="D49" i="20"/>
  <c r="E29" i="12"/>
  <c r="G84" i="11" s="1"/>
  <c r="E28" i="12"/>
  <c r="G44" i="11" s="1"/>
  <c r="E27" i="12"/>
  <c r="G84" i="10" s="1"/>
  <c r="E26" i="12"/>
  <c r="G44" i="10" s="1"/>
  <c r="E25" i="12"/>
  <c r="G84" i="9" s="1"/>
  <c r="E24" i="12"/>
  <c r="G44" i="9" s="1"/>
  <c r="E23" i="12"/>
  <c r="G84" i="8" s="1"/>
  <c r="E22" i="12"/>
  <c r="G44" i="8" s="1"/>
  <c r="E21" i="12"/>
  <c r="G54" i="7" s="1"/>
  <c r="E19" i="12"/>
  <c r="G44" i="36" s="1"/>
  <c r="E18" i="12"/>
  <c r="A47" i="20"/>
  <c r="A46" i="20"/>
  <c r="A45" i="20"/>
  <c r="A44" i="20"/>
  <c r="A43" i="20"/>
  <c r="A42" i="20"/>
  <c r="A41" i="20"/>
  <c r="A40" i="20"/>
  <c r="A38" i="20"/>
  <c r="A37" i="20"/>
  <c r="H27" i="4"/>
  <c r="F15" i="13"/>
  <c r="F1" i="21"/>
  <c r="C9" i="21" s="1"/>
  <c r="A2" i="21"/>
  <c r="G1" i="3"/>
  <c r="A15" i="3" s="1"/>
  <c r="A61" i="2"/>
  <c r="D47" i="12"/>
  <c r="D46" i="12"/>
  <c r="B47" i="12"/>
  <c r="B46" i="12"/>
  <c r="D45" i="12"/>
  <c r="B45" i="12"/>
  <c r="E66" i="2"/>
  <c r="D66" i="2"/>
  <c r="A2" i="20"/>
  <c r="A1" i="20"/>
  <c r="A48" i="2"/>
  <c r="A17" i="2"/>
  <c r="F11" i="13"/>
  <c r="L15" i="13"/>
  <c r="K15" i="13"/>
  <c r="J15" i="13"/>
  <c r="I15" i="13"/>
  <c r="L11" i="13"/>
  <c r="K11" i="13"/>
  <c r="J11" i="13"/>
  <c r="I11" i="13"/>
  <c r="I16" i="13" s="1"/>
  <c r="H1" i="12"/>
  <c r="J43" i="12" s="1"/>
  <c r="C19" i="12"/>
  <c r="B12" i="4"/>
  <c r="L1" i="13"/>
  <c r="G23" i="13" s="1"/>
  <c r="B50" i="2"/>
  <c r="A3" i="3"/>
  <c r="B32" i="12"/>
  <c r="B30" i="12"/>
  <c r="C36" i="3"/>
  <c r="C35" i="3"/>
  <c r="C34" i="3"/>
  <c r="C33" i="3"/>
  <c r="A32" i="12"/>
  <c r="A31" i="12"/>
  <c r="A30" i="12"/>
  <c r="A36" i="3"/>
  <c r="A35" i="3"/>
  <c r="A34" i="3"/>
  <c r="A33" i="3"/>
  <c r="B1" i="18"/>
  <c r="B1" i="17"/>
  <c r="B36" i="18"/>
  <c r="B5" i="18"/>
  <c r="B36" i="17"/>
  <c r="B5" i="17"/>
  <c r="B31" i="3"/>
  <c r="B30" i="3"/>
  <c r="B29" i="3"/>
  <c r="B28" i="3"/>
  <c r="B27" i="3"/>
  <c r="B26" i="3"/>
  <c r="B25" i="3"/>
  <c r="B24" i="3"/>
  <c r="A31" i="3"/>
  <c r="A30" i="3"/>
  <c r="A29" i="3"/>
  <c r="A28" i="3"/>
  <c r="A27" i="3"/>
  <c r="A26" i="3"/>
  <c r="A25" i="3"/>
  <c r="A24" i="3"/>
  <c r="C40" i="3"/>
  <c r="B21" i="3"/>
  <c r="A21" i="3"/>
  <c r="A5" i="3"/>
  <c r="C1" i="14"/>
  <c r="I36" i="13"/>
  <c r="H36" i="13"/>
  <c r="G36" i="13"/>
  <c r="F47" i="12" s="1"/>
  <c r="B2" i="13"/>
  <c r="B1" i="13"/>
  <c r="B5" i="6"/>
  <c r="B1" i="6"/>
  <c r="D61" i="2"/>
  <c r="B59" i="2"/>
  <c r="B58" i="2"/>
  <c r="B57" i="2"/>
  <c r="B56" i="2"/>
  <c r="B55" i="2"/>
  <c r="B54" i="2"/>
  <c r="B53" i="2"/>
  <c r="B52" i="2"/>
  <c r="B49" i="2"/>
  <c r="B21" i="4"/>
  <c r="B20" i="4"/>
  <c r="B19" i="4"/>
  <c r="B18" i="4"/>
  <c r="B17" i="4"/>
  <c r="B16" i="4"/>
  <c r="B15" i="4"/>
  <c r="B14" i="4"/>
  <c r="B11" i="4"/>
  <c r="B1" i="4"/>
  <c r="B1" i="7"/>
  <c r="B5" i="7"/>
  <c r="A28" i="12"/>
  <c r="A27" i="12"/>
  <c r="A26" i="12"/>
  <c r="A25" i="12"/>
  <c r="A24" i="12"/>
  <c r="A23" i="12"/>
  <c r="A22" i="12"/>
  <c r="A21" i="12"/>
  <c r="C29" i="12"/>
  <c r="C28" i="12"/>
  <c r="C27" i="12"/>
  <c r="C26" i="12"/>
  <c r="C25" i="12"/>
  <c r="C24" i="12"/>
  <c r="C23" i="12"/>
  <c r="C22" i="12"/>
  <c r="C21" i="12"/>
  <c r="C18" i="12"/>
  <c r="B39" i="12"/>
  <c r="A18" i="12"/>
  <c r="A6" i="12"/>
  <c r="A5" i="12"/>
  <c r="B25" i="12"/>
  <c r="B27" i="12"/>
  <c r="B26" i="12"/>
  <c r="D26" i="12"/>
  <c r="B29" i="12"/>
  <c r="B22" i="12"/>
  <c r="D22" i="12"/>
  <c r="B1" i="8"/>
  <c r="B45" i="8"/>
  <c r="B5" i="8"/>
  <c r="B45" i="9"/>
  <c r="B5" i="9"/>
  <c r="B1" i="9"/>
  <c r="B45" i="10"/>
  <c r="B5" i="10"/>
  <c r="B1" i="10"/>
  <c r="B5" i="11"/>
  <c r="B1" i="11"/>
  <c r="C16" i="17"/>
  <c r="C29" i="17"/>
  <c r="E14" i="17"/>
  <c r="C11" i="21"/>
  <c r="F11" i="21" s="1"/>
  <c r="C49" i="6"/>
  <c r="B18" i="12"/>
  <c r="C27" i="17"/>
  <c r="D27" i="18"/>
  <c r="E27" i="18"/>
  <c r="G9" i="4"/>
  <c r="C27" i="18"/>
  <c r="E27" i="17"/>
  <c r="J22" i="4"/>
  <c r="E52" i="11" s="1"/>
  <c r="C47" i="18"/>
  <c r="J20" i="4"/>
  <c r="E52" i="10" s="1"/>
  <c r="J21" i="4"/>
  <c r="E12" i="11" s="1"/>
  <c r="D32" i="10"/>
  <c r="C74" i="6"/>
  <c r="J18" i="4"/>
  <c r="E52" i="9" s="1"/>
  <c r="J19" i="4"/>
  <c r="E12" i="10" s="1"/>
  <c r="C32" i="36"/>
  <c r="G64" i="36"/>
  <c r="G68" i="36"/>
  <c r="C59" i="36"/>
  <c r="B47" i="35"/>
  <c r="G24" i="32"/>
  <c r="A21" i="20"/>
  <c r="A27" i="20"/>
  <c r="A7" i="20"/>
  <c r="A33" i="20"/>
  <c r="B81" i="20"/>
  <c r="I13" i="4"/>
  <c r="G17" i="4"/>
  <c r="E10" i="9" s="1"/>
  <c r="G21" i="4"/>
  <c r="E10" i="11" s="1"/>
  <c r="G22" i="4"/>
  <c r="E50" i="11" s="1"/>
  <c r="I21" i="4"/>
  <c r="E11" i="11" s="1"/>
  <c r="I22" i="4"/>
  <c r="E51" i="11" s="1"/>
  <c r="G19" i="4"/>
  <c r="E10" i="10" s="1"/>
  <c r="G20" i="4"/>
  <c r="E50" i="10" s="1"/>
  <c r="I19" i="4"/>
  <c r="E11" i="10" s="1"/>
  <c r="I20" i="4"/>
  <c r="E51" i="10" s="1"/>
  <c r="I17" i="4"/>
  <c r="E11" i="9" s="1"/>
  <c r="I18" i="4"/>
  <c r="E51" i="9" s="1"/>
  <c r="G18" i="4"/>
  <c r="E50" i="9" s="1"/>
  <c r="G16" i="4"/>
  <c r="E50" i="8" s="1"/>
  <c r="I16" i="4"/>
  <c r="E51" i="8" s="1"/>
  <c r="I12" i="4"/>
  <c r="E11" i="36" s="1"/>
  <c r="H35" i="9"/>
  <c r="H33" i="10"/>
  <c r="H76" i="10"/>
  <c r="G48" i="6"/>
  <c r="H51" i="6"/>
  <c r="G38" i="7"/>
  <c r="H44" i="10"/>
  <c r="D26" i="6"/>
  <c r="D25" i="6" s="1"/>
  <c r="D44" i="6"/>
  <c r="D60" i="36"/>
  <c r="D59" i="36" s="1"/>
  <c r="J12" i="4"/>
  <c r="E12" i="36" s="1"/>
  <c r="J13" i="4"/>
  <c r="E52" i="36" s="1"/>
  <c r="G19" i="35" s="1"/>
  <c r="J17" i="4"/>
  <c r="E12" i="9" s="1"/>
  <c r="J16" i="4"/>
  <c r="E52" i="8" s="1"/>
  <c r="G13" i="4"/>
  <c r="E50" i="36" s="1"/>
  <c r="G12" i="4"/>
  <c r="E10" i="36" s="1"/>
  <c r="E51" i="36"/>
  <c r="G18" i="35" s="1"/>
  <c r="E39" i="8"/>
  <c r="E79" i="8"/>
  <c r="E39" i="11"/>
  <c r="E79" i="11"/>
  <c r="J37" i="7"/>
  <c r="J27" i="11"/>
  <c r="J28" i="11"/>
  <c r="J29" i="11"/>
  <c r="J68" i="10"/>
  <c r="J69" i="10"/>
  <c r="J67" i="10"/>
  <c r="J28" i="9"/>
  <c r="J29" i="9"/>
  <c r="J27" i="9"/>
  <c r="J27" i="8"/>
  <c r="J28" i="8"/>
  <c r="J29" i="8"/>
  <c r="J68" i="8"/>
  <c r="J69" i="8"/>
  <c r="J67" i="8"/>
  <c r="J67" i="36"/>
  <c r="J68" i="36"/>
  <c r="J69" i="36"/>
  <c r="E39" i="36"/>
  <c r="J28" i="10"/>
  <c r="J29" i="10"/>
  <c r="J27" i="10"/>
  <c r="J68" i="9"/>
  <c r="J69" i="9"/>
  <c r="J67" i="9"/>
  <c r="E56" i="6"/>
  <c r="J68" i="11"/>
  <c r="J69" i="11"/>
  <c r="J67" i="11"/>
  <c r="J45" i="6"/>
  <c r="J46" i="6"/>
  <c r="J44" i="6"/>
  <c r="J28" i="36"/>
  <c r="J29" i="36"/>
  <c r="J27" i="36"/>
  <c r="J38" i="7"/>
  <c r="J39" i="7"/>
  <c r="D18" i="23"/>
  <c r="D5" i="23"/>
  <c r="A31" i="23"/>
  <c r="C5" i="23"/>
  <c r="D85" i="9"/>
  <c r="D24" i="12"/>
  <c r="H45" i="11"/>
  <c r="C32" i="9"/>
  <c r="J41" i="12"/>
  <c r="A12" i="12"/>
  <c r="F46" i="12"/>
  <c r="C72" i="36"/>
  <c r="C58" i="17"/>
  <c r="B31" i="12"/>
  <c r="D33" i="12"/>
  <c r="D62" i="18"/>
  <c r="D32" i="9"/>
  <c r="C27" i="21"/>
  <c r="C29" i="21" s="1"/>
  <c r="B37" i="12" s="1"/>
  <c r="F21" i="12"/>
  <c r="E47" i="7"/>
  <c r="F46" i="7"/>
  <c r="C32" i="10"/>
  <c r="G38" i="10"/>
  <c r="C85" i="10"/>
  <c r="D87" i="8"/>
  <c r="D23" i="12"/>
  <c r="D72" i="8"/>
  <c r="C80" i="36"/>
  <c r="H36" i="36"/>
  <c r="G61" i="6"/>
  <c r="D25" i="12"/>
  <c r="D24" i="3"/>
  <c r="D28" i="12"/>
  <c r="D33" i="3"/>
  <c r="F30" i="12"/>
  <c r="G24" i="9"/>
  <c r="G78" i="9"/>
  <c r="D27" i="12"/>
  <c r="D39" i="12"/>
  <c r="E42" i="7"/>
  <c r="D31" i="18"/>
  <c r="C61" i="8"/>
  <c r="J36" i="12"/>
  <c r="B58" i="3"/>
  <c r="C80" i="10"/>
  <c r="H84" i="10"/>
  <c r="H38" i="10"/>
  <c r="A11" i="12"/>
  <c r="H78" i="9"/>
  <c r="H35" i="10"/>
  <c r="H38" i="36"/>
  <c r="A31" i="20"/>
  <c r="E5" i="23"/>
  <c r="J51" i="12"/>
  <c r="G28" i="10"/>
  <c r="G71" i="10"/>
  <c r="G28" i="36"/>
  <c r="H43" i="36"/>
  <c r="A9" i="3"/>
  <c r="D11" i="3"/>
  <c r="H90" i="10"/>
  <c r="G64" i="10"/>
  <c r="H86" i="9"/>
  <c r="D10" i="4"/>
  <c r="H74" i="10"/>
  <c r="A8" i="3"/>
  <c r="E12" i="3"/>
  <c r="G15" i="12"/>
  <c r="B48" i="3"/>
  <c r="H86" i="10"/>
  <c r="H45" i="10"/>
  <c r="H85" i="9"/>
  <c r="H75" i="36"/>
  <c r="C5" i="36"/>
  <c r="B35" i="9"/>
  <c r="B30" i="18"/>
  <c r="J31" i="12"/>
  <c r="B3" i="23"/>
  <c r="C40" i="9"/>
  <c r="H45" i="36"/>
  <c r="H73" i="10"/>
  <c r="G24" i="10"/>
  <c r="G31" i="9"/>
  <c r="H85" i="10"/>
  <c r="H89" i="9"/>
  <c r="F33" i="12"/>
  <c r="D36" i="3"/>
  <c r="F32" i="12"/>
  <c r="E5" i="36"/>
  <c r="H83" i="36"/>
  <c r="D5" i="36"/>
  <c r="H53" i="7"/>
  <c r="H49" i="7"/>
  <c r="H84" i="36"/>
  <c r="C45" i="36"/>
  <c r="H76" i="36"/>
  <c r="H56" i="7"/>
  <c r="C80" i="9"/>
  <c r="H46" i="36"/>
  <c r="H48" i="7"/>
  <c r="H76" i="9"/>
  <c r="H46" i="7"/>
  <c r="C53" i="7"/>
  <c r="A35" i="20"/>
  <c r="B84" i="35"/>
  <c r="H73" i="36"/>
  <c r="A6" i="20"/>
  <c r="B75" i="8"/>
  <c r="B11" i="14"/>
  <c r="B34" i="14"/>
  <c r="H79" i="36"/>
  <c r="G41" i="7"/>
  <c r="B35" i="36"/>
  <c r="B75" i="36"/>
  <c r="G31" i="36"/>
  <c r="H84" i="9"/>
  <c r="H78" i="36"/>
  <c r="G68" i="9"/>
  <c r="H76" i="8"/>
  <c r="A26" i="20"/>
  <c r="H34" i="36"/>
  <c r="H23" i="13"/>
  <c r="I6" i="13"/>
  <c r="B45" i="7"/>
  <c r="B18" i="14"/>
  <c r="C10" i="37"/>
  <c r="H74" i="36"/>
  <c r="D45" i="36"/>
  <c r="H39" i="36"/>
  <c r="C40" i="36"/>
  <c r="H79" i="9"/>
  <c r="F7" i="13"/>
  <c r="A32" i="20"/>
  <c r="G71" i="9"/>
  <c r="H86" i="36"/>
  <c r="H46" i="9"/>
  <c r="A22" i="20"/>
  <c r="H33" i="36"/>
  <c r="A17" i="20"/>
  <c r="A9" i="14"/>
  <c r="B22" i="14"/>
  <c r="H35" i="36"/>
  <c r="H85" i="36"/>
  <c r="H74" i="9"/>
  <c r="H34" i="9"/>
  <c r="E45" i="36"/>
  <c r="A55" i="20"/>
  <c r="G71" i="36"/>
  <c r="H36" i="8"/>
  <c r="A57" i="20"/>
  <c r="A80" i="20"/>
  <c r="B5" i="14"/>
  <c r="A3" i="14"/>
  <c r="G31" i="11"/>
  <c r="H56" i="6"/>
  <c r="G71" i="11"/>
  <c r="H50" i="6"/>
  <c r="F44" i="12"/>
  <c r="H89" i="8"/>
  <c r="H39" i="10"/>
  <c r="J55" i="12"/>
  <c r="H46" i="10"/>
  <c r="J29" i="12"/>
  <c r="C40" i="10"/>
  <c r="J24" i="12"/>
  <c r="J50" i="12"/>
  <c r="H38" i="11"/>
  <c r="H53" i="6"/>
  <c r="G45" i="6"/>
  <c r="I23" i="13"/>
  <c r="D9" i="21"/>
  <c r="E5" i="6"/>
  <c r="E5" i="18" s="1"/>
  <c r="E36" i="18" s="1"/>
  <c r="E9" i="21"/>
  <c r="B75" i="10"/>
  <c r="K6" i="13"/>
  <c r="H79" i="10"/>
  <c r="G68" i="10"/>
  <c r="B44" i="12"/>
  <c r="H75" i="11"/>
  <c r="H73" i="8"/>
  <c r="H60" i="6"/>
  <c r="B35" i="11"/>
  <c r="B35" i="8"/>
  <c r="J39" i="12"/>
  <c r="G31" i="10"/>
  <c r="J40" i="12"/>
  <c r="H75" i="10"/>
  <c r="H83" i="10"/>
  <c r="H78" i="10"/>
  <c r="J38" i="12"/>
  <c r="H89" i="10"/>
  <c r="J32" i="12"/>
  <c r="H84" i="11"/>
  <c r="H78" i="8"/>
  <c r="C5" i="6"/>
  <c r="C5" i="18" s="1"/>
  <c r="C36" i="18" s="1"/>
  <c r="H63" i="6"/>
  <c r="H55" i="6"/>
  <c r="H35" i="11"/>
  <c r="G41" i="6"/>
  <c r="H62" i="6"/>
  <c r="H36" i="10"/>
  <c r="H34" i="10"/>
  <c r="B14" i="12"/>
  <c r="D44" i="12"/>
  <c r="F14" i="12"/>
  <c r="D14" i="12"/>
  <c r="B35" i="10"/>
  <c r="H33" i="11"/>
  <c r="H46" i="8"/>
  <c r="H61" i="6"/>
  <c r="D5" i="6"/>
  <c r="D5" i="17" s="1"/>
  <c r="D36" i="17" s="1"/>
  <c r="H52" i="6"/>
  <c r="E5" i="9"/>
  <c r="E45" i="9" s="1"/>
  <c r="E5" i="8"/>
  <c r="E45" i="8" s="1"/>
  <c r="D5" i="9"/>
  <c r="D45" i="9" s="1"/>
  <c r="C5" i="10"/>
  <c r="C45" i="10" s="1"/>
  <c r="C5" i="8"/>
  <c r="C45" i="8" s="1"/>
  <c r="C5" i="11"/>
  <c r="C45" i="11" s="1"/>
  <c r="B6" i="14"/>
  <c r="C14" i="14"/>
  <c r="B36" i="14"/>
  <c r="A44" i="14"/>
  <c r="B30" i="14"/>
  <c r="B13" i="14"/>
  <c r="C15" i="14"/>
  <c r="B40" i="14"/>
  <c r="C72" i="10" l="1"/>
  <c r="D27" i="21"/>
  <c r="D29" i="21" s="1"/>
  <c r="D37" i="12" s="1"/>
  <c r="F13" i="21"/>
  <c r="C59" i="11"/>
  <c r="B77" i="8"/>
  <c r="L16" i="13"/>
  <c r="C63" i="7"/>
  <c r="C65" i="7" s="1"/>
  <c r="C87" i="9"/>
  <c r="C87" i="10"/>
  <c r="C87" i="11"/>
  <c r="G22" i="32"/>
  <c r="G20" i="32" s="1"/>
  <c r="J83" i="33"/>
  <c r="G84" i="36"/>
  <c r="H33" i="8"/>
  <c r="H45" i="8"/>
  <c r="G64" i="8"/>
  <c r="H35" i="8"/>
  <c r="H90" i="8"/>
  <c r="C40" i="8"/>
  <c r="H44" i="8"/>
  <c r="C80" i="8"/>
  <c r="H75" i="8"/>
  <c r="B24" i="12"/>
  <c r="D20" i="12"/>
  <c r="C72" i="8"/>
  <c r="K16" i="13"/>
  <c r="C32" i="8"/>
  <c r="G28" i="8"/>
  <c r="G38" i="8"/>
  <c r="G78" i="8"/>
  <c r="C85" i="9"/>
  <c r="B37" i="9" s="1"/>
  <c r="C61" i="9"/>
  <c r="C74" i="9" s="1"/>
  <c r="H29" i="25"/>
  <c r="H30" i="25" s="1"/>
  <c r="D85" i="8"/>
  <c r="B37" i="8" s="1"/>
  <c r="D87" i="9"/>
  <c r="B77" i="9" s="1"/>
  <c r="D87" i="10"/>
  <c r="B77" i="10" s="1"/>
  <c r="D87" i="11"/>
  <c r="C34" i="36"/>
  <c r="C5" i="9"/>
  <c r="C45" i="9" s="1"/>
  <c r="D5" i="11"/>
  <c r="D45" i="11" s="1"/>
  <c r="H86" i="8"/>
  <c r="G68" i="8"/>
  <c r="H79" i="8"/>
  <c r="H83" i="8"/>
  <c r="G24" i="8"/>
  <c r="H74" i="8"/>
  <c r="H38" i="8"/>
  <c r="C74" i="8"/>
  <c r="E36" i="12"/>
  <c r="G46" i="11" s="1"/>
  <c r="C32" i="11"/>
  <c r="G38" i="36"/>
  <c r="B23" i="12"/>
  <c r="C36" i="12"/>
  <c r="J42" i="12"/>
  <c r="D48" i="12"/>
  <c r="E9" i="4"/>
  <c r="A21" i="23"/>
  <c r="C34" i="9"/>
  <c r="D85" i="11"/>
  <c r="C74" i="11"/>
  <c r="C88" i="11" s="1"/>
  <c r="E27" i="21"/>
  <c r="E29" i="21" s="1"/>
  <c r="F37" i="12" s="1"/>
  <c r="J103" i="33"/>
  <c r="G31" i="8"/>
  <c r="H34" i="8"/>
  <c r="H43" i="8"/>
  <c r="G71" i="8"/>
  <c r="H85" i="8"/>
  <c r="H39" i="8"/>
  <c r="J16" i="13"/>
  <c r="F12" i="21"/>
  <c r="J123" i="33"/>
  <c r="C93" i="36"/>
  <c r="M31" i="12"/>
  <c r="G46" i="10"/>
  <c r="F76" i="9"/>
  <c r="E72" i="9"/>
  <c r="F26" i="12"/>
  <c r="E35" i="10"/>
  <c r="E37" i="10"/>
  <c r="H36" i="11"/>
  <c r="H86" i="11"/>
  <c r="H78" i="11"/>
  <c r="H46" i="11"/>
  <c r="H79" i="11"/>
  <c r="H44" i="11"/>
  <c r="D18" i="25"/>
  <c r="K17" i="25"/>
  <c r="D19" i="9"/>
  <c r="D59" i="10"/>
  <c r="C94" i="36"/>
  <c r="D6" i="36"/>
  <c r="G78" i="36"/>
  <c r="C95" i="36"/>
  <c r="B20" i="12"/>
  <c r="C5" i="17"/>
  <c r="C36" i="17" s="1"/>
  <c r="D5" i="8"/>
  <c r="D45" i="8" s="1"/>
  <c r="E5" i="11"/>
  <c r="E45" i="11" s="1"/>
  <c r="E5" i="17"/>
  <c r="E36" i="17" s="1"/>
  <c r="G68" i="11"/>
  <c r="C40" i="11"/>
  <c r="H89" i="11"/>
  <c r="H43" i="11"/>
  <c r="C60" i="18"/>
  <c r="D49" i="6"/>
  <c r="C32" i="17"/>
  <c r="D6" i="17"/>
  <c r="D16" i="17" s="1"/>
  <c r="D29" i="17" s="1"/>
  <c r="E6" i="17" s="1"/>
  <c r="E16" i="17" s="1"/>
  <c r="E29" i="17" s="1"/>
  <c r="E31" i="17" s="1"/>
  <c r="F45" i="12"/>
  <c r="F48" i="12" s="1"/>
  <c r="F16" i="13"/>
  <c r="D27" i="17"/>
  <c r="D30" i="12"/>
  <c r="C19" i="10"/>
  <c r="C21" i="10"/>
  <c r="C34" i="10" s="1"/>
  <c r="C59" i="10"/>
  <c r="C61" i="10"/>
  <c r="C74" i="10" s="1"/>
  <c r="C85" i="11"/>
  <c r="G38" i="11"/>
  <c r="F29" i="25"/>
  <c r="F30" i="25" s="1"/>
  <c r="K28" i="25"/>
  <c r="B34" i="12" s="1"/>
  <c r="B29" i="25"/>
  <c r="D19" i="10"/>
  <c r="M26" i="12"/>
  <c r="G27" i="35"/>
  <c r="E28" i="35" s="1"/>
  <c r="M42" i="12"/>
  <c r="D62" i="17"/>
  <c r="D58" i="17"/>
  <c r="D31" i="12"/>
  <c r="C62" i="18"/>
  <c r="C58" i="18"/>
  <c r="G24" i="11"/>
  <c r="G28" i="11"/>
  <c r="H73" i="11"/>
  <c r="D34" i="3"/>
  <c r="G46" i="36"/>
  <c r="G90" i="11"/>
  <c r="G56" i="7"/>
  <c r="G46" i="8"/>
  <c r="G90" i="10"/>
  <c r="G86" i="36"/>
  <c r="G46" i="9"/>
  <c r="G63" i="6"/>
  <c r="G90" i="9"/>
  <c r="G90" i="8"/>
  <c r="G64" i="11"/>
  <c r="C45" i="17"/>
  <c r="C47" i="17"/>
  <c r="C60" i="17" s="1"/>
  <c r="E30" i="9"/>
  <c r="E33" i="9" s="1"/>
  <c r="F24" i="12" s="1"/>
  <c r="E18" i="23"/>
  <c r="H36" i="9"/>
  <c r="B75" i="9"/>
  <c r="H43" i="9"/>
  <c r="H73" i="9"/>
  <c r="H38" i="9"/>
  <c r="H33" i="9"/>
  <c r="G28" i="9"/>
  <c r="H45" i="9"/>
  <c r="H75" i="9"/>
  <c r="H39" i="9"/>
  <c r="G64" i="9"/>
  <c r="H90" i="9"/>
  <c r="H83" i="9"/>
  <c r="H44" i="9"/>
  <c r="C21" i="8"/>
  <c r="C34" i="8" s="1"/>
  <c r="C19" i="8"/>
  <c r="C86" i="9"/>
  <c r="D6" i="9"/>
  <c r="D21" i="9" s="1"/>
  <c r="D34" i="9" s="1"/>
  <c r="D86" i="9" s="1"/>
  <c r="C21" i="11"/>
  <c r="C34" i="11" s="1"/>
  <c r="C19" i="11"/>
  <c r="E9" i="37"/>
  <c r="J5" i="14"/>
  <c r="J7" i="14" s="1"/>
  <c r="J38" i="14" s="1"/>
  <c r="D19" i="11"/>
  <c r="D93" i="36"/>
  <c r="D19" i="12"/>
  <c r="D32" i="36"/>
  <c r="C88" i="8"/>
  <c r="D46" i="8"/>
  <c r="D61" i="8" s="1"/>
  <c r="D74" i="8" s="1"/>
  <c r="E46" i="8" s="1"/>
  <c r="D5" i="10"/>
  <c r="D45" i="10" s="1"/>
  <c r="D5" i="18"/>
  <c r="D36" i="18" s="1"/>
  <c r="E5" i="10"/>
  <c r="E45" i="10" s="1"/>
  <c r="E5" i="7"/>
  <c r="H83" i="11"/>
  <c r="H34" i="11"/>
  <c r="B75" i="11"/>
  <c r="D5" i="7"/>
  <c r="H76" i="11"/>
  <c r="H39" i="11"/>
  <c r="H90" i="11"/>
  <c r="H74" i="11"/>
  <c r="C80" i="11"/>
  <c r="F31" i="12"/>
  <c r="E61" i="17"/>
  <c r="B33" i="12"/>
  <c r="C19" i="36"/>
  <c r="H85" i="11"/>
  <c r="F53" i="6"/>
  <c r="E52" i="6"/>
  <c r="F18" i="12"/>
  <c r="E49" i="6"/>
  <c r="E54" i="6"/>
  <c r="M27" i="12"/>
  <c r="M41" i="12"/>
  <c r="C14" i="18"/>
  <c r="C16" i="18"/>
  <c r="C29" i="18" s="1"/>
  <c r="E58" i="18"/>
  <c r="E61" i="18"/>
  <c r="D21" i="23"/>
  <c r="D23" i="23" s="1"/>
  <c r="E22" i="14"/>
  <c r="C50" i="7"/>
  <c r="H55" i="7"/>
  <c r="H45" i="7"/>
  <c r="H43" i="7"/>
  <c r="G34" i="7"/>
  <c r="H54" i="7"/>
  <c r="H44" i="7"/>
  <c r="D46" i="11"/>
  <c r="D61" i="11" s="1"/>
  <c r="D74" i="11" s="1"/>
  <c r="B78" i="35"/>
  <c r="B91" i="35"/>
  <c r="B46" i="35"/>
  <c r="C74" i="36"/>
  <c r="B37" i="36"/>
  <c r="E23" i="4"/>
  <c r="G16" i="14"/>
  <c r="G20" i="14" s="1"/>
  <c r="D31" i="17"/>
  <c r="E22" i="35"/>
  <c r="D95" i="36"/>
  <c r="B77" i="11"/>
  <c r="B37" i="10"/>
  <c r="B48" i="12"/>
  <c r="D57" i="7"/>
  <c r="C39" i="7"/>
  <c r="C43" i="7" s="1"/>
  <c r="C27" i="6"/>
  <c r="D23" i="4"/>
  <c r="G31" i="4" s="1"/>
  <c r="D74" i="6"/>
  <c r="B54" i="6" s="1"/>
  <c r="E60" i="9"/>
  <c r="G74" i="9" s="1"/>
  <c r="E60" i="11"/>
  <c r="G74" i="11" s="1"/>
  <c r="E20" i="9"/>
  <c r="G34" i="9" s="1"/>
  <c r="E20" i="36"/>
  <c r="E19" i="36" s="1"/>
  <c r="E60" i="8"/>
  <c r="G74" i="8" s="1"/>
  <c r="E20" i="11"/>
  <c r="G34" i="11" s="1"/>
  <c r="G17" i="35"/>
  <c r="E60" i="36"/>
  <c r="E20" i="10"/>
  <c r="G34" i="10" s="1"/>
  <c r="B32" i="21"/>
  <c r="H44" i="36"/>
  <c r="B61" i="17"/>
  <c r="E37" i="8"/>
  <c r="E32" i="8"/>
  <c r="D25" i="3"/>
  <c r="F22" i="12"/>
  <c r="F36" i="8"/>
  <c r="E35" i="8"/>
  <c r="D27" i="3"/>
  <c r="E72" i="10"/>
  <c r="E75" i="10"/>
  <c r="D30" i="3"/>
  <c r="D32" i="3"/>
  <c r="E75" i="11"/>
  <c r="F29" i="12"/>
  <c r="F76" i="11"/>
  <c r="E77" i="11"/>
  <c r="E72" i="11"/>
  <c r="D21" i="36"/>
  <c r="D34" i="36" s="1"/>
  <c r="D19" i="36"/>
  <c r="G34" i="36"/>
  <c r="F19" i="12"/>
  <c r="E32" i="36"/>
  <c r="D22" i="3"/>
  <c r="E35" i="36"/>
  <c r="E37" i="36"/>
  <c r="F36" i="36"/>
  <c r="F76" i="8"/>
  <c r="E75" i="8"/>
  <c r="E72" i="8"/>
  <c r="E77" i="8"/>
  <c r="F23" i="12"/>
  <c r="D26" i="3"/>
  <c r="E75" i="9"/>
  <c r="E77" i="9"/>
  <c r="F25" i="12"/>
  <c r="D28" i="3"/>
  <c r="D29" i="3"/>
  <c r="E32" i="10"/>
  <c r="F36" i="10"/>
  <c r="E37" i="11"/>
  <c r="D31" i="3"/>
  <c r="F28" i="12"/>
  <c r="E32" i="11"/>
  <c r="E35" i="11"/>
  <c r="F36" i="11"/>
  <c r="D19" i="8"/>
  <c r="E77" i="36"/>
  <c r="D23" i="3"/>
  <c r="F20" i="12"/>
  <c r="E72" i="36"/>
  <c r="E75" i="36"/>
  <c r="F76" i="36"/>
  <c r="E60" i="10"/>
  <c r="F27" i="12"/>
  <c r="E77" i="10"/>
  <c r="C5" i="7"/>
  <c r="G19" i="32"/>
  <c r="D88" i="8" l="1"/>
  <c r="B78" i="8" s="1"/>
  <c r="D9" i="32"/>
  <c r="B77" i="36"/>
  <c r="K30" i="25"/>
  <c r="E32" i="9"/>
  <c r="E61" i="8"/>
  <c r="E78" i="8" s="1"/>
  <c r="E80" i="8" s="1"/>
  <c r="B37" i="11"/>
  <c r="C88" i="9"/>
  <c r="D46" i="9"/>
  <c r="D61" i="9" s="1"/>
  <c r="D74" i="9" s="1"/>
  <c r="E37" i="9"/>
  <c r="F36" i="9"/>
  <c r="E35" i="9"/>
  <c r="G24" i="14"/>
  <c r="G26" i="14" s="1"/>
  <c r="J28" i="14" s="1"/>
  <c r="J30" i="14" s="1"/>
  <c r="B38" i="9"/>
  <c r="C96" i="36"/>
  <c r="D46" i="36"/>
  <c r="D61" i="36" s="1"/>
  <c r="D74" i="36" s="1"/>
  <c r="G73" i="11"/>
  <c r="E46" i="11"/>
  <c r="D88" i="11"/>
  <c r="B78" i="11" s="1"/>
  <c r="C32" i="18"/>
  <c r="D6" i="18"/>
  <c r="D16" i="18" s="1"/>
  <c r="D29" i="18" s="1"/>
  <c r="E6" i="18" s="1"/>
  <c r="E16" i="18" s="1"/>
  <c r="E29" i="18" s="1"/>
  <c r="E31" i="18" s="1"/>
  <c r="M43" i="12"/>
  <c r="C86" i="10"/>
  <c r="D6" i="10"/>
  <c r="D21" i="10" s="1"/>
  <c r="D34" i="10" s="1"/>
  <c r="D29" i="25"/>
  <c r="D30" i="25" s="1"/>
  <c r="K18" i="25"/>
  <c r="C86" i="11"/>
  <c r="D6" i="11"/>
  <c r="D21" i="11" s="1"/>
  <c r="D34" i="11" s="1"/>
  <c r="C86" i="8"/>
  <c r="D6" i="8"/>
  <c r="D21" i="8" s="1"/>
  <c r="D34" i="8" s="1"/>
  <c r="G33" i="8" s="1"/>
  <c r="B30" i="25"/>
  <c r="C63" i="18"/>
  <c r="D37" i="18"/>
  <c r="D47" i="18" s="1"/>
  <c r="D60" i="18" s="1"/>
  <c r="E6" i="9"/>
  <c r="E21" i="9" s="1"/>
  <c r="G33" i="9"/>
  <c r="G73" i="8"/>
  <c r="E61" i="11"/>
  <c r="E78" i="11" s="1"/>
  <c r="E80" i="11" s="1"/>
  <c r="C63" i="17"/>
  <c r="D37" i="17"/>
  <c r="D47" i="17" s="1"/>
  <c r="D60" i="17" s="1"/>
  <c r="C88" i="10"/>
  <c r="D46" i="10"/>
  <c r="D61" i="10" s="1"/>
  <c r="D74" i="10" s="1"/>
  <c r="C44" i="7"/>
  <c r="B21" i="12"/>
  <c r="B36" i="12" s="1"/>
  <c r="B38" i="12" s="1"/>
  <c r="G48" i="7"/>
  <c r="C42" i="7"/>
  <c r="C72" i="7"/>
  <c r="C46" i="6"/>
  <c r="C51" i="6"/>
  <c r="I33" i="4"/>
  <c r="I14" i="4" s="1"/>
  <c r="E11" i="7" s="1"/>
  <c r="I15" i="4"/>
  <c r="E11" i="8" s="1"/>
  <c r="G15" i="4"/>
  <c r="G14" i="4"/>
  <c r="E10" i="7" s="1"/>
  <c r="H33" i="4"/>
  <c r="J35" i="4"/>
  <c r="E10" i="8"/>
  <c r="E59" i="36"/>
  <c r="G74" i="36"/>
  <c r="D86" i="8"/>
  <c r="E6" i="8"/>
  <c r="G74" i="10"/>
  <c r="E6" i="36"/>
  <c r="E21" i="36" s="1"/>
  <c r="E38" i="36" s="1"/>
  <c r="E40" i="36" s="1"/>
  <c r="D94" i="36"/>
  <c r="B38" i="36" s="1"/>
  <c r="G33" i="36"/>
  <c r="D39" i="3"/>
  <c r="F36" i="12"/>
  <c r="F38" i="12" s="1"/>
  <c r="E26" i="3" l="1"/>
  <c r="G75" i="8"/>
  <c r="K75" i="8" s="1"/>
  <c r="B38" i="8"/>
  <c r="E38" i="9"/>
  <c r="E40" i="9" s="1"/>
  <c r="K29" i="25"/>
  <c r="E46" i="9"/>
  <c r="E61" i="9" s="1"/>
  <c r="E78" i="9" s="1"/>
  <c r="E80" i="9" s="1"/>
  <c r="D88" i="9"/>
  <c r="B78" i="9" s="1"/>
  <c r="G73" i="9"/>
  <c r="G23" i="12"/>
  <c r="E59" i="8"/>
  <c r="G24" i="12"/>
  <c r="E27" i="3"/>
  <c r="G35" i="9"/>
  <c r="K35" i="9" s="1"/>
  <c r="F27" i="3"/>
  <c r="H24" i="12"/>
  <c r="G43" i="9" s="1"/>
  <c r="E19" i="9"/>
  <c r="E32" i="3"/>
  <c r="G29" i="12"/>
  <c r="G75" i="11"/>
  <c r="K75" i="11" s="1"/>
  <c r="E59" i="11"/>
  <c r="F32" i="3"/>
  <c r="H29" i="12"/>
  <c r="G83" i="11" s="1"/>
  <c r="D63" i="17"/>
  <c r="E37" i="17"/>
  <c r="E47" i="17" s="1"/>
  <c r="E60" i="17" s="1"/>
  <c r="E62" i="17" s="1"/>
  <c r="E6" i="10"/>
  <c r="E21" i="10" s="1"/>
  <c r="E38" i="10" s="1"/>
  <c r="E40" i="10" s="1"/>
  <c r="G33" i="10"/>
  <c r="D86" i="10"/>
  <c r="B38" i="10" s="1"/>
  <c r="G73" i="36"/>
  <c r="E46" i="36"/>
  <c r="E61" i="36" s="1"/>
  <c r="E78" i="36" s="1"/>
  <c r="E79" i="36" s="1"/>
  <c r="D96" i="36"/>
  <c r="B78" i="36" s="1"/>
  <c r="F26" i="3"/>
  <c r="H23" i="12"/>
  <c r="G83" i="8" s="1"/>
  <c r="I11" i="4"/>
  <c r="D63" i="18"/>
  <c r="E37" i="18"/>
  <c r="E47" i="18" s="1"/>
  <c r="E60" i="18" s="1"/>
  <c r="E62" i="18" s="1"/>
  <c r="D88" i="10"/>
  <c r="B78" i="10" s="1"/>
  <c r="G73" i="10"/>
  <c r="E46" i="10"/>
  <c r="E61" i="10" s="1"/>
  <c r="E78" i="10" s="1"/>
  <c r="E80" i="10" s="1"/>
  <c r="G75" i="10" s="1"/>
  <c r="K75" i="10" s="1"/>
  <c r="E6" i="11"/>
  <c r="E21" i="11" s="1"/>
  <c r="E38" i="11" s="1"/>
  <c r="E40" i="11" s="1"/>
  <c r="G33" i="11"/>
  <c r="D86" i="11"/>
  <c r="B38" i="11" s="1"/>
  <c r="C73" i="7"/>
  <c r="D6" i="7"/>
  <c r="D24" i="7" s="1"/>
  <c r="D6" i="6"/>
  <c r="D27" i="6" s="1"/>
  <c r="C75" i="6"/>
  <c r="G11" i="4"/>
  <c r="E10" i="6" s="1"/>
  <c r="J15" i="4"/>
  <c r="E12" i="8" s="1"/>
  <c r="E20" i="8" s="1"/>
  <c r="G34" i="8" s="1"/>
  <c r="J14" i="4"/>
  <c r="I23" i="4"/>
  <c r="E11" i="6"/>
  <c r="G76" i="8"/>
  <c r="G79" i="8" s="1"/>
  <c r="F22" i="3"/>
  <c r="J32" i="14"/>
  <c r="J34" i="14" s="1"/>
  <c r="J41" i="14" s="1"/>
  <c r="G19" i="12"/>
  <c r="E22" i="3"/>
  <c r="G35" i="36"/>
  <c r="K35" i="36" s="1"/>
  <c r="H19" i="12"/>
  <c r="G43" i="36" s="1"/>
  <c r="G36" i="36"/>
  <c r="G39" i="36" s="1"/>
  <c r="G27" i="12"/>
  <c r="E30" i="3"/>
  <c r="G36" i="9"/>
  <c r="G39" i="9" s="1"/>
  <c r="E80" i="36"/>
  <c r="G75" i="36" s="1"/>
  <c r="E28" i="3" l="1"/>
  <c r="G75" i="9"/>
  <c r="F28" i="3"/>
  <c r="H25" i="12"/>
  <c r="G83" i="9" s="1"/>
  <c r="G25" i="12"/>
  <c r="E59" i="9"/>
  <c r="G76" i="11"/>
  <c r="G79" i="11" s="1"/>
  <c r="E59" i="10"/>
  <c r="F30" i="3"/>
  <c r="G23" i="4"/>
  <c r="E19" i="10"/>
  <c r="E29" i="3"/>
  <c r="G26" i="12"/>
  <c r="F29" i="3"/>
  <c r="H26" i="12"/>
  <c r="G43" i="10" s="1"/>
  <c r="G35" i="10"/>
  <c r="K35" i="10" s="1"/>
  <c r="H27" i="12"/>
  <c r="G83" i="10" s="1"/>
  <c r="G28" i="12"/>
  <c r="H28" i="12"/>
  <c r="G43" i="11" s="1"/>
  <c r="E19" i="11"/>
  <c r="F31" i="3"/>
  <c r="G35" i="11"/>
  <c r="K35" i="11" s="1"/>
  <c r="E31" i="3"/>
  <c r="D39" i="7"/>
  <c r="D43" i="7" s="1"/>
  <c r="D46" i="6"/>
  <c r="D51" i="6"/>
  <c r="E12" i="7"/>
  <c r="E23" i="7" s="1"/>
  <c r="J11" i="4"/>
  <c r="E21" i="8"/>
  <c r="E38" i="8" s="1"/>
  <c r="E40" i="8" s="1"/>
  <c r="K75" i="36"/>
  <c r="G76" i="36"/>
  <c r="G79" i="36" s="1"/>
  <c r="G76" i="10"/>
  <c r="G79" i="10" s="1"/>
  <c r="G20" i="12"/>
  <c r="G15" i="35"/>
  <c r="G22" i="35" s="1"/>
  <c r="F23" i="3"/>
  <c r="H20" i="12"/>
  <c r="G83" i="36" s="1"/>
  <c r="E23" i="3"/>
  <c r="G76" i="9" l="1"/>
  <c r="G79" i="9" s="1"/>
  <c r="K75" i="9"/>
  <c r="G36" i="11"/>
  <c r="G39" i="11" s="1"/>
  <c r="G36" i="10"/>
  <c r="G39" i="10" s="1"/>
  <c r="D72" i="7"/>
  <c r="B47" i="7" s="1"/>
  <c r="D21" i="12"/>
  <c r="D36" i="12" s="1"/>
  <c r="D38" i="12" s="1"/>
  <c r="D42" i="7"/>
  <c r="D44" i="7"/>
  <c r="E6" i="6"/>
  <c r="D75" i="6"/>
  <c r="B55" i="6" s="1"/>
  <c r="G50" i="6"/>
  <c r="G44" i="7"/>
  <c r="E12" i="6"/>
  <c r="E26" i="6" s="1"/>
  <c r="E27" i="6" s="1"/>
  <c r="J23" i="4"/>
  <c r="H22" i="12"/>
  <c r="G43" i="8" s="1"/>
  <c r="F25" i="3"/>
  <c r="E19" i="8"/>
  <c r="G35" i="8"/>
  <c r="G22" i="12"/>
  <c r="E25" i="3"/>
  <c r="D24" i="35"/>
  <c r="E23" i="35"/>
  <c r="G51" i="6" l="1"/>
  <c r="D73" i="7"/>
  <c r="B48" i="7" s="1"/>
  <c r="E6" i="7"/>
  <c r="E24" i="7" s="1"/>
  <c r="E48" i="7" s="1"/>
  <c r="E50" i="7" s="1"/>
  <c r="E39" i="7" s="1"/>
  <c r="G43" i="7"/>
  <c r="K35" i="8"/>
  <c r="G36" i="8"/>
  <c r="G39" i="8" s="1"/>
  <c r="E55" i="6"/>
  <c r="E57" i="6" s="1"/>
  <c r="E46" i="6" s="1"/>
  <c r="G45" i="7" l="1"/>
  <c r="E22" i="7"/>
  <c r="E24" i="3"/>
  <c r="F24" i="3" s="1"/>
  <c r="G21" i="12"/>
  <c r="M38" i="12" s="1"/>
  <c r="M45" i="12" s="1"/>
  <c r="M33" i="12" s="1"/>
  <c r="E21" i="3"/>
  <c r="G18" i="12"/>
  <c r="G52" i="6"/>
  <c r="E44" i="6"/>
  <c r="E25" i="6"/>
  <c r="H21" i="12" l="1"/>
  <c r="G53" i="7" s="1"/>
  <c r="K45" i="7"/>
  <c r="G46" i="7"/>
  <c r="G49" i="7" s="1"/>
  <c r="K52" i="6"/>
  <c r="G53" i="6"/>
  <c r="G56" i="6" s="1"/>
  <c r="F21" i="3"/>
  <c r="F39" i="3" s="1"/>
  <c r="E39" i="3"/>
  <c r="H18" i="12"/>
  <c r="M39" i="12"/>
  <c r="G36" i="12"/>
  <c r="G60" i="6" l="1"/>
  <c r="H36" i="12"/>
  <c r="M46" i="12"/>
  <c r="M34" i="12" s="1"/>
  <c r="M40" i="12"/>
  <c r="M44" i="12" s="1"/>
  <c r="E41" i="3"/>
  <c r="E10" i="37"/>
  <c r="I48" i="36" l="1"/>
  <c r="I88" i="36"/>
  <c r="I92" i="10"/>
  <c r="I65" i="6"/>
  <c r="I48" i="11"/>
  <c r="I48" i="10"/>
  <c r="I48" i="9"/>
  <c r="I48" i="8"/>
  <c r="I92" i="8"/>
  <c r="I92" i="9"/>
  <c r="I58" i="7"/>
  <c r="I92" i="11"/>
  <c r="G89" i="11"/>
  <c r="G89" i="8"/>
  <c r="G85" i="36"/>
  <c r="G45" i="8"/>
  <c r="G29" i="35"/>
  <c r="E30" i="35" s="1"/>
  <c r="D31" i="35" s="1"/>
  <c r="F33" i="35" s="1"/>
  <c r="F80" i="36" s="1"/>
  <c r="G45" i="11"/>
  <c r="G89" i="10"/>
  <c r="G45" i="36"/>
  <c r="M51" i="12"/>
  <c r="G55" i="7"/>
  <c r="G45" i="9"/>
  <c r="G89" i="9"/>
  <c r="G62" i="6"/>
  <c r="G45" i="10"/>
  <c r="M53" i="12" l="1"/>
  <c r="M52" i="12"/>
  <c r="M54" i="12"/>
  <c r="M57" i="12" l="1"/>
  <c r="M56" i="12"/>
</calcChain>
</file>

<file path=xl/sharedStrings.xml><?xml version="1.0" encoding="utf-8"?>
<sst xmlns="http://schemas.openxmlformats.org/spreadsheetml/2006/main" count="1720" uniqueCount="986">
  <si>
    <t>Total Tax Levied</t>
  </si>
  <si>
    <t>Outstanding Indebtedness,</t>
  </si>
  <si>
    <t xml:space="preserve">  Jan 1</t>
  </si>
  <si>
    <t>G.O. Bonds</t>
  </si>
  <si>
    <t xml:space="preserve">     Total</t>
  </si>
  <si>
    <t xml:space="preserve">  *Tax rates are expressed in mills.</t>
  </si>
  <si>
    <t>Date</t>
  </si>
  <si>
    <t xml:space="preserve">   Amount Due</t>
  </si>
  <si>
    <t>of</t>
  </si>
  <si>
    <t xml:space="preserve">  Date Due</t>
  </si>
  <si>
    <t>Issue</t>
  </si>
  <si>
    <t>Issued</t>
  </si>
  <si>
    <t>Term</t>
  </si>
  <si>
    <t>Interest</t>
  </si>
  <si>
    <t>Principal</t>
  </si>
  <si>
    <t>Payments</t>
  </si>
  <si>
    <t xml:space="preserve">  Contract</t>
  </si>
  <si>
    <t>Contract</t>
  </si>
  <si>
    <t>Financed</t>
  </si>
  <si>
    <t>Due</t>
  </si>
  <si>
    <t>(Months)</t>
  </si>
  <si>
    <t>16/20 M Vehicle Tax</t>
  </si>
  <si>
    <t>CERTIFICATE</t>
  </si>
  <si>
    <t>NOTICE OF BUDGET HEARING</t>
  </si>
  <si>
    <t>BUDGET SUMMARY</t>
  </si>
  <si>
    <t>STATEMENT OF CONDITIONAL LEASE-PURCHASE AND CERTIFICATE OF PARTICIPATION*</t>
  </si>
  <si>
    <t>STATEMENT OF INDEBTEDNESS</t>
  </si>
  <si>
    <t>County Treasurer's 16/20M Vehicle Estimate</t>
  </si>
  <si>
    <t xml:space="preserve">Total </t>
  </si>
  <si>
    <t>16/20M Vehicle Factor</t>
  </si>
  <si>
    <t>MVT</t>
  </si>
  <si>
    <t>RVT</t>
  </si>
  <si>
    <t>Amount of Levy</t>
  </si>
  <si>
    <t xml:space="preserve"> 1.</t>
  </si>
  <si>
    <t xml:space="preserve"> 2.</t>
  </si>
  <si>
    <t>-</t>
  </si>
  <si>
    <t xml:space="preserve"> 3.</t>
  </si>
  <si>
    <t xml:space="preserve"> 4.</t>
  </si>
  <si>
    <t xml:space="preserve"> 5.</t>
  </si>
  <si>
    <t>5a.</t>
  </si>
  <si>
    <t>5b.</t>
  </si>
  <si>
    <t>5c.</t>
  </si>
  <si>
    <t>6.</t>
  </si>
  <si>
    <t>7.</t>
  </si>
  <si>
    <t>8.</t>
  </si>
  <si>
    <t>9.</t>
  </si>
  <si>
    <t>10.</t>
  </si>
  <si>
    <t>11.</t>
  </si>
  <si>
    <t>12.</t>
  </si>
  <si>
    <t>(Use Only if &gt; 0)</t>
  </si>
  <si>
    <t>Final Assessed Valuation:</t>
  </si>
  <si>
    <t>16/20M Vehicle Tax</t>
  </si>
  <si>
    <t>Special Highway/Gasoline Tax</t>
  </si>
  <si>
    <t>Officers Pay</t>
  </si>
  <si>
    <t>Employee Benefits</t>
  </si>
  <si>
    <t>Transfer to Special Machinery</t>
  </si>
  <si>
    <t>Road Materials</t>
  </si>
  <si>
    <t>Balance On</t>
  </si>
  <si>
    <t>13.</t>
  </si>
  <si>
    <t>14.</t>
  </si>
  <si>
    <t>Unencumbered Cash Balance January 1</t>
  </si>
  <si>
    <t>Unencumbered Cash Balance Dec 31</t>
  </si>
  <si>
    <t>Receipts:</t>
  </si>
  <si>
    <t>16/20M Veh</t>
  </si>
  <si>
    <t>Outstanding</t>
  </si>
  <si>
    <t>(Beginning Principal)</t>
  </si>
  <si>
    <t>County Clerk's Use Only</t>
  </si>
  <si>
    <t>Salaries &amp; Wages</t>
  </si>
  <si>
    <t>Buildings Maintenance</t>
  </si>
  <si>
    <t>Road Maintenance</t>
  </si>
  <si>
    <t>Insurance</t>
  </si>
  <si>
    <t>Statement of Indebt. &amp; Lease/Purchase</t>
  </si>
  <si>
    <t>Other Fund Names:</t>
  </si>
  <si>
    <t>FUND PAGE FOR FUNDS WITH NO TAX LEVY</t>
  </si>
  <si>
    <t>Unencumbered Cash Balance Jan 1</t>
  </si>
  <si>
    <t>Address:</t>
  </si>
  <si>
    <t>Enter year being budgeted (YYYY)</t>
  </si>
  <si>
    <t xml:space="preserve">The input for the following comes directly from </t>
  </si>
  <si>
    <t xml:space="preserve">Enter the following information from the sources shown.  This information will be entered on the budget </t>
  </si>
  <si>
    <t>Attest: ____________________,</t>
  </si>
  <si>
    <t xml:space="preserve">certify that:  (1) the hearing mentioned in the attached publication was held; </t>
  </si>
  <si>
    <t>(2) after the Budget Hearing this budget was approved and adopted as the</t>
  </si>
  <si>
    <t>We, the undersigned, officers of</t>
  </si>
  <si>
    <t>10-113</t>
  </si>
  <si>
    <t>Total G.O. Bonds</t>
  </si>
  <si>
    <t>Total Other</t>
  </si>
  <si>
    <t>Note:  All amounts are to be entered in as whole numbers only.</t>
  </si>
  <si>
    <t>Motor Vehicle Tax Estimate</t>
  </si>
  <si>
    <t>16\20 M Vehicle Tax</t>
  </si>
  <si>
    <t>LAVTR</t>
  </si>
  <si>
    <t>Computation of Delinquency</t>
  </si>
  <si>
    <r>
      <t>**</t>
    </r>
    <r>
      <rPr>
        <b/>
        <u/>
        <sz val="12"/>
        <rFont val="Times New Roman"/>
        <family val="1"/>
      </rPr>
      <t>Note</t>
    </r>
    <r>
      <rPr>
        <sz val="12"/>
        <rFont val="Times New Roman"/>
        <family val="1"/>
      </rPr>
      <t>: The delinquency rate can be up to 5% more than the actual delinquency rate from the previous year.</t>
    </r>
  </si>
  <si>
    <t xml:space="preserve">  G.O. Bonds</t>
  </si>
  <si>
    <t xml:space="preserve">  Lease Purchase Principal</t>
  </si>
  <si>
    <t>Budget Summary</t>
  </si>
  <si>
    <t>Schedule of Transfers</t>
  </si>
  <si>
    <t>Current</t>
  </si>
  <si>
    <t>Proposed</t>
  </si>
  <si>
    <t>Transfers</t>
  </si>
  <si>
    <t>Amount for</t>
  </si>
  <si>
    <t xml:space="preserve">Authorized by </t>
  </si>
  <si>
    <t>From:</t>
  </si>
  <si>
    <t xml:space="preserve">  To:</t>
  </si>
  <si>
    <t>Adjusted Totals</t>
  </si>
  <si>
    <t>When the page numbers are changed on the fund pages, the Certificate page will also be changed.</t>
  </si>
  <si>
    <t xml:space="preserve">General Instructions </t>
  </si>
  <si>
    <t>All dollar amounts should be rounded to whole dollars (do not record cents).</t>
  </si>
  <si>
    <t xml:space="preserve">Enter information  in all areas that are green if they apply to the budget you are preparing. </t>
  </si>
  <si>
    <t>The blue areas indicated where the information comes from to complete the section input.</t>
  </si>
  <si>
    <t>To print the spreadsheets, you can either print one sheet at a time or all of the sheets at once.</t>
  </si>
  <si>
    <t>Computer Spreadsheet Preparation</t>
  </si>
  <si>
    <t>1a. Dates for the entire budget workbook is controlled by the year entered into the "Enter year being budgeted (YYYY)" field.  If you find a date that is not correct for the budget being submitted, please contact us for assistance.</t>
  </si>
  <si>
    <t>2a.  Enter the Computation of Delinquency information. Please note that K.S.A. 79-2930 states that such allowance shall not exceed by more than 5% the percentage of delinquency for the preceding tax year.  Such allowance is not mandatory, but may be used if the municipality wishes.</t>
  </si>
  <si>
    <t>The following were changed to this spreadsheet on 8/06/2007</t>
  </si>
  <si>
    <t>2. All pages have a revision date.</t>
  </si>
  <si>
    <t>5. Computation to Determine Limit now has the debts amounts link within the spreadsheet.</t>
  </si>
  <si>
    <t>6. Schedule of Transfers have the transfers totaled and link to the budget summary page.</t>
  </si>
  <si>
    <t xml:space="preserve">7. Now have the indebtedness prior year added to the input page and link with the budget summary page. </t>
  </si>
  <si>
    <t xml:space="preserve">3. Hard coded the Bond &amp; Interest, and Road on Certificate and Summary pages. </t>
  </si>
  <si>
    <t xml:space="preserve">4.  All dates on the spreadsheet are controlled from input on the input Prior Year page. </t>
  </si>
  <si>
    <t>9. Changed the Budget Summary Heading to include Actual/Estimate/Proposed with the budget year.</t>
  </si>
  <si>
    <t>10. Changed the delinquency rate formula for all levy funds.</t>
  </si>
  <si>
    <t>14. Added column to show when debt retired on the Indebtedness page.</t>
  </si>
  <si>
    <t>16. Resolution page has a space for a page number.</t>
  </si>
  <si>
    <t>Input sheet for Township1 budget form</t>
  </si>
  <si>
    <t>Enter name of first Third Class City</t>
  </si>
  <si>
    <t>Enter name of second Third Class City</t>
  </si>
  <si>
    <t>Township estimates:</t>
  </si>
  <si>
    <t xml:space="preserve">Motor Vehicle Tax Estimate </t>
  </si>
  <si>
    <t xml:space="preserve">Recreational Vehicle Tax Estimate </t>
  </si>
  <si>
    <t xml:space="preserve">16\20 M Vehicle Tax </t>
  </si>
  <si>
    <t>1st Third Class City estimates: ***</t>
  </si>
  <si>
    <t>2nd Third Class City estimates: ***</t>
  </si>
  <si>
    <t>*** Note: These estimates are only completed if the County Treasurer provides a breakout from the Township.</t>
  </si>
  <si>
    <t>Township</t>
  </si>
  <si>
    <t>12. On inputpryr, using the actual ad valorem rates from the Clerk's information versus from the Certificate page.</t>
  </si>
  <si>
    <t>17. On inputpryr page add two spaces for Third Class City names, and levy amounts with links to Budget Summary.</t>
  </si>
  <si>
    <t>18. On inputoth page add two spaces for Third Class City for vehicle allocation, clerk's Nov assessed valuation, and  current year valuation.</t>
  </si>
  <si>
    <t>19. Budget Summary page add places to the Third Class City valuations.</t>
  </si>
  <si>
    <t xml:space="preserve">  Other</t>
  </si>
  <si>
    <t>1b. Information for up to two third class cities can be entered into the spreadsheet for the township's budget.</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</si>
  <si>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</si>
  <si>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t>forms in the appropriate locations.  If any of the numbers are wrong, change them on this input sheet.</t>
  </si>
  <si>
    <t>Outstanding Indebtedness, January 1:</t>
  </si>
  <si>
    <t>1. instruction were changed: POC change from Roger to armunis, got rid about us providing disk, took the input page and split to input prior budget information and input other, with more in-depth of forms and fund page, and more in-depth on the budget summary page.</t>
  </si>
  <si>
    <t>11. Changed the Certificate page so the county name flows instead of having unneeded spaces.</t>
  </si>
  <si>
    <t>13. Delinquency rate for actual for 3 decimal and note that rate can be up to 5% over the actual rate.</t>
  </si>
  <si>
    <t>20. Added to instructions about non-appropriated funds limit of 5%.</t>
  </si>
  <si>
    <t>Neighborhood Revitalization</t>
  </si>
  <si>
    <t>23. Added Neighborhood Revitalization receipt to all tax levy fund pages.</t>
  </si>
  <si>
    <t>25. Added Slider to the Vehicle Allocation table and linked to the fund pages.</t>
  </si>
  <si>
    <t>Funds</t>
  </si>
  <si>
    <t>Budget Authority</t>
  </si>
  <si>
    <t xml:space="preserve">expenditure amounts should reflect the amended </t>
  </si>
  <si>
    <t>expenditure amounts.</t>
  </si>
  <si>
    <t>26. Added to all budgeted fund pages the budget authority for the actual year, budget violation, and cash violation.</t>
  </si>
  <si>
    <t>27. Added instruction on the addition for item 26.</t>
  </si>
  <si>
    <t>Noxious Weed</t>
  </si>
  <si>
    <t>2-1318</t>
  </si>
  <si>
    <t>Total Assessed Valuation</t>
  </si>
  <si>
    <t xml:space="preserve">Submitting the Budget </t>
  </si>
  <si>
    <r>
      <t xml:space="preserve">Budgets are required to be sent to the County Clerk </t>
    </r>
    <r>
      <rPr>
        <b/>
        <sz val="12"/>
        <rFont val="Times New Roman"/>
        <family val="1"/>
      </rPr>
      <t>by August 25</t>
    </r>
    <r>
      <rPr>
        <sz val="12"/>
        <rFont val="Times New Roman"/>
        <family val="1"/>
      </rPr>
      <t xml:space="preserve"> of each year. </t>
    </r>
  </si>
  <si>
    <t xml:space="preserve">The worksheets are named (see the tab) in each budget workbook.  We will identify the worksheet by referencing the tab in parentheses (i.e. General Fund reference would be (gen)). </t>
  </si>
  <si>
    <t>Red areas are for notes or indicate a problem area that will need possible corrective action taken.</t>
  </si>
  <si>
    <t>28. Added 9a to instructions to explain County Treasurers Jan 1 and Dec 31 balances.</t>
  </si>
  <si>
    <t>29. Added 'excluding oil, gas, and mobile homes' to lines 17,21,27, and 31 on Clerks budget info on tab inputoth.</t>
  </si>
  <si>
    <t>***If you are merely leasing/renting with no intent to purchase, do not list--such transactions are not lease-purchases.</t>
  </si>
  <si>
    <t>Transfer to Spec. Mach.(No Levy)</t>
  </si>
  <si>
    <t>Does the General Fund have a tax levy</t>
  </si>
  <si>
    <t>Transfer to Spec. Mach.(Gen has Levy)</t>
  </si>
  <si>
    <t xml:space="preserve">General </t>
  </si>
  <si>
    <t xml:space="preserve">  General Fund (No Levy)</t>
  </si>
  <si>
    <t xml:space="preserve">  General Fund (Gen has Levy)</t>
  </si>
  <si>
    <t>1. Input tab (inputPrYr) added column for the current year expenditures.</t>
  </si>
  <si>
    <t>2. Added to all tax levy fund pages the miscellaneous receipt for the proposed year comparison takes into account the ad valorem taxes for the 10% Rule.</t>
  </si>
  <si>
    <t>14. If road transfer funds to special machinery, the transfers are linked and to the Schedule of Transfers.</t>
  </si>
  <si>
    <r>
      <t>14b. Special Machinery also has error message '</t>
    </r>
    <r>
      <rPr>
        <sz val="12"/>
        <color indexed="10"/>
        <rFont val="Times New Roman"/>
        <family val="1"/>
      </rPr>
      <t>Exceeds 25% of Resources Available</t>
    </r>
    <r>
      <rPr>
        <sz val="12"/>
        <rFont val="Times New Roman"/>
        <family val="1"/>
      </rPr>
      <t>'.</t>
    </r>
  </si>
  <si>
    <t>14c. Schedule of Transfer has the transfers link and will show statute allowing for the transfer for actual year only.</t>
  </si>
  <si>
    <t>15. Added transfers on the general fund page and questions pertaining to the transfers.</t>
  </si>
  <si>
    <r>
      <t xml:space="preserve">15a. The first transfer checks for if ad valorem taxes were levied. If so, then transfer block turns </t>
    </r>
    <r>
      <rPr>
        <sz val="12"/>
        <color indexed="10"/>
        <rFont val="Times New Roman"/>
        <family val="1"/>
      </rPr>
      <t>red</t>
    </r>
    <r>
      <rPr>
        <sz val="12"/>
        <rFont val="Times New Roman"/>
        <family val="1"/>
      </rPr>
      <t xml:space="preserve"> and error message '</t>
    </r>
    <r>
      <rPr>
        <sz val="12"/>
        <color indexed="10"/>
        <rFont val="Times New Roman"/>
        <family val="1"/>
      </rPr>
      <t>Not Authorized</t>
    </r>
    <r>
      <rPr>
        <sz val="12"/>
        <rFont val="Times New Roman"/>
        <family val="1"/>
      </rPr>
      <t>' appears.</t>
    </r>
  </si>
  <si>
    <t>15c. Transfers are linked from general fund to special machinery and to Schedule of Transfers. Transfers for actual year will also have the statute reference shown.</t>
  </si>
  <si>
    <t>21. Added warning "Exceeds 5%" on all levy fund pages for the non-appropriated balance.</t>
  </si>
  <si>
    <t>4. All tax levy fund pages abbreviated the non-appropriated, total expenditures/non-appropriated, and delinquency computation rate.</t>
  </si>
  <si>
    <r>
      <t xml:space="preserve">14a. Road transfer is checked to see if exceeds 25%, if so, then block turns </t>
    </r>
    <r>
      <rPr>
        <sz val="12"/>
        <color indexed="10"/>
        <rFont val="Times New Roman"/>
        <family val="1"/>
      </rPr>
      <t>red</t>
    </r>
    <r>
      <rPr>
        <sz val="12"/>
        <rFont val="Times New Roman"/>
        <family val="1"/>
      </rPr>
      <t xml:space="preserve"> and below statement will appear '</t>
    </r>
    <r>
      <rPr>
        <sz val="12"/>
        <color indexed="10"/>
        <rFont val="Times New Roman"/>
        <family val="1"/>
      </rPr>
      <t>Exceeds 25%</t>
    </r>
    <r>
      <rPr>
        <sz val="12"/>
        <rFont val="Times New Roman"/>
        <family val="1"/>
      </rPr>
      <t xml:space="preserve">'. </t>
    </r>
  </si>
  <si>
    <r>
      <t xml:space="preserve">15b. Second transfer checks to see if exceeds 25% limitation. If so, then transfer block turns </t>
    </r>
    <r>
      <rPr>
        <sz val="12"/>
        <color indexed="10"/>
        <rFont val="Times New Roman"/>
        <family val="1"/>
      </rPr>
      <t xml:space="preserve">red </t>
    </r>
    <r>
      <rPr>
        <sz val="12"/>
        <rFont val="Times New Roman"/>
        <family val="1"/>
      </rPr>
      <t>and error message '</t>
    </r>
    <r>
      <rPr>
        <sz val="12"/>
        <color indexed="10"/>
        <rFont val="Times New Roman"/>
        <family val="1"/>
      </rPr>
      <t>Exceeds 25%</t>
    </r>
    <r>
      <rPr>
        <sz val="12"/>
        <rFont val="Times New Roman"/>
        <family val="1"/>
      </rPr>
      <t>' appears.</t>
    </r>
  </si>
  <si>
    <r>
      <t>16. Error messages will appear next to transfers for the special machinery transfers from the general fund if both transfer blocks indicate a transfer. A error message will appear '</t>
    </r>
    <r>
      <rPr>
        <sz val="12"/>
        <color indexed="10"/>
        <rFont val="Times New Roman"/>
        <family val="1"/>
      </rPr>
      <t>Not Authorized Two Transfers - Only One</t>
    </r>
    <r>
      <rPr>
        <sz val="12"/>
        <rFont val="Times New Roman"/>
        <family val="1"/>
      </rPr>
      <t>'</t>
    </r>
  </si>
  <si>
    <t>17. Deleted lines pertaining to the beginning and ending balance for the County Treasurer.</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</si>
  <si>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</si>
  <si>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</si>
  <si>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</si>
  <si>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</si>
  <si>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</si>
  <si>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</si>
  <si>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</si>
  <si>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</si>
  <si>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</si>
  <si>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</si>
  <si>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</si>
  <si>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12. Added instruction lines 9g to 9l for additional edits for budget authority.</t>
  </si>
  <si>
    <t>13. Allow the General Fund transfer of 25% to Special Machinery to include ad valorem taxes into the computation of the 25% limitation in the proposed column.</t>
  </si>
  <si>
    <t>2b. If the township chooses not to use the delinquency rate for all tax levy funds, then the township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</si>
  <si>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t>The following were changed to this spreadsheet on 10/17/2008</t>
  </si>
  <si>
    <t>Enter Township Name followed by 'Township'</t>
  </si>
  <si>
    <t>Enter County Name followed by 'County'</t>
  </si>
  <si>
    <t>Note: The green shaded areas will automatically expand.</t>
  </si>
  <si>
    <t>68-518c</t>
  </si>
  <si>
    <t>TOTAL</t>
  </si>
  <si>
    <t>Miscellaneous</t>
  </si>
  <si>
    <t>Does miscellaneous exceed 10% of Total Receipts</t>
  </si>
  <si>
    <t>Neighborhood Revitalization Rebate</t>
  </si>
  <si>
    <t>24. Added Neighborhood Revitalization line to the Certificate page.</t>
  </si>
  <si>
    <t>22. Added Neighborhood Revitalization table and linked to the fund pages.</t>
  </si>
  <si>
    <t>8. Added  LAVTR to the input page and to the General Fund page.</t>
  </si>
  <si>
    <t>15. Budget Summary changed the sentence "will meet…" so the year appears as YYYY.</t>
  </si>
  <si>
    <t>Township Assessed Valuation Only</t>
  </si>
  <si>
    <t>Statute</t>
  </si>
  <si>
    <t>Fund name for all funds with a tax levy:</t>
  </si>
  <si>
    <t>General</t>
  </si>
  <si>
    <t>79-1962</t>
  </si>
  <si>
    <t>Road</t>
  </si>
  <si>
    <t>Total</t>
  </si>
  <si>
    <t>Recreational Vehicle Tax Estimate</t>
  </si>
  <si>
    <t xml:space="preserve"> </t>
  </si>
  <si>
    <t>County</t>
  </si>
  <si>
    <t>Page</t>
  </si>
  <si>
    <t>Clerk's</t>
  </si>
  <si>
    <t>Table of Contents:</t>
  </si>
  <si>
    <t>No.</t>
  </si>
  <si>
    <t>Expenditure</t>
  </si>
  <si>
    <t>Use Only</t>
  </si>
  <si>
    <t>Fund</t>
  </si>
  <si>
    <t>K.S.A.</t>
  </si>
  <si>
    <t>Special Machinery</t>
  </si>
  <si>
    <t>Totals</t>
  </si>
  <si>
    <t>x</t>
  </si>
  <si>
    <t xml:space="preserve">         </t>
  </si>
  <si>
    <t>Assisted by:</t>
  </si>
  <si>
    <t xml:space="preserve">    Governing Body</t>
  </si>
  <si>
    <t>County Clerk</t>
  </si>
  <si>
    <t>Special Road Election held ___________ for ___Mills for ___ years.</t>
  </si>
  <si>
    <t>First levy in ______.</t>
  </si>
  <si>
    <t>$</t>
  </si>
  <si>
    <t>Rate</t>
  </si>
  <si>
    <t>Amount</t>
  </si>
  <si>
    <t>County Treasurer's Motor Vehicle Estimate</t>
  </si>
  <si>
    <t>County Treasurer's Recreational Vehicle Estimate</t>
  </si>
  <si>
    <t>Motor Vehicle Factor</t>
  </si>
  <si>
    <t>Recreational Vehicle Factor</t>
  </si>
  <si>
    <t>Page No.</t>
  </si>
  <si>
    <t>Adopted Budget</t>
  </si>
  <si>
    <t>Prior Year</t>
  </si>
  <si>
    <t>Current Year</t>
  </si>
  <si>
    <t>Proposed Budget</t>
  </si>
  <si>
    <t>Unencumbered Cash Balance, Jan 1</t>
  </si>
  <si>
    <t>+</t>
  </si>
  <si>
    <t>Ad Valorem Tax</t>
  </si>
  <si>
    <t>Delinquent Tax</t>
  </si>
  <si>
    <t>Motor Vehicle Tax</t>
  </si>
  <si>
    <t>Recreational Vehicle Tax</t>
  </si>
  <si>
    <t>Gross Earnings (Intangibles) Tax</t>
  </si>
  <si>
    <t>Other</t>
  </si>
  <si>
    <t>Interest on Idle Funds</t>
  </si>
  <si>
    <t>Total Receipts</t>
  </si>
  <si>
    <t>Resources Available:</t>
  </si>
  <si>
    <t>Expenditures:</t>
  </si>
  <si>
    <t>Total Expenditures</t>
  </si>
  <si>
    <t>Unencumbered Cash Balance, Dec 31</t>
  </si>
  <si>
    <t>Tax Required</t>
  </si>
  <si>
    <t>%</t>
  </si>
  <si>
    <t xml:space="preserve">Special Machinery </t>
  </si>
  <si>
    <t xml:space="preserve">     K.S.A. 68-141g</t>
  </si>
  <si>
    <t>Actual</t>
  </si>
  <si>
    <t>Transfers from:</t>
  </si>
  <si>
    <t xml:space="preserve">  Road Fund</t>
  </si>
  <si>
    <t xml:space="preserve">        </t>
  </si>
  <si>
    <t>Supplies</t>
  </si>
  <si>
    <t xml:space="preserve">       </t>
  </si>
  <si>
    <t xml:space="preserve">     </t>
  </si>
  <si>
    <t>The governing body of</t>
  </si>
  <si>
    <t>Est.</t>
  </si>
  <si>
    <t>Tax</t>
  </si>
  <si>
    <t>Expenditures</t>
  </si>
  <si>
    <t>Rate*</t>
  </si>
  <si>
    <t>Less: Transfers</t>
  </si>
  <si>
    <t>Net Expenditure</t>
  </si>
  <si>
    <t xml:space="preserve">K.S.A. 79-2926 requires budgets to be submited by electronic means. Contact your County Clerk for the specify instruction as to submission of the budget.  </t>
  </si>
  <si>
    <t>The following were changed to this spreadsheet on 2/23/09</t>
  </si>
  <si>
    <t>1. Instruction under Submitting of Budget ….required electronic submission.</t>
  </si>
  <si>
    <t>2. Input other tab line 80 change from Budget Summary to Budget Certificate.</t>
  </si>
  <si>
    <t>Debt Service</t>
  </si>
  <si>
    <t>The following were changed to this spreadsheet on 3/19/09</t>
  </si>
  <si>
    <t>1. Certificate page changed fund name from Bond &amp; Interest to Debt Service</t>
  </si>
  <si>
    <t>2. Debt Service fund page name changed from Bond &amp; Interest to Debt Service</t>
  </si>
  <si>
    <t>3. Budget Summary changed fund name from Bond &amp; Interest to Debt Service</t>
  </si>
  <si>
    <t>1. Changed mvalloc column d to pickup ad valorem versus equipments from inputPrYr</t>
  </si>
  <si>
    <t>1. Summ tab, special machinery's expenditure cell b34 was changed from C61 to B61</t>
  </si>
  <si>
    <t>Special Road</t>
  </si>
  <si>
    <t>80-1413</t>
  </si>
  <si>
    <r>
      <rPr>
        <b/>
        <sz val="12"/>
        <color indexed="10"/>
        <rFont val="Times New Roman"/>
        <family val="1"/>
      </rPr>
      <t>*</t>
    </r>
    <r>
      <rPr>
        <b/>
        <sz val="12"/>
        <rFont val="Times New Roman"/>
        <family val="1"/>
      </rPr>
      <t>If amended, then use the amended figures.</t>
    </r>
    <r>
      <rPr>
        <b/>
        <sz val="12"/>
        <color indexed="10"/>
        <rFont val="Times New Roman"/>
        <family val="1"/>
      </rPr>
      <t>*</t>
    </r>
  </si>
  <si>
    <t>1. InputPrYr tab changed the Bond &amp; Interest to Debt Service</t>
  </si>
  <si>
    <t>2. InputPrYr tab added line 18 'If amended…..</t>
  </si>
  <si>
    <t>3. Cert tab changed the mill rate computation for Special Road and Noxious Weed to use township valuation only</t>
  </si>
  <si>
    <t>4. Transfer tab changed line 13 from General/Road to Road/Special Machinery</t>
  </si>
  <si>
    <t>5. Transfer tab change line 13 link from 38 to 36</t>
  </si>
  <si>
    <t>6. Summ tab change mill levy computation for Special Road and Noxious Weed to use township valuation only</t>
  </si>
  <si>
    <t>7. Mvalloc tab change vehicle table reference from D to E for all cells</t>
  </si>
  <si>
    <t>Transfers - Townships</t>
  </si>
  <si>
    <t>8.TransferStatutes tab created</t>
  </si>
  <si>
    <t>9. Instructions tab added 6c for TransferStatutes tab</t>
  </si>
  <si>
    <t>Township2 Spreadsheet Instructions</t>
  </si>
  <si>
    <t xml:space="preserve">Townships can use the township.xls,  township1.xls, township2, or township3.xls files.   You must choose a form that meets the needs for the number of funds.  If you don't need all the funds, just leave the pages blank and number the completed pages sequentially. </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</si>
  <si>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</si>
  <si>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</si>
  <si>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</si>
  <si>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</si>
  <si>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</si>
  <si>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</si>
  <si>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</si>
  <si>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</si>
  <si>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</si>
  <si>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</si>
  <si>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</si>
  <si>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</si>
  <si>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</si>
  <si>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10. Instruction tab added 9m to explain about Non-Budgeted Form</t>
  </si>
  <si>
    <t>11. Cert tab added Non-Budgeted Funds line A35</t>
  </si>
  <si>
    <t>12. Added nonbud tab for the Non-Budgeted Funds</t>
  </si>
  <si>
    <t>13. Summ tab added A34 for Non-Budgeted Funds</t>
  </si>
  <si>
    <r>
      <rPr>
        <sz val="12"/>
        <color indexed="10"/>
        <rFont val="Times New Roman"/>
        <family val="1"/>
      </rPr>
      <t>*</t>
    </r>
    <r>
      <rPr>
        <sz val="12"/>
        <rFont val="Times New Roman"/>
        <family val="1"/>
      </rPr>
      <t>Expenditures</t>
    </r>
    <r>
      <rPr>
        <sz val="12"/>
        <color indexed="10"/>
        <rFont val="Times New Roman"/>
        <family val="1"/>
      </rPr>
      <t>*</t>
    </r>
  </si>
  <si>
    <t>Non-Budgeted Funds - Townships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</si>
  <si>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</si>
  <si>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</si>
  <si>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</si>
  <si>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</si>
  <si>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</si>
  <si>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</si>
  <si>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</si>
  <si>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</si>
  <si>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townships in counties having the county road unit system which have an annual expenditure of less than $200, and to any money received as a gift or bequest.</t>
    </r>
  </si>
  <si>
    <r>
      <t xml:space="preserve">K.S.A. </t>
    </r>
    <r>
      <rPr>
        <b/>
        <sz val="12"/>
        <color indexed="8"/>
        <rFont val="Times New Roman"/>
        <family val="1"/>
      </rPr>
      <t>80-122.</t>
    </r>
    <r>
      <rPr>
        <sz val="12"/>
        <color indexed="8"/>
        <rFont val="Times New Roman"/>
        <family val="1"/>
      </rPr>
      <t xml:space="preserve">  </t>
    </r>
    <r>
      <rPr>
        <b/>
        <sz val="12"/>
        <color indexed="8"/>
        <rFont val="Times New Roman"/>
        <family val="1"/>
      </rPr>
      <t>Township equipment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equipment reserve fund to finance the acquisition of equipment and to budget and transfer each year to such fund up to 25% of the general fund.</t>
    </r>
  </si>
  <si>
    <r>
      <t xml:space="preserve">K.S.A. </t>
    </r>
    <r>
      <rPr>
        <b/>
        <sz val="12"/>
        <color indexed="8"/>
        <rFont val="Times New Roman"/>
        <family val="1"/>
      </rPr>
      <t>80-1558.</t>
    </r>
    <r>
      <rPr>
        <sz val="12"/>
        <color indexed="8"/>
        <rFont val="Times New Roman"/>
        <family val="1"/>
      </rPr>
      <t xml:space="preserve">  </t>
    </r>
    <r>
      <rPr>
        <b/>
        <sz val="12"/>
        <color indexed="8"/>
        <rFont val="Times New Roman"/>
        <family val="1"/>
      </rPr>
      <t>Township special fire protection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special fire protection reserve fund to finance the acquisition of fire-fighting equipment, land, and buildings, and to transfer each year to such fund up to 25% of the money credited to the fire fund.</t>
    </r>
  </si>
  <si>
    <t>14. Added Tabs A to E for violations</t>
  </si>
  <si>
    <t>15. Changed each fund page taking out the 'Yes' and 'No' and replacing them with 'See Tab' for a possible violation</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</si>
  <si>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</si>
  <si>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May transfer annually any funds received from a tax levy specifically authorized to be made for ambulance or emergency medical service, to a special reserve fund for replacement of ambulance or emergency medical service equipment.</t>
    </r>
  </si>
  <si>
    <r>
      <t>K.S.A. 68-141g</t>
    </r>
    <r>
      <rPr>
        <sz val="12"/>
        <color indexed="8"/>
        <rFont val="Times New Roman"/>
        <family val="1"/>
      </rPr>
      <t>.</t>
    </r>
    <r>
      <rPr>
        <b/>
        <sz val="12"/>
        <color indexed="8"/>
        <rFont val="Times New Roman"/>
        <family val="1"/>
      </rPr>
      <t xml:space="preserve">  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</si>
  <si>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 xml:space="preserve">K.S.A. 68-590. </t>
    </r>
    <r>
      <rPr>
        <b/>
        <sz val="12"/>
        <color indexed="8"/>
        <rFont val="Times New Roman"/>
        <family val="1"/>
      </rPr>
      <t xml:space="preserve"> Transfer to special highway improvement fund.</t>
    </r>
    <r>
      <rPr>
        <sz val="12"/>
        <color indexed="8"/>
        <rFont val="Times New Roman"/>
        <family val="1"/>
      </rPr>
      <t xml:space="preserve">  Authorizes the transfer each year from the fund or division thereof budgeted for roads, bridges, highways or streets an amount not to exceed 25% of such fund to a special highway improvement fund.</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</si>
  <si>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</si>
  <si>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80-122</t>
    </r>
    <r>
      <rPr>
        <sz val="12"/>
        <rFont val="Times New Roman"/>
        <family val="1"/>
      </rPr>
      <t>.</t>
    </r>
    <r>
      <rPr>
        <b/>
        <sz val="12"/>
        <rFont val="Times New Roman"/>
        <family val="1"/>
      </rPr>
      <t xml:space="preserve">  Transfer from general fund to equipment reserve fund.</t>
    </r>
    <r>
      <rPr>
        <sz val="12"/>
        <rFont val="Times New Roman"/>
        <family val="1"/>
      </rPr>
      <t xml:space="preserve">  Authorizes and annual budgeted transfer of up to </t>
    </r>
    <r>
      <rPr>
        <sz val="12"/>
        <color indexed="8"/>
        <rFont val="Times New Roman"/>
        <family val="1"/>
      </rPr>
      <t>25% of the general fund to an equipment reserve fund to finance the acquisition of equipment</t>
    </r>
  </si>
  <si>
    <r>
      <t>K.S.A. 80-1406b</t>
    </r>
    <r>
      <rPr>
        <sz val="12"/>
        <rFont val="Times New Roman"/>
        <family val="1"/>
      </rPr>
      <t>.</t>
    </r>
    <r>
      <rPr>
        <b/>
        <sz val="12"/>
        <rFont val="Times New Roman"/>
        <family val="1"/>
      </rPr>
      <t xml:space="preserve">  Transfer from general fund.</t>
    </r>
    <r>
      <rPr>
        <sz val="12"/>
        <rFont val="Times New Roman"/>
        <family val="1"/>
      </rPr>
      <t xml:space="preserve">  </t>
    </r>
    <r>
      <rPr>
        <sz val="12"/>
        <color indexed="8"/>
        <rFont val="Times New Roman"/>
        <family val="1"/>
      </rPr>
      <t>The township board of any township which did not make a tax levy for the township general fund in the year next preceding and which has a surplus of moneys in the general fund may transfer all or any part of such surplus to any other fund.</t>
    </r>
  </si>
  <si>
    <r>
      <t>K.S.A. 80-1558</t>
    </r>
    <r>
      <rPr>
        <sz val="11"/>
        <rFont val="Times New Roman"/>
        <family val="1"/>
      </rPr>
      <t>.</t>
    </r>
    <r>
      <rPr>
        <b/>
        <sz val="11"/>
        <rFont val="Times New Roman"/>
        <family val="1"/>
      </rPr>
      <t xml:space="preserve">  Transfer to special fire protection reserve fund.</t>
    </r>
    <r>
      <rPr>
        <sz val="11"/>
        <rFont val="Times New Roman"/>
        <family val="1"/>
      </rPr>
      <t xml:space="preserve">  A</t>
    </r>
    <r>
      <rPr>
        <sz val="11"/>
        <color indexed="8"/>
        <rFont val="Times New Roman"/>
        <family val="1"/>
      </rPr>
      <t>uthorizes an annual transfer of up to 25% from the fire fund to a special fire protection reserve fund.</t>
    </r>
    <r>
      <rPr>
        <b/>
        <sz val="11"/>
        <color indexed="8"/>
        <rFont val="Times New Roman"/>
        <family val="1"/>
      </rPr>
      <t xml:space="preserve"> </t>
    </r>
  </si>
  <si>
    <t>Valuation Factor:</t>
  </si>
  <si>
    <t>Neighborhood Revitalization Subj to Rebate:</t>
  </si>
  <si>
    <t>Neighborhood Revitalization factor:</t>
  </si>
  <si>
    <t>16. NonBud tab changed Net Valuation to July 1</t>
  </si>
  <si>
    <t>17. Certificate tab moved the Assisted By: and added more lines for governing body signatures</t>
  </si>
  <si>
    <t>Fire Protection</t>
  </si>
  <si>
    <t>80-1503</t>
  </si>
  <si>
    <t>1. Instruction tab, added in the 'General Instruction' section about Funds mill rate computed</t>
  </si>
  <si>
    <t>2. Change the Certificate and Budget Summary page for 'Funds' in step 1</t>
  </si>
  <si>
    <t>Date:</t>
  </si>
  <si>
    <t>Time:</t>
  </si>
  <si>
    <t>Location:</t>
  </si>
  <si>
    <t>Available at:</t>
  </si>
  <si>
    <t>August 12, 2010</t>
  </si>
  <si>
    <t>This tab will put the date and time and location of the budget hearing on the Budget Summary page.  Also, provide the location where as the budget can be reveiwed.  Please input information in the green areas.</t>
  </si>
  <si>
    <t>Examples</t>
  </si>
  <si>
    <t>7:00 PM or 7:00 AM</t>
  </si>
  <si>
    <t>John Brown's residence  at 1410 N Corner, Freedom</t>
  </si>
  <si>
    <t>Shawnee County Clerk's Office</t>
  </si>
  <si>
    <r>
      <rPr>
        <b/>
        <sz val="12"/>
        <rFont val="Times New Roman"/>
        <family val="1"/>
      </rPr>
      <t>Funds</t>
    </r>
    <r>
      <rPr>
        <sz val="12"/>
        <rFont val="Times New Roman"/>
        <family val="1"/>
      </rPr>
      <t xml:space="preserve"> - The Road, Special Road, Noxious Weed, and Fire Protection on the Certificate and Budget Summary pages are set so as to use the valuation for the township only will be used to compute the mill rate.  Be aware, if you subsitute a different fund for one of these, then you might have to adjust how the mill rate will be computed. </t>
    </r>
  </si>
  <si>
    <t>3. The input tab 'inputBudSum' is used to put the date, time, and location for the budget hearing. Also, provides for the location to whereas the budget information can be review at. The tab has green areas to input the information which is link to the Budget Summary page.</t>
  </si>
  <si>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</si>
  <si>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t>7. The Schedule of Transfers (transfers) is completed from the individual completed fund pages. Be sure to provide the statute that authorizes the transfer.</t>
  </si>
  <si>
    <r>
      <t xml:space="preserve">8.  Statement of Indebtedness (debt) must show all the debt owed or proposed to be issued.  The current general obligation and other totals for budget year is linked to the Budget Summary and prior years information is linked from the input page (inputpryr). </t>
    </r>
    <r>
      <rPr>
        <b/>
        <sz val="12"/>
        <rFont val="Times New Roman"/>
        <family val="1"/>
      </rPr>
      <t>If the township does not have any debt, then on the first line enter 'none'.</t>
    </r>
  </si>
  <si>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</si>
  <si>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r>
      <t xml:space="preserve">9.  Statement of Conditional Lease, Lease-Purchases and Certificate of Participation (debt) must be completed for all transactions which at the end of lease period, the township will own the item leased.  Principal Balance Due for the actual year is linked to the Budget Summary page and prior year information is linked to he input page (inputpryr). </t>
    </r>
    <r>
      <rPr>
        <b/>
        <sz val="12"/>
        <rFont val="Times New Roman"/>
        <family val="1"/>
      </rPr>
      <t>If the township does not have any leases, then on the first line enter 'none'.</t>
    </r>
  </si>
  <si>
    <t>3. Instruction tab, added step 3 for 'inputBudSum'</t>
  </si>
  <si>
    <t>4. Added tab 'inputBudSum'</t>
  </si>
  <si>
    <t>5. Changed Budget Summary replacing the green areas for date/time/location so info comes from inputBudSum tab</t>
  </si>
  <si>
    <t>answering objections of taxpayers relating to the proposed use of all funds and the amount of ad valorem tax.</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</si>
  <si>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</si>
  <si>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</si>
  <si>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</si>
  <si>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</si>
  <si>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</si>
  <si>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</si>
  <si>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</si>
  <si>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</si>
  <si>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</si>
  <si>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</si>
  <si>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</si>
  <si>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</si>
  <si>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</si>
  <si>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</si>
  <si>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</si>
  <si>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</si>
  <si>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</si>
  <si>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</si>
  <si>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</si>
  <si>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</si>
  <si>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expenditures with another fund.  For example, your road</t>
  </si>
  <si>
    <t>and noxious weed funds may split salaries between the two funds.  If</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</si>
  <si>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</si>
  <si>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</si>
  <si>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</si>
  <si>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</si>
  <si>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</si>
  <si>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</si>
  <si>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</si>
  <si>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</si>
  <si>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</si>
  <si>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</si>
  <si>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</si>
  <si>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</si>
  <si>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</si>
  <si>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</si>
  <si>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</si>
  <si>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</si>
  <si>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</si>
  <si>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</si>
  <si>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</si>
  <si>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</si>
  <si>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</si>
  <si>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</si>
  <si>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</si>
  <si>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</si>
  <si>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</si>
  <si>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</si>
  <si>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</si>
  <si>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</si>
  <si>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</si>
  <si>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</si>
  <si>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</si>
  <si>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</si>
  <si>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</si>
  <si>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</si>
  <si>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</si>
  <si>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</si>
  <si>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</si>
  <si>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</si>
  <si>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</si>
  <si>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</si>
  <si>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</si>
  <si>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</si>
  <si>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</si>
  <si>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</si>
  <si>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</si>
  <si>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</si>
  <si>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</si>
  <si>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</si>
  <si>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</si>
  <si>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</si>
  <si>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</si>
  <si>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</si>
  <si>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</si>
  <si>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</si>
  <si>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</si>
  <si>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</si>
  <si>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</si>
  <si>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</si>
  <si>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</si>
  <si>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</si>
  <si>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</si>
  <si>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</si>
  <si>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</si>
  <si>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</si>
  <si>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</si>
  <si>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</si>
  <si>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</si>
  <si>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</si>
  <si>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</si>
  <si>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</si>
  <si>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</si>
  <si>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</si>
  <si>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</si>
  <si>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</si>
  <si>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</si>
  <si>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</si>
  <si>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</si>
  <si>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</si>
  <si>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</si>
  <si>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</si>
  <si>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</si>
  <si>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</si>
  <si>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</si>
  <si>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</si>
  <si>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</si>
  <si>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</si>
  <si>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</si>
  <si>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</si>
  <si>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</si>
  <si>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</si>
  <si>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</si>
  <si>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</si>
  <si>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</si>
  <si>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</si>
  <si>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</si>
  <si>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</si>
  <si>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</si>
  <si>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</si>
  <si>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</si>
  <si>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</si>
  <si>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</si>
  <si>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</si>
  <si>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</si>
  <si>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</si>
  <si>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</si>
  <si>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</si>
  <si>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</si>
  <si>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</si>
  <si>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</si>
  <si>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</si>
  <si>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</si>
  <si>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</si>
  <si>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</si>
  <si>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</si>
  <si>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</si>
  <si>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</si>
  <si>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</si>
  <si>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</si>
  <si>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</si>
  <si>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</si>
  <si>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</si>
  <si>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</si>
  <si>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</si>
  <si>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</si>
  <si>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</si>
  <si>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</si>
  <si>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</si>
  <si>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</si>
  <si>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</si>
  <si>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</si>
  <si>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</si>
  <si>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</si>
  <si>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</si>
  <si>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</si>
  <si>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</si>
  <si>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</si>
  <si>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</si>
  <si>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</si>
  <si>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</si>
  <si>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</si>
  <si>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</si>
  <si>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</si>
  <si>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</si>
  <si>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</si>
  <si>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</si>
  <si>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</si>
  <si>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</si>
  <si>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</si>
  <si>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</si>
  <si>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</si>
  <si>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</si>
  <si>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</si>
  <si>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</si>
  <si>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</si>
  <si>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</si>
  <si>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</si>
  <si>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</si>
  <si>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</si>
  <si>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</si>
  <si>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</si>
  <si>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</si>
  <si>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</si>
  <si>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</si>
  <si>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</si>
  <si>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</si>
  <si>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</si>
  <si>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</si>
  <si>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</si>
  <si>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</si>
  <si>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</si>
  <si>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</si>
  <si>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</si>
  <si>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</si>
  <si>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</si>
  <si>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</si>
  <si>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</si>
  <si>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</si>
  <si>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</si>
  <si>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</si>
  <si>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</si>
  <si>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</si>
  <si>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</si>
  <si>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</si>
  <si>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</si>
  <si>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</si>
  <si>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6. Added to instruction tab lines 4a and 12b for computation of levy on Certificate and Budget Summary pages</t>
  </si>
  <si>
    <t>the Neighborhood Revitalization Rebate table.</t>
  </si>
  <si>
    <t xml:space="preserve">7c. If the General Fund (gen) and Road Fund (road) has transfers to the Special Machinery Fund (road), the Schedule of Transfers now has links for the transfers and provides the statute reference.  </t>
  </si>
  <si>
    <t>7d. TransferStatutes tab provides statute reference for transfers which are not already identified.</t>
  </si>
  <si>
    <t xml:space="preserve">7a. The totals are now linked to the Budget Summary page.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</si>
  <si>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</si>
  <si>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sz val="12"/>
        <color indexed="10"/>
        <rFont val="Times New Roman"/>
        <family val="1"/>
      </rPr>
      <t>*</t>
    </r>
  </si>
  <si>
    <t>Receipt</t>
  </si>
  <si>
    <t xml:space="preserve">Fund Transferred </t>
  </si>
  <si>
    <t>Fund Transferred</t>
  </si>
  <si>
    <t>*Note:</t>
  </si>
  <si>
    <t>1. Nhood tab added note for computing table</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</si>
  <si>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</si>
  <si>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</si>
  <si>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</si>
  <si>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1. Changed schedule of transfers statute column to allow for statute to pop-up if transfers are shown in current/proposed columns</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</si>
  <si>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</si>
  <si>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</si>
  <si>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</si>
  <si>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</si>
  <si>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</si>
  <si>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</si>
  <si>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</si>
  <si>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</si>
  <si>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</si>
  <si>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</si>
  <si>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</si>
  <si>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</si>
  <si>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</si>
  <si>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</si>
  <si>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</si>
  <si>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</si>
  <si>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</si>
  <si>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</si>
  <si>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</si>
  <si>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</si>
  <si>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</si>
  <si>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</si>
  <si>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</si>
  <si>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</si>
  <si>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</si>
  <si>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</si>
  <si>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</si>
  <si>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</si>
  <si>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</si>
  <si>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r>
      <t xml:space="preserve">Computation of Example:  </t>
    </r>
    <r>
      <rPr>
        <sz val="11"/>
        <rFont val="Cambria"/>
        <family val="1"/>
      </rPr>
      <t>$3,120,000 (assessed valuation) / 1000 = $3,120 (value of one mill)</t>
    </r>
  </si>
  <si>
    <t>In this example, one mill for the municipality will generate $3,120 in taxes.</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</si>
  <si>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</si>
  <si>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</si>
  <si>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</si>
  <si>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</si>
  <si>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</si>
  <si>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</si>
  <si>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</si>
  <si>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</si>
  <si>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</si>
  <si>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</si>
  <si>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</si>
  <si>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</si>
  <si>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</si>
  <si>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</si>
  <si>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</si>
  <si>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</si>
  <si>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</si>
  <si>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</si>
  <si>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</si>
  <si>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</si>
  <si>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</si>
  <si>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t>$3,120,000 / 1000 = $3,120 (example #1)</t>
  </si>
  <si>
    <t>$50,000 / $3,120 = 16.026 mills (example #2)</t>
  </si>
  <si>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</si>
  <si>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</si>
  <si>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</si>
  <si>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$11,500 (assessed value) x 16.026 (mill rate) / 1000 = $184.30</t>
  </si>
  <si>
    <t>The increase in property tax for a $100,000 home will be $184.30.</t>
  </si>
  <si>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</si>
  <si>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</si>
  <si>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</si>
  <si>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</si>
  <si>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</si>
  <si>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</si>
  <si>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</si>
  <si>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</si>
  <si>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</si>
  <si>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</si>
  <si>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</si>
  <si>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</si>
  <si>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</si>
  <si>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</si>
  <si>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</si>
  <si>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</si>
  <si>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</si>
  <si>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</si>
  <si>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</si>
  <si>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</si>
  <si>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</si>
  <si>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</si>
  <si>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</si>
  <si>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</si>
  <si>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</si>
  <si>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</si>
  <si>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</si>
  <si>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</si>
  <si>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</si>
  <si>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</si>
  <si>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</si>
  <si>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for Expenditures</t>
  </si>
  <si>
    <t>Non-Appropriated Balance</t>
  </si>
  <si>
    <t>Total Expenditure/Non-Appr Balance</t>
  </si>
  <si>
    <t>Delinquent Comp Rate:</t>
  </si>
  <si>
    <t>Does misc. exceed 10% of Total Expenditures</t>
  </si>
  <si>
    <t>Page  No.</t>
  </si>
  <si>
    <t>Lease Purchase Principal</t>
  </si>
  <si>
    <t>Desired Carryover Amount:</t>
  </si>
  <si>
    <t>Estimated Mill Rate Impact:</t>
  </si>
  <si>
    <t>Does transfer exceed 25% of Resources Available</t>
  </si>
  <si>
    <t>Change in Ad Valorem Tax Revenue:</t>
  </si>
  <si>
    <t>What Mill Rate Would Be Desired?</t>
  </si>
  <si>
    <t>Township overall estimated value of one mill:</t>
  </si>
  <si>
    <t>Township only estimated value of one mill:</t>
  </si>
  <si>
    <t xml:space="preserve">  Township Total Funds Exp. Changed By:</t>
  </si>
  <si>
    <t xml:space="preserve">  Township Only Funds Exp. Changed By:</t>
  </si>
  <si>
    <t>Difference btwn Desired and Current Est.:</t>
  </si>
  <si>
    <t>Township Only % Estimated Mill Rate:</t>
  </si>
  <si>
    <t>Township Total % Estimated Mill Rate:</t>
  </si>
  <si>
    <t>Township Only Funds Exp. Changed By:</t>
  </si>
  <si>
    <t>Township Total Funds Exp. Changed By:</t>
  </si>
  <si>
    <t>1. All pages removed the revision date</t>
  </si>
  <si>
    <t>2. All tax levy fund pages reduced the columns and revised the bottom of pages for see tabs</t>
  </si>
  <si>
    <t>3. Instruction tab added lines 11c (last year mill rate), 11d (desired mill rate), 10a(project carryover), 10b (Desired Carryover), 10g (project carryover Debt/road, and 14 (protection)</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</si>
  <si>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</si>
  <si>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</si>
  <si>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</si>
  <si>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</si>
  <si>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</si>
  <si>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</si>
  <si>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</si>
  <si>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</si>
  <si>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</si>
  <si>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13. Summ tab merged cells above the 'Township Officer' and center a name if used</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</si>
  <si>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</si>
  <si>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</si>
  <si>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</si>
  <si>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</si>
  <si>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</si>
  <si>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</si>
  <si>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</si>
  <si>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</si>
  <si>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</si>
  <si>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t>FUND PAGE FOR FUNDS WITH A TAX LEVY</t>
  </si>
  <si>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 </t>
    </r>
    <r>
      <rPr>
        <b/>
        <sz val="12"/>
        <rFont val="Times New Roman"/>
        <family val="1"/>
      </rPr>
      <t/>
    </r>
  </si>
  <si>
    <r>
      <t xml:space="preserve">2. The information entered into the Input Other (inputoth) worksheet is obtained from the County Clerk, County Treasurer, and the budget from two years ago (the year for actual column of current budget).  </t>
    </r>
    <r>
      <rPr>
        <b/>
        <sz val="12"/>
        <rFont val="Times New Roman"/>
        <family val="1"/>
      </rPr>
      <t>Please note</t>
    </r>
    <r>
      <rPr>
        <sz val="12"/>
        <rFont val="Times New Roman"/>
        <family val="1"/>
      </rPr>
      <t xml:space="preserve">, if the County Treasurer information has already added the third class city vehicle estimates together with the township, then the third class city estimates would be left blank. After the information has been entered, please verify the data is correct. </t>
    </r>
    <r>
      <rPr>
        <b/>
        <sz val="12"/>
        <rFont val="Times New Roman"/>
        <family val="1"/>
      </rPr>
      <t/>
    </r>
  </si>
  <si>
    <t>23. Remove the w-2 infro from certificate page</t>
  </si>
  <si>
    <t>1. Summ tab changed proposed year expenditure column to 'Budget Authority for Expenditures'</t>
  </si>
  <si>
    <t>Transfer can not exceed 25% Resources Available</t>
  </si>
  <si>
    <t>1. Cert tab cell A45 corrected spelling Assessed</t>
  </si>
  <si>
    <t>2. Gen tab cell B42 corrected spelling Resources</t>
  </si>
  <si>
    <t>Alloc of MVT, RVT, and 16/20M Vehicles Tax</t>
  </si>
  <si>
    <t>Library</t>
  </si>
  <si>
    <t>12-1220</t>
  </si>
  <si>
    <t>Allocation of Motor, Recreational, and 16/20M Vehicle Tax</t>
  </si>
  <si>
    <t>Budgeted Funds</t>
  </si>
  <si>
    <t xml:space="preserve">Budget Tax Levy </t>
  </si>
  <si>
    <t>Type</t>
  </si>
  <si>
    <t>Debt</t>
  </si>
  <si>
    <t>Items</t>
  </si>
  <si>
    <t>Purchased</t>
  </si>
  <si>
    <t>Must be at least 10 days between date published and hearing held.</t>
  </si>
  <si>
    <t>January</t>
  </si>
  <si>
    <t>February</t>
  </si>
  <si>
    <t>March</t>
  </si>
  <si>
    <t>April</t>
  </si>
  <si>
    <t>May</t>
  </si>
  <si>
    <t>June</t>
  </si>
  <si>
    <t>July</t>
  </si>
  <si>
    <t>August</t>
  </si>
  <si>
    <t>September</t>
  </si>
  <si>
    <t>October</t>
  </si>
  <si>
    <t>November</t>
  </si>
  <si>
    <t>December</t>
  </si>
  <si>
    <t>Official Name:</t>
  </si>
  <si>
    <t>Official Title:</t>
  </si>
  <si>
    <t>Email:</t>
  </si>
  <si>
    <t>________________________  ________________________</t>
  </si>
  <si>
    <t>Delinquency % used in this budget will be shown on all fund pages with a tax levy**</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</si>
  <si>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</si>
  <si>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t xml:space="preserve">Amounts used in lieu of </t>
  </si>
  <si>
    <t>WORKSHEET FOR STATE GRANT-IN-AID TO PUBLIC LIBRARIES AND</t>
  </si>
  <si>
    <t>REGIONAL LIBRARY SYSTEMS</t>
  </si>
  <si>
    <t>Two tests are used to determine eligibility for State Library Grant.  If the grant is approved, then the municipality's library will be paid the grant on February 15 of  each year.</t>
  </si>
  <si>
    <t>First test:</t>
  </si>
  <si>
    <t>Proposed Year</t>
  </si>
  <si>
    <t>TOTAL TAXES</t>
  </si>
  <si>
    <t>Difference in Total Taxes:</t>
  </si>
  <si>
    <t>Qualify for grant:</t>
  </si>
  <si>
    <t>Second test:</t>
  </si>
  <si>
    <t>Assessed Valuation</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</si>
  <si>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</si>
  <si>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</si>
  <si>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</si>
  <si>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</si>
  <si>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</si>
  <si>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 xml:space="preserve">Page No. </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</si>
  <si>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</si>
  <si>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</si>
  <si>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</si>
  <si>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</si>
  <si>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</si>
  <si>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</si>
  <si>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</si>
  <si>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</si>
  <si>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</si>
  <si>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</si>
  <si>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</si>
  <si>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</si>
  <si>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</si>
  <si>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</si>
  <si>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</si>
  <si>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</si>
  <si>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</si>
  <si>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</si>
  <si>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</si>
  <si>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</si>
  <si>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</si>
  <si>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</si>
  <si>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</si>
  <si>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</si>
  <si>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</si>
  <si>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</si>
  <si>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</si>
  <si>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</si>
  <si>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</si>
  <si>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</si>
  <si>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</si>
  <si>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</si>
  <si>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</si>
  <si>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</si>
  <si>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</si>
  <si>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eligibility. For more information contact the State Library of Kansas at 785.296.3296, or e-mail:</t>
  </si>
  <si>
    <t xml:space="preserve">Prior Year </t>
  </si>
  <si>
    <t xml:space="preserve">Current Year </t>
  </si>
  <si>
    <t xml:space="preserve">Proposed Budget </t>
  </si>
  <si>
    <t>Does misc. exceed 10% of Total Receipts</t>
  </si>
  <si>
    <t>Expenditures Must Be Changed by:</t>
  </si>
  <si>
    <t>Mill Rate Comparison</t>
  </si>
  <si>
    <t/>
  </si>
  <si>
    <t xml:space="preserve">Township2.xls spreadsheet has General Fund, Debt Service, Library, Road Bridge, 8 levy fund pages, 4 no levy fund pages, and 1 non-budgeted fund page which holds 5 funds. Additionally, the spreadsheet is setup to take in two Third Class Cities valuation and vehicle allocation. </t>
  </si>
  <si>
    <r>
      <t xml:space="preserve">1c. Next to the last year Ad Valorem Taxes column, column added, 'Amounts used in lieu of last year ad valorem taxes'. If you would like to adjust the previous year ad valorem due to delinquency in taxes to show a more actual amount of taxes received, you can key in the percentage </t>
    </r>
    <r>
      <rPr>
        <u/>
        <sz val="12"/>
        <rFont val="Times New Roman"/>
        <family val="1"/>
      </rPr>
      <t>in the green box</t>
    </r>
    <r>
      <rPr>
        <sz val="12"/>
        <rFont val="Times New Roman"/>
        <family val="1"/>
      </rPr>
      <t xml:space="preserve"> which will calculate new ad valorem taxes to be used for the current budgeted year.  The new amounts will be </t>
    </r>
    <r>
      <rPr>
        <u/>
        <sz val="12"/>
        <rFont val="Times New Roman"/>
        <family val="1"/>
      </rPr>
      <t>linked</t>
    </r>
    <r>
      <rPr>
        <sz val="12"/>
        <rFont val="Times New Roman"/>
        <family val="1"/>
      </rPr>
      <t xml:space="preserve"> to the applicable tax levy fund pages. This is </t>
    </r>
    <r>
      <rPr>
        <sz val="12"/>
        <color indexed="10"/>
        <rFont val="Times New Roman"/>
        <family val="1"/>
      </rPr>
      <t>not required</t>
    </r>
    <r>
      <rPr>
        <sz val="12"/>
        <rFont val="Times New Roman"/>
        <family val="1"/>
      </rPr>
      <t xml:space="preserve"> to be used and the original ad valorem taxes will be linked to the applicable fund pages. </t>
    </r>
  </si>
  <si>
    <t>3b. Once a date has been entered in the Date block, the following statement will appear: 'Latest date for notice to be published in your newspaper'.  Please ensure to take into consideration as to when your newspaper is published when arriving at the hearing date.</t>
  </si>
  <si>
    <t xml:space="preserve">4c.  If someone other than a municipal employee assists in preparing the budget, please enter the person's or firm's name and address or email address in the area provided. </t>
  </si>
  <si>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</si>
  <si>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</si>
  <si>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11a. General Fund page and General Fund Detail page number is no longer set.  Once the number is entered on the General Fund, then the page number is linked to the General Fund Detail page. If the municipality has a Library Fund, the Library Grant page becomes number 6 and the General Fund page would be numbered 7 otherwise the General would be 6.</t>
  </si>
  <si>
    <t>11.  The spreadsheet has individual fund sheets for General Fund (general), Debt Service and Library (DebtSvs-Library), Road (road),  8 levy pages (levy page9 to levy page12), and 4 no levy fund pages (nolevypage12 to nolevypage13),   Only complete the fund pages needed.  When the fund pages are completed, the totals will be linked to the Certificate and Budget Summary pages.</t>
  </si>
  <si>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</si>
  <si>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</si>
  <si>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</si>
  <si>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12 for instructions for the neighborhood revitalization rebate for the proposed budget year. </t>
    </r>
  </si>
  <si>
    <r>
      <t xml:space="preserve">11f.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sz val="12"/>
        <rFont val="Times New Roman"/>
        <family val="1"/>
      </rPr>
      <t>Note:</t>
    </r>
    <r>
      <rPr>
        <sz val="12"/>
        <rFont val="Times New Roman"/>
        <family val="1"/>
      </rPr>
      <t xml:space="preserve"> The proposed column miscellaneous receipt also takes into consideration the amount of ad valorem taxes in determining the 10% Rule.</t>
    </r>
  </si>
  <si>
    <t>11g. The Debt Service fund page (DebtService)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</si>
  <si>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 xml:space="preserve">11h. All levy fund pages have a Non-Appropriated Balance block. K.S.A. 79-2927 allows the township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In order to remove this warning message, you </t>
    </r>
    <r>
      <rPr>
        <u/>
        <sz val="12"/>
        <rFont val="Times New Roman"/>
        <family val="1"/>
      </rPr>
      <t>must reduce</t>
    </r>
    <r>
      <rPr>
        <sz val="12"/>
        <rFont val="Times New Roman"/>
        <family val="1"/>
      </rPr>
      <t xml:space="preserve"> the non-appropriate figure.</t>
    </r>
  </si>
  <si>
    <r>
      <t>11i.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</si>
  <si>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11j.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</si>
  <si>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11k.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</si>
  <si>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11m. If a transfer from the Road fund to Special Machinery is made for the current and proposed budgeted years, the transfers has been link to the Special Machinery and Schedule of Transfers. If the transfer exceeds 25% of Resources Available, then a red error message will appear (</t>
    </r>
    <r>
      <rPr>
        <sz val="12"/>
        <color indexed="10"/>
        <rFont val="Times New Roman"/>
        <family val="1"/>
      </rPr>
      <t>Exceeds 25%</t>
    </r>
    <r>
      <rPr>
        <sz val="12"/>
        <rFont val="Times New Roman"/>
        <family val="1"/>
      </rPr>
      <t xml:space="preserve">) and the block turns red.  To remove the error message, you should reduce the amount of the transfer for Road.  </t>
    </r>
  </si>
  <si>
    <r>
      <t xml:space="preserve">11o. When the General Fund has ad valorem taxes for the actual, current, and proposed budgeted year, then the block for 'Transfer to Spec. Mach.(No Levied) will turn </t>
    </r>
    <r>
      <rPr>
        <sz val="12"/>
        <color indexed="10"/>
        <rFont val="Times New Roman"/>
        <family val="1"/>
      </rPr>
      <t>red</t>
    </r>
    <r>
      <rPr>
        <sz val="12"/>
        <rFont val="Times New Roman"/>
        <family val="1"/>
      </rPr>
      <t>. If a transfer amount is shown in the block, then in the yellow area a message will appear '</t>
    </r>
    <r>
      <rPr>
        <sz val="12"/>
        <color indexed="10"/>
        <rFont val="Times New Roman"/>
        <family val="1"/>
      </rPr>
      <t>Not Auth</t>
    </r>
    <r>
      <rPr>
        <sz val="12"/>
        <rFont val="Times New Roman"/>
        <family val="1"/>
      </rPr>
      <t xml:space="preserve">', the transfer should be moved to the next expenditure line 'Transfer to Spec. Mach. (Gen has levy) or deleted if the transferred money has not been spent in the Special Machinery Fund. The transfer is linked to the Schedule of Transfers and Special Machinery Fund. </t>
    </r>
    <r>
      <rPr>
        <b/>
        <u/>
        <sz val="12"/>
        <rFont val="Times New Roman"/>
        <family val="1"/>
      </rPr>
      <t>Note:</t>
    </r>
    <r>
      <rPr>
        <sz val="12"/>
        <rFont val="Times New Roman"/>
        <family val="1"/>
      </rPr>
      <t>Transfers for the current or proposed budgeted year and a violation occurs, then the amount should be reduced.</t>
    </r>
  </si>
  <si>
    <r>
      <t xml:space="preserve">11p. The General Fund has expenditure line item 'Transfer to Spec. Mach.(Gen has levy) which can be used to transfer up to 25% of the General Fund Resources Available (if the fund has enough cash) to the Special Machinery Fund. If the transfer exceeds the 25% limitation, the </t>
    </r>
    <r>
      <rPr>
        <sz val="12"/>
        <color indexed="10"/>
        <rFont val="Times New Roman"/>
        <family val="1"/>
      </rPr>
      <t>block will turn red</t>
    </r>
    <r>
      <rPr>
        <sz val="12"/>
        <rFont val="Times New Roman"/>
        <family val="1"/>
      </rPr>
      <t xml:space="preserve"> and a message will appear in yellow box below the transfer in red '</t>
    </r>
    <r>
      <rPr>
        <sz val="12"/>
        <color indexed="10"/>
        <rFont val="Times New Roman"/>
        <family val="1"/>
      </rPr>
      <t>Exceeds 25%</t>
    </r>
    <r>
      <rPr>
        <sz val="12"/>
        <rFont val="Times New Roman"/>
        <family val="1"/>
      </rPr>
      <t xml:space="preserve">'. The violation can be fixed for the actual budgeted year by reducing the transfer amount to 25% or below and the message will go away and the block will turn back to green. But, if the transfer amount has already been spent, then the violation can not be fix. If violation occurs for transfers in the current and proposed budget years, the violation should be fixed by reducing the amount. All transfers are linked to the Schedule of Transfers and Special Machinery Fund.  </t>
    </r>
  </si>
  <si>
    <r>
      <t>11q.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</si>
  <si>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</si>
  <si>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</si>
  <si>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</si>
  <si>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</si>
  <si>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</si>
  <si>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13a. At the bottom of the page is a green shaded area, enter the page number.</t>
  </si>
  <si>
    <r>
      <t>13b. The table '</t>
    </r>
    <r>
      <rPr>
        <i/>
        <sz val="12"/>
        <rFont val="Times New Roman"/>
        <family val="1"/>
      </rPr>
      <t>Estimated Value Of One Mill</t>
    </r>
    <r>
      <rPr>
        <sz val="12"/>
        <rFont val="Times New Roman"/>
        <family val="1"/>
      </rPr>
      <t xml:space="preserve">' to show what 1 mill rate would generate in dollars for the municipality.  </t>
    </r>
  </si>
  <si>
    <r>
      <t>13c.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current budgeted year.  To achieve this mill rate, the tax levy fund expenditures will need to be changed by the amount shown.  Depending upon the number of tax levy funds involved, the change can be used on one, combination of, or all of the tax levy fund expenditures.  Since this spreadsheet deals with a </t>
    </r>
    <r>
      <rPr>
        <u/>
        <sz val="12"/>
        <rFont val="Times New Roman"/>
        <family val="1"/>
      </rPr>
      <t>third class city</t>
    </r>
    <r>
      <rPr>
        <sz val="12"/>
        <rFont val="Times New Roman"/>
        <family val="1"/>
      </rPr>
      <t xml:space="preserve"> which causes not all of the funds to use the total township valution, you might have to adjust funds differently as the table will indicate. </t>
    </r>
    <r>
      <rPr>
        <u/>
        <sz val="12"/>
        <rFont val="Times New Roman"/>
        <family val="1"/>
      </rPr>
      <t>Please note</t>
    </r>
    <r>
      <rPr>
        <sz val="12"/>
        <rFont val="Times New Roman"/>
        <family val="1"/>
      </rPr>
      <t>, this table</t>
    </r>
    <r>
      <rPr>
        <sz val="12"/>
        <color indexed="10"/>
        <rFont val="Times New Roman"/>
        <family val="1"/>
      </rPr>
      <t xml:space="preserve"> is not required </t>
    </r>
    <r>
      <rPr>
        <sz val="12"/>
        <rFont val="Times New Roman"/>
        <family val="1"/>
      </rPr>
      <t>to be used, but as a tool to assist in budgeting.</t>
    </r>
  </si>
  <si>
    <r>
      <t>13d. The '</t>
    </r>
    <r>
      <rPr>
        <i/>
        <sz val="12"/>
        <rFont val="Times New Roman"/>
        <family val="1"/>
      </rPr>
      <t>What Mill Rate Would Be Desired</t>
    </r>
    <r>
      <rPr>
        <sz val="12"/>
        <rFont val="Times New Roman"/>
        <family val="1"/>
      </rPr>
      <t xml:space="preserve">', table whereas a municipality can create a desired mill rate.  If a municipality has a future desire to make a large purchase, project, or just would like a little more unencumbered cash balance, this table will show amount of ad valorem taxes received and amount of adjustments to the tax levy fund expenditures for this desired mill rate.  To use this table, simply enter in the green area the desired mill rate. Since this spreadsheet deals with a </t>
    </r>
    <r>
      <rPr>
        <u/>
        <sz val="12"/>
        <rFont val="Times New Roman"/>
        <family val="1"/>
      </rPr>
      <t>third class city</t>
    </r>
    <r>
      <rPr>
        <sz val="12"/>
        <rFont val="Times New Roman"/>
        <family val="1"/>
      </rPr>
      <t xml:space="preserve"> which causes not all of the funds to use the total township valution, you might have to adjust funds differently as the table will indicate. </t>
    </r>
    <r>
      <rPr>
        <u/>
        <sz val="12"/>
        <rFont val="Times New Roman"/>
        <family val="1"/>
      </rPr>
      <t>Please note</t>
    </r>
    <r>
      <rPr>
        <sz val="12"/>
        <rFont val="Times New Roman"/>
        <family val="1"/>
      </rPr>
      <t>, this table</t>
    </r>
    <r>
      <rPr>
        <sz val="12"/>
        <color indexed="10"/>
        <rFont val="Times New Roman"/>
        <family val="1"/>
      </rPr>
      <t xml:space="preserve"> is not required</t>
    </r>
    <r>
      <rPr>
        <sz val="12"/>
        <rFont val="Times New Roman"/>
        <family val="1"/>
      </rPr>
      <t xml:space="preserve"> to be used, but as a tool to assist in budgeting.</t>
    </r>
  </si>
  <si>
    <r>
      <t xml:space="preserve">13e. The Budget Summary page computation for mil rate for Road, Special Road, Noxious Weed, Fire Protection </t>
    </r>
    <r>
      <rPr>
        <u/>
        <sz val="12"/>
        <rFont val="Times New Roman"/>
        <family val="1"/>
      </rPr>
      <t>uses only</t>
    </r>
    <r>
      <rPr>
        <sz val="12"/>
        <rFont val="Times New Roman"/>
        <family val="1"/>
      </rPr>
      <t xml:space="preserve"> the township valuation and the rest of the funds mil rate uses the total township valuation which includes the third class cities. If these funds are not used, then you may delete them from the input page, but </t>
    </r>
    <r>
      <rPr>
        <b/>
        <sz val="12"/>
        <rFont val="Times New Roman"/>
        <family val="1"/>
      </rPr>
      <t>do not</t>
    </r>
    <r>
      <rPr>
        <sz val="12"/>
        <rFont val="Times New Roman"/>
        <family val="1"/>
      </rPr>
      <t xml:space="preserve"> replace them with any other funds.  You can delete the fund lines from the Budget Summary page, if so desire, but not required.  Deleting of the lines might save some printing cost.</t>
    </r>
  </si>
  <si>
    <r>
      <t xml:space="preserve">13f.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</si>
  <si>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13g.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</si>
  <si>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t xml:space="preserve">14.  Before submission of the budget to the County Clerk, please review the entire document and verify that all amounts are correct.  Amounts on the Certificate page should match to the fund pages and may also match to the Budget Summary.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</si>
  <si>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</si>
  <si>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</si>
  <si>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</si>
  <si>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 xml:space="preserve">1. Instruction tab - line A7 add Library </t>
  </si>
  <si>
    <t>2. Instruction tab - add line #1c for ad valorem adjustments</t>
  </si>
  <si>
    <t>3. Instruction tab - add line #3b to indicate latest date for printing</t>
  </si>
  <si>
    <t>4. Instruction tab - add line #10 to explain about Library Grant Tab</t>
  </si>
  <si>
    <t>5. Instruction tab - add line #11a concerning changing the general fund page number due to library grant page</t>
  </si>
  <si>
    <t>6. Instruction tab - changed 11b, c, and d for new fund tables on fund pages, and 13b, c, and d for tables on Summary</t>
  </si>
  <si>
    <t>7. InputPrYr tab - add Library to the fund page list</t>
  </si>
  <si>
    <t>8. InputPrYr tab - added new table for adjusting ad valorem taxes if desired</t>
  </si>
  <si>
    <t>9. InputOth tab - under 'Computation of Delinquency', changed both narratives for %</t>
  </si>
  <si>
    <t>10. InputBudSum tab - added line D9 for latest date for printing and added hidden formulas for latest printing date</t>
  </si>
  <si>
    <t xml:space="preserve">11. InputBudSum tab - added spaces for official name and title </t>
  </si>
  <si>
    <t>12. Cert tab - added to 'Table of Contents' the Computation to Determine Library Grant and its page number</t>
  </si>
  <si>
    <t>13. Cert tab - added Library fund</t>
  </si>
  <si>
    <t>14. Cert tab - added place for "Email" address for person assitance on the budget</t>
  </si>
  <si>
    <t>15. Mvalloc tab - removed 'Slider' from table heading</t>
  </si>
  <si>
    <t>16. Mvalloc tab - removed slider column and under lying formulas</t>
  </si>
  <si>
    <t>17. Mvalloc tab - added Library fund</t>
  </si>
  <si>
    <t>18. TransfersStatutes tab - added KSA 80-1406c</t>
  </si>
  <si>
    <t>19. Debt-Lease tab - minor changes to first column heading and center form for printing</t>
  </si>
  <si>
    <t>20. Library Grant was added which computes if library qualifies for a grant</t>
  </si>
  <si>
    <t>21. Gen tab - added an if statement to page number to account for Library Grant page</t>
  </si>
  <si>
    <t>22. DebtSvs-Library tab - reduce debt service fund page and added new library fund page which is linked to Grant tab</t>
  </si>
  <si>
    <t>23. Summ tab - added library fund  and  linked the library fund page to the summary</t>
  </si>
  <si>
    <t>24. Summ tab - linked the official name and title from the inputbudsum page</t>
  </si>
  <si>
    <t>25. Summ tab - centered the heading for printing</t>
  </si>
  <si>
    <t>26. Nhood tab - added the library fund</t>
  </si>
  <si>
    <t>27. Mill Rate Computation tab - corrected the computations to agree with our web site</t>
  </si>
  <si>
    <t>28. All fund pages - changed the year headings</t>
  </si>
  <si>
    <t>29. All fund pages - removed slider and its link</t>
  </si>
  <si>
    <r>
      <t xml:space="preserve">11n. The General Fund has two line expenditures for transfers to the Special Machinery Fund. The transfers are labeled, 'Transfer to Spec. Mach.(No Levy) and 'Transfer to Spec. Mach.(Gen has Levy). </t>
    </r>
    <r>
      <rPr>
        <b/>
        <u/>
        <sz val="12"/>
        <rFont val="Times New Roman"/>
        <family val="1"/>
      </rPr>
      <t>Note:</t>
    </r>
    <r>
      <rPr>
        <sz val="12"/>
        <rFont val="Times New Roman"/>
        <family val="1"/>
      </rPr>
      <t xml:space="preserve"> If a transfer is made from the General Fund to Special Machinery, only one transfer is allowed, you must chose the expenditure based upon the General Fund situation. If two transfers are made, on the Special Machinery page will show a error message '</t>
    </r>
    <r>
      <rPr>
        <sz val="12"/>
        <color indexed="10"/>
        <rFont val="Times New Roman"/>
        <family val="1"/>
      </rPr>
      <t>No Authorized Two Transfers - Only One</t>
    </r>
    <r>
      <rPr>
        <sz val="12"/>
        <rFont val="Times New Roman"/>
        <family val="1"/>
      </rPr>
      <t xml:space="preserve">'. You are </t>
    </r>
    <r>
      <rPr>
        <u/>
        <sz val="12"/>
        <rFont val="Times New Roman"/>
        <family val="1"/>
      </rPr>
      <t>not required</t>
    </r>
    <r>
      <rPr>
        <sz val="12"/>
        <rFont val="Times New Roman"/>
        <family val="1"/>
      </rPr>
      <t xml:space="preserve"> to make a transfer.</t>
    </r>
  </si>
  <si>
    <r>
      <t>11l. If a transfer from the Road fund to Special Machinery is made in the actual year, the transfer has been link to the Special Machinery fund. If the transfer exceeds 25% of Resources Available, then a red error message will appear (</t>
    </r>
    <r>
      <rPr>
        <sz val="12"/>
        <color indexed="10"/>
        <rFont val="Times New Roman"/>
        <family val="1"/>
      </rPr>
      <t>Exceeds 25%</t>
    </r>
    <r>
      <rPr>
        <sz val="12"/>
        <rFont val="Times New Roman"/>
        <family val="1"/>
      </rPr>
      <t xml:space="preserve">) and the block turns </t>
    </r>
    <r>
      <rPr>
        <sz val="12"/>
        <color indexed="10"/>
        <rFont val="Times New Roman"/>
        <family val="1"/>
      </rPr>
      <t>red</t>
    </r>
    <r>
      <rPr>
        <sz val="12"/>
        <rFont val="Times New Roman"/>
        <family val="1"/>
      </rPr>
      <t xml:space="preserve">.  To remove the error message, you </t>
    </r>
    <r>
      <rPr>
        <u/>
        <sz val="12"/>
        <rFont val="Times New Roman"/>
        <family val="1"/>
      </rPr>
      <t>should reduce</t>
    </r>
    <r>
      <rPr>
        <sz val="12"/>
        <rFont val="Times New Roman"/>
        <family val="1"/>
      </rPr>
      <t xml:space="preserve"> the amount of the transfer for the Road which will change the Special Machinery amount. If the transfer money </t>
    </r>
    <r>
      <rPr>
        <b/>
        <u/>
        <sz val="12"/>
        <rFont val="Times New Roman"/>
        <family val="1"/>
      </rPr>
      <t xml:space="preserve">has not been spent </t>
    </r>
    <r>
      <rPr>
        <sz val="12"/>
        <rFont val="Times New Roman"/>
        <family val="1"/>
      </rPr>
      <t xml:space="preserve">in the Special Machinery fund, then you can fix the transfer to bring within the limitation. But, if the transfer money </t>
    </r>
    <r>
      <rPr>
        <b/>
        <u/>
        <sz val="12"/>
        <rFont val="Times New Roman"/>
        <family val="1"/>
      </rPr>
      <t>has been spent</t>
    </r>
    <r>
      <rPr>
        <sz val="12"/>
        <rFont val="Times New Roman"/>
        <family val="1"/>
      </rPr>
      <t>, then no action can be taken to fix the violation. In addition, the transfer is linked to the Schedule of Transfers.</t>
    </r>
  </si>
  <si>
    <t xml:space="preserve">peter.haxton@library.ks.gov </t>
  </si>
  <si>
    <t>1. Library Grant tab, updated State Library e-mail contact address</t>
  </si>
  <si>
    <t>1.  Added "resolution required?  yes/no" message to area adjacent to each tax levy fund</t>
  </si>
  <si>
    <t>1.  Corrected formula in cell e29 on Library Grant tab page</t>
  </si>
  <si>
    <t>1.  Corrected formula in cell e28 of Library Grant tab</t>
  </si>
  <si>
    <t xml:space="preserve">Please read these instructions carefully.  If after reviewing them you still have questions, call Rogers Brazier at 785.296.2846 or email to armunis@da.ks.gov </t>
  </si>
  <si>
    <t>1.  Instruction tab narrative modification</t>
  </si>
  <si>
    <t>1.  Corrected cell merge function on certificate page so that signatures lines will print</t>
  </si>
  <si>
    <t>1.  "Budget Authority Amount" cell added to budget year column of all funds.</t>
  </si>
  <si>
    <r>
      <t xml:space="preserve">4a. The certificate page computation for mill rate for Road, Special Road, Noxious Weed, Fire Protection </t>
    </r>
    <r>
      <rPr>
        <u/>
        <sz val="12"/>
        <rFont val="Times New Roman"/>
        <family val="1"/>
      </rPr>
      <t>uses only</t>
    </r>
    <r>
      <rPr>
        <sz val="12"/>
        <rFont val="Times New Roman"/>
        <family val="1"/>
      </rPr>
      <t xml:space="preserve"> the township valuation and the rest of the funds mil rate uses the total township valuation which includes the third class cities. If these funds are not used, then you may delete them from the input page, but </t>
    </r>
    <r>
      <rPr>
        <b/>
        <sz val="12"/>
        <rFont val="Times New Roman"/>
        <family val="1"/>
      </rPr>
      <t>do not</t>
    </r>
    <r>
      <rPr>
        <sz val="12"/>
        <rFont val="Times New Roman"/>
        <family val="1"/>
      </rPr>
      <t xml:space="preserve"> replace them with any other funds.  You can delete the fund lines from the Certificate page, if so desire, but not required.</t>
    </r>
  </si>
  <si>
    <t>4b. The certificate page has a statement "Notice of the vote to adopt required . . . ?" which will either show "yes" or "no."  This statement compares the certificate page total ad valorem tax amount to the amount on line 17 of the computation to determine limit page. If a "yes" appears a notice of the vote to adopt the budget will need to be published in the offical county newspaper and a copy of such publication must be attached to the budget.  No action is required if a "no" appears.</t>
  </si>
  <si>
    <t>5. The majority of information on the computation to determine limit page comes from data on the input other page (inputOth) and the debt service page (DebtSvs).  If there is incorrect information on the computation page please correct the source of the information (inputOth page or DebtSvs page). If you are unable to correct the error please call us for assistance.</t>
  </si>
  <si>
    <r>
      <t>5a.</t>
    </r>
    <r>
      <rPr>
        <b/>
        <sz val="12"/>
        <rFont val="Times New Roman"/>
        <family val="1"/>
      </rPr>
      <t xml:space="preserve"> Note</t>
    </r>
    <r>
      <rPr>
        <sz val="12"/>
        <rFont val="Times New Roman"/>
        <family val="1"/>
      </rPr>
      <t xml:space="preserve">: K.S.A. 79-2925b provides that the property tax levied to pay principal and interest upon bonded indebtedness, temporary notes, and no-fund warrants, shall not be included in the comparison between the current budget year total levy and the budget year total levy.  If the township wants to include the debt service levy for temporary notes and no-fund warrants (shown on fund page(s) other than the debt service fund page and not automatically linked to the computation to determine limit page) lines 2 and 13 will need to be changed, manually, to include the additional levy amount in the max levy computation.  In order to do this the protection must be taken off of the page and the amounts changed.  You </t>
    </r>
    <r>
      <rPr>
        <u/>
        <sz val="12"/>
        <rFont val="Times New Roman"/>
        <family val="1"/>
      </rPr>
      <t>are not required</t>
    </r>
    <r>
      <rPr>
        <sz val="12"/>
        <rFont val="Times New Roman"/>
        <family val="1"/>
      </rPr>
      <t xml:space="preserve"> to utilize the additional levy amounts as a part of the computation to determine the max levy amount.</t>
    </r>
  </si>
  <si>
    <t>5b. Complete and print the published notice option utilized if the max levy is exceeded and have it published.  Attach the publication to the budget.</t>
  </si>
  <si>
    <t>15.</t>
  </si>
  <si>
    <t>16.</t>
  </si>
  <si>
    <t>Consumer Price Index adjustment (3 times 15)</t>
  </si>
  <si>
    <t>17.</t>
  </si>
  <si>
    <t>(14 plus 16)</t>
  </si>
  <si>
    <t xml:space="preserve">you must publish notice of vote by the governing body to adopt such budget in the official county newspaper and </t>
  </si>
  <si>
    <t>attach a copy of the published notice to this budget.</t>
  </si>
  <si>
    <t>In no event will published notice of the vote be required if the total budget year tax levy is $1,000 or less.</t>
  </si>
  <si>
    <t>Tax levy excluding debt service</t>
  </si>
  <si>
    <t>Increase in personal property (5a minus 5b)</t>
  </si>
  <si>
    <t>Total valuation adjustment (sum of 4, 5c, 6)</t>
  </si>
  <si>
    <t>Total valuation less valuation adjustment (8 minus 7)</t>
  </si>
  <si>
    <t>Factor for increase (7 divided by 9)</t>
  </si>
  <si>
    <t>Amount of increase (10 times 3)</t>
  </si>
  <si>
    <t>Vote publication required?</t>
  </si>
  <si>
    <t xml:space="preserve">Sample Notice of Vote Publication </t>
  </si>
  <si>
    <t>Sample Notice of Vote Publication</t>
  </si>
  <si>
    <t>Pursuant to K.S.A. 79-2925b, as amended by 2014 House Bill 2047</t>
  </si>
  <si>
    <t>Total Property Tax Levied</t>
  </si>
  <si>
    <t xml:space="preserve">Approved (vote) </t>
  </si>
  <si>
    <t>to</t>
  </si>
  <si>
    <t>1.  Several changes to workbook associated with 2014 HB 2047.</t>
  </si>
  <si>
    <t>The following changes were made to this workbook on 5/26/14</t>
  </si>
  <si>
    <t>The following changes were made to this workbook on 4/29/14</t>
  </si>
  <si>
    <t>The following changes were made to this workbook on 8/9/13</t>
  </si>
  <si>
    <t>The following changes were made to this workbook on 3/27/13</t>
  </si>
  <si>
    <t>The following changes were made to this workbook on 1/31/13</t>
  </si>
  <si>
    <t>The following changes were made to this workbook on 10/10/12</t>
  </si>
  <si>
    <t>The following changes were made to this workbook on 2/22/12</t>
  </si>
  <si>
    <t>The following changes were made to this workbook on 2/7/12</t>
  </si>
  <si>
    <t>The following changes were made to this workbook on 5/4/11</t>
  </si>
  <si>
    <t>The following changes were made to this workbook on 4/19/11</t>
  </si>
  <si>
    <t>The following changes were made  to this workbook on 10/26/10</t>
  </si>
  <si>
    <t>The following changes were made to this workbook on 4/15/10</t>
  </si>
  <si>
    <t>The following changes were made to this workbook on 1/05/10</t>
  </si>
  <si>
    <t>The following changes were made to this workbook on 12/28/09</t>
  </si>
  <si>
    <t>The following changes were made to this workbook on 12/08/09</t>
  </si>
  <si>
    <t>The following changes were made to this workbook on 8/21/09</t>
  </si>
  <si>
    <t>The following changes were made to this workbook on 5/5/09</t>
  </si>
  <si>
    <t>The following changes were made to this workbook on 4/3/09</t>
  </si>
  <si>
    <r>
      <t xml:space="preserve">4d. If the township supports a library the heading "Computation to Determine State Library Grant" and its page number will be added to the certificate page table of contents.  The new table may be found on the "Library Grant" tab.  The State Library will use the "Library Grant" tab to determine whether the local library qualifies for a State Library grant.  This tab </t>
    </r>
    <r>
      <rPr>
        <u/>
        <sz val="12"/>
        <rFont val="Times New Roman"/>
        <family val="1"/>
      </rPr>
      <t>must be printed</t>
    </r>
    <r>
      <rPr>
        <sz val="12"/>
        <rFont val="Times New Roman"/>
        <family val="1"/>
      </rPr>
      <t xml:space="preserve"> and attached to the budget that is submitted to the county clerk.  No action is taken if the township does not support a library.</t>
    </r>
  </si>
  <si>
    <t>Milton Township</t>
  </si>
  <si>
    <t>Butler County</t>
  </si>
  <si>
    <t>City of Whitewater</t>
  </si>
  <si>
    <t>Tim Entz</t>
  </si>
  <si>
    <t>Clerk</t>
  </si>
  <si>
    <t>Whitewater City Building at 202 N. Elm, Whitewater</t>
  </si>
  <si>
    <t>Butler County Clerk's Office</t>
  </si>
  <si>
    <t>205 W Central Ave</t>
  </si>
  <si>
    <t>El Dorado, KS 67042</t>
  </si>
  <si>
    <t>tbridges@bucoks.com</t>
  </si>
  <si>
    <t>Mowing/Weeds</t>
  </si>
  <si>
    <t>Materials/Repair</t>
  </si>
  <si>
    <t>Cemetery</t>
  </si>
  <si>
    <t>Ambulance</t>
  </si>
  <si>
    <t>Professional Fees</t>
  </si>
  <si>
    <t>Fuel</t>
  </si>
  <si>
    <t>Publications</t>
  </si>
  <si>
    <t>JL Unruh</t>
  </si>
  <si>
    <t>Equipment Maintenance</t>
  </si>
  <si>
    <t>Repairs</t>
  </si>
  <si>
    <t>Contract Labor</t>
  </si>
  <si>
    <t>Weeds</t>
  </si>
  <si>
    <t>Cemetery Plot</t>
  </si>
  <si>
    <t>None</t>
  </si>
  <si>
    <t>Watercraft Estimated Tax Value</t>
  </si>
  <si>
    <t>7:00 p.m.</t>
  </si>
  <si>
    <t>August 4, 2014</t>
  </si>
  <si>
    <t>Tim Entz's Residence at 6280 NW Prairie Crk Rd., Whitewater</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</si>
</sst>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5" formatCode="&quot;$&quot;#,##0_);\(&quot;$&quot;#,##0\)"/>
    <numFmt numFmtId="6" formatCode="&quot;$&quot;#,##0_);[Red]\(&quot;$&quot;#,##0\)"/>
    <numFmt numFmtId="43" formatCode="_(* #,##0.00_);_(* \(#,##0.00\);_(* &quot;-&quot;??_);_(@_)"/>
    <numFmt numFmtId="164" formatCode="0_)"/>
    <numFmt numFmtId="165" formatCode="0.000_)"/>
    <numFmt numFmtId="166" formatCode="0.00000_)"/>
    <numFmt numFmtId="167" formatCode="0.00000"/>
    <numFmt numFmtId="168" formatCode="m/d/yy"/>
    <numFmt numFmtId="169" formatCode="m/d"/>
    <numFmt numFmtId="170" formatCode="#,##0.000_);\(#,##0.000\)"/>
    <numFmt numFmtId="171" formatCode="0.000"/>
    <numFmt numFmtId="172" formatCode="_(* #,##0_);_(* \(#,##0\);_(* &quot;-&quot;??_);_(@_)"/>
    <numFmt numFmtId="173" formatCode="#,##0.000"/>
    <numFmt numFmtId="174" formatCode="[$-409]mmmm\ d\,\ yyyy;@"/>
    <numFmt numFmtId="175" formatCode="[$-409]h:mm\ AM/PM;@"/>
    <numFmt numFmtId="176" formatCode="&quot;$&quot;#,##0"/>
    <numFmt numFmtId="177" formatCode="&quot;$&quot;#,##0.00"/>
    <numFmt numFmtId="178" formatCode="0.0%"/>
    <numFmt numFmtId="179" formatCode="#,##0.000_);[Red]\(#,##0.000\)"/>
  </numFmts>
  <fonts count="66" x14ac:knownFonts="1">
    <font>
      <sz val="12"/>
      <name val="Courier New"/>
    </font>
    <font>
      <b/>
      <sz val="12"/>
      <name val="Courier New"/>
    </font>
    <font>
      <sz val="12"/>
      <name val="Courier New"/>
      <family val="3"/>
    </font>
    <font>
      <sz val="12"/>
      <name val="Courier"/>
      <family val="3"/>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sz val="10"/>
      <name val="Times New Roman"/>
      <family val="1"/>
    </font>
    <font>
      <sz val="10"/>
      <name val="Courier New"/>
      <family val="3"/>
    </font>
    <font>
      <u/>
      <sz val="12"/>
      <color indexed="12"/>
      <name val="Courier New"/>
      <family val="3"/>
    </font>
    <font>
      <sz val="8"/>
      <name val="Courier New"/>
      <family val="3"/>
    </font>
    <font>
      <b/>
      <sz val="11"/>
      <name val="Times New Roman"/>
      <family val="1"/>
    </font>
    <font>
      <sz val="12"/>
      <color indexed="10"/>
      <name val="Times New Roman"/>
      <family val="1"/>
    </font>
    <font>
      <b/>
      <u/>
      <sz val="12"/>
      <color indexed="10"/>
      <name val="Times New Roman"/>
      <family val="1"/>
    </font>
    <font>
      <b/>
      <u/>
      <sz val="12"/>
      <name val="Times New Roman"/>
      <family val="1"/>
    </font>
    <font>
      <b/>
      <sz val="12"/>
      <name val="Courier"/>
      <family val="3"/>
    </font>
    <font>
      <sz val="12"/>
      <color indexed="10"/>
      <name val="Courier"/>
      <family val="3"/>
    </font>
    <font>
      <b/>
      <sz val="12"/>
      <color indexed="10"/>
      <name val="Times New Roman"/>
      <family val="1"/>
    </font>
    <font>
      <sz val="11"/>
      <color indexed="8"/>
      <name val="Times New Roman"/>
      <family val="1"/>
    </font>
    <font>
      <b/>
      <sz val="11"/>
      <color indexed="8"/>
      <name val="Times New Roman"/>
      <family val="1"/>
    </font>
    <font>
      <i/>
      <sz val="12"/>
      <name val="Times New Roman"/>
      <family val="1"/>
    </font>
    <font>
      <sz val="8"/>
      <name val="Times New Roman"/>
      <family val="1"/>
    </font>
    <font>
      <b/>
      <sz val="12"/>
      <color indexed="8"/>
      <name val="Times New Roman"/>
      <family val="1"/>
    </font>
    <font>
      <sz val="12"/>
      <color indexed="8"/>
      <name val="Times New Roman"/>
      <family val="1"/>
    </font>
    <font>
      <b/>
      <u/>
      <sz val="16"/>
      <name val="Times New Roman"/>
      <family val="1"/>
    </font>
    <font>
      <b/>
      <u/>
      <sz val="8"/>
      <color indexed="10"/>
      <name val="Times New Roman"/>
      <family val="1"/>
    </font>
    <font>
      <b/>
      <u/>
      <sz val="14"/>
      <name val="Times New Roman"/>
      <family val="1"/>
    </font>
    <font>
      <sz val="12"/>
      <name val="Courier"/>
      <family val="3"/>
    </font>
    <font>
      <u/>
      <sz val="12"/>
      <color indexed="12"/>
      <name val="Courier"/>
      <family val="3"/>
    </font>
    <font>
      <b/>
      <u/>
      <sz val="12"/>
      <name val="Courier"/>
      <family val="3"/>
    </font>
    <font>
      <i/>
      <sz val="12"/>
      <name val="Courier"/>
      <family val="3"/>
    </font>
    <font>
      <i/>
      <u/>
      <sz val="12"/>
      <name val="Courier"/>
      <family val="3"/>
    </font>
    <font>
      <sz val="11"/>
      <name val="Cambria"/>
      <family val="1"/>
    </font>
    <font>
      <b/>
      <sz val="11"/>
      <color indexed="8"/>
      <name val="Cambria"/>
      <family val="1"/>
    </font>
    <font>
      <b/>
      <sz val="13"/>
      <name val="Times New Roman"/>
      <family val="1"/>
    </font>
    <font>
      <u/>
      <sz val="12"/>
      <color indexed="12"/>
      <name val="Times New Roman"/>
      <family val="1"/>
    </font>
    <font>
      <b/>
      <u/>
      <sz val="10"/>
      <name val="Times New Roman"/>
      <family val="1"/>
    </font>
    <font>
      <b/>
      <sz val="10"/>
      <name val="Times New Roman"/>
      <family val="1"/>
    </font>
    <font>
      <sz val="12"/>
      <name val="Courier"/>
      <family val="3"/>
    </font>
    <font>
      <sz val="12"/>
      <name val="Courier"/>
      <family val="3"/>
    </font>
    <font>
      <u/>
      <sz val="12"/>
      <color indexed="10"/>
      <name val="Times New Roman"/>
      <family val="1"/>
    </font>
    <font>
      <b/>
      <sz val="12"/>
      <name val="Courier New"/>
      <family val="3"/>
    </font>
    <font>
      <sz val="10"/>
      <name val="Courier"/>
      <family val="3"/>
    </font>
    <font>
      <sz val="10"/>
      <color indexed="10"/>
      <name val="Times New Roman"/>
      <family val="1"/>
    </font>
    <font>
      <sz val="10"/>
      <color indexed="10"/>
      <name val="Times New Roman"/>
      <family val="1"/>
    </font>
    <font>
      <sz val="12"/>
      <name val="Courier"/>
      <family val="3"/>
    </font>
    <font>
      <b/>
      <u/>
      <sz val="12"/>
      <color indexed="10"/>
      <name val="Times New Roman"/>
      <family val="1"/>
    </font>
    <font>
      <sz val="12"/>
      <color indexed="8"/>
      <name val="Times New Roman"/>
      <family val="1"/>
    </font>
    <font>
      <sz val="11"/>
      <color indexed="8"/>
      <name val="Times New Roman"/>
      <family val="1"/>
    </font>
    <font>
      <u/>
      <sz val="12"/>
      <color indexed="10"/>
      <name val="Times New Roman"/>
      <family val="1"/>
    </font>
    <font>
      <b/>
      <sz val="11"/>
      <color indexed="8"/>
      <name val="Cambria"/>
      <family val="1"/>
    </font>
    <font>
      <sz val="11"/>
      <color indexed="8"/>
      <name val="Cambria"/>
      <family val="1"/>
    </font>
    <font>
      <b/>
      <sz val="12"/>
      <color indexed="10"/>
      <name val="Times New Roman"/>
      <family val="1"/>
    </font>
    <font>
      <sz val="12"/>
      <color indexed="9"/>
      <name val="Courier"/>
      <family val="3"/>
    </font>
    <font>
      <sz val="12"/>
      <color indexed="9"/>
      <name val="Courier New"/>
      <family val="3"/>
    </font>
    <font>
      <sz val="8"/>
      <color indexed="9"/>
      <name val="Times New Roman"/>
      <family val="1"/>
    </font>
    <font>
      <sz val="12"/>
      <color indexed="9"/>
      <name val="Times New Roman"/>
      <family val="1"/>
    </font>
    <font>
      <sz val="12"/>
      <color indexed="10"/>
      <name val="Times New Roman"/>
      <family val="1"/>
    </font>
    <font>
      <sz val="10"/>
      <color indexed="10"/>
      <name val="Times New Roman"/>
      <family val="1"/>
    </font>
    <font>
      <b/>
      <sz val="10"/>
      <color indexed="10"/>
      <name val="Times New Roman"/>
      <family val="1"/>
    </font>
    <font>
      <b/>
      <sz val="11"/>
      <name val="Calibri"/>
      <family val="2"/>
    </font>
    <font>
      <sz val="11"/>
      <color theme="1"/>
      <name val="Calibri"/>
      <family val="2"/>
      <scheme val="minor"/>
    </font>
    <font>
      <b/>
      <sz val="11"/>
      <color theme="1"/>
      <name val="Calibri"/>
      <family val="2"/>
      <scheme val="minor"/>
    </font>
    <font>
      <b/>
      <sz val="14"/>
      <color theme="1"/>
      <name val="Calibri"/>
      <family val="2"/>
      <scheme val="minor"/>
    </font>
  </fonts>
  <fills count="15">
    <fill>
      <patternFill patternType="none"/>
    </fill>
    <fill>
      <patternFill patternType="gray125"/>
    </fill>
    <fill>
      <patternFill patternType="solid">
        <fgColor indexed="11"/>
      </patternFill>
    </fill>
    <fill>
      <patternFill patternType="solid">
        <fgColor indexed="11"/>
        <bgColor indexed="64"/>
      </patternFill>
    </fill>
    <fill>
      <patternFill patternType="solid">
        <fgColor indexed="26"/>
        <bgColor indexed="64"/>
      </patternFill>
    </fill>
    <fill>
      <patternFill patternType="solid">
        <fgColor indexed="35"/>
        <bgColor indexed="64"/>
      </patternFill>
    </fill>
    <fill>
      <patternFill patternType="solid">
        <fgColor indexed="43"/>
        <bgColor indexed="64"/>
      </patternFill>
    </fill>
    <fill>
      <patternFill patternType="solid">
        <fgColor indexed="13"/>
        <bgColor indexed="64"/>
      </patternFill>
    </fill>
    <fill>
      <patternFill patternType="solid">
        <fgColor indexed="41"/>
        <bgColor indexed="64"/>
      </patternFill>
    </fill>
    <fill>
      <patternFill patternType="solid">
        <fgColor indexed="15"/>
        <bgColor indexed="64"/>
      </patternFill>
    </fill>
    <fill>
      <patternFill patternType="solid">
        <fgColor indexed="10"/>
        <bgColor indexed="64"/>
      </patternFill>
    </fill>
    <fill>
      <patternFill patternType="solid">
        <fgColor indexed="34"/>
        <bgColor indexed="64"/>
      </patternFill>
    </fill>
    <fill>
      <patternFill patternType="solid">
        <fgColor indexed="9"/>
        <bgColor indexed="64"/>
      </patternFill>
    </fill>
    <fill>
      <patternFill patternType="solid">
        <fgColor rgb="FFFFFFC0"/>
        <bgColor indexed="64"/>
      </patternFill>
    </fill>
    <fill>
      <patternFill patternType="solid">
        <fgColor theme="0"/>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right/>
      <top/>
      <bottom style="double">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94">
    <xf numFmtId="0" fontId="0" fillId="0" borderId="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47"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2" fillId="0" borderId="0"/>
    <xf numFmtId="0" fontId="2" fillId="0" borderId="0"/>
    <xf numFmtId="0" fontId="3" fillId="0" borderId="0"/>
    <xf numFmtId="0" fontId="3" fillId="0" borderId="0"/>
    <xf numFmtId="0" fontId="2"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1" fillId="0" borderId="0"/>
    <xf numFmtId="0" fontId="3" fillId="0" borderId="0"/>
    <xf numFmtId="0" fontId="63" fillId="0" borderId="0"/>
    <xf numFmtId="0" fontId="3" fillId="0" borderId="0"/>
    <xf numFmtId="0" fontId="3" fillId="0" borderId="0"/>
    <xf numFmtId="0" fontId="6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2"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3" fillId="0" borderId="0"/>
    <xf numFmtId="0" fontId="2" fillId="0" borderId="0"/>
    <xf numFmtId="0" fontId="2" fillId="0" borderId="0"/>
    <xf numFmtId="0" fontId="3" fillId="0" borderId="0"/>
    <xf numFmtId="0" fontId="2" fillId="0" borderId="0"/>
    <xf numFmtId="0" fontId="2"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2" fillId="0" borderId="0"/>
    <xf numFmtId="0" fontId="3" fillId="0" borderId="0"/>
    <xf numFmtId="0" fontId="40" fillId="0" borderId="0"/>
    <xf numFmtId="0" fontId="3"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3" fillId="0" borderId="0"/>
    <xf numFmtId="0" fontId="2" fillId="0" borderId="0"/>
    <xf numFmtId="0" fontId="3" fillId="0" borderId="0"/>
    <xf numFmtId="0" fontId="3" fillId="0" borderId="0"/>
  </cellStyleXfs>
  <cellXfs count="938">
    <xf numFmtId="0" fontId="0" fillId="0" borderId="0" xfId="0"/>
    <xf numFmtId="0" fontId="5" fillId="0" borderId="0" xfId="0" applyFont="1"/>
    <xf numFmtId="3" fontId="5" fillId="2" borderId="1" xfId="0" applyNumberFormat="1" applyFont="1" applyFill="1" applyBorder="1" applyProtection="1">
      <protection locked="0"/>
    </xf>
    <xf numFmtId="3" fontId="5" fillId="3" borderId="1" xfId="0" applyNumberFormat="1" applyFont="1" applyFill="1" applyBorder="1" applyProtection="1">
      <protection locked="0"/>
    </xf>
    <xf numFmtId="0" fontId="5" fillId="4" borderId="0" xfId="0" applyFont="1" applyFill="1" applyProtection="1"/>
    <xf numFmtId="37" fontId="5" fillId="4" borderId="0" xfId="0" applyNumberFormat="1" applyFont="1" applyFill="1" applyAlignment="1" applyProtection="1">
      <alignment horizontal="left"/>
    </xf>
    <xf numFmtId="3" fontId="5" fillId="4" borderId="0" xfId="0" applyNumberFormat="1" applyFont="1" applyFill="1" applyProtection="1"/>
    <xf numFmtId="3" fontId="5" fillId="4" borderId="2" xfId="0" applyNumberFormat="1" applyFont="1" applyFill="1" applyBorder="1" applyProtection="1"/>
    <xf numFmtId="3" fontId="5" fillId="4" borderId="0" xfId="0" applyNumberFormat="1" applyFont="1" applyFill="1" applyBorder="1" applyProtection="1"/>
    <xf numFmtId="0" fontId="5" fillId="4" borderId="0" xfId="0" applyFont="1" applyFill="1" applyBorder="1" applyProtection="1"/>
    <xf numFmtId="0" fontId="5" fillId="4" borderId="0" xfId="0" applyFont="1" applyFill="1" applyAlignment="1" applyProtection="1">
      <alignment horizontal="centerContinuous"/>
    </xf>
    <xf numFmtId="37" fontId="4" fillId="4" borderId="0" xfId="0" applyNumberFormat="1" applyFont="1" applyFill="1" applyAlignment="1" applyProtection="1">
      <alignment horizontal="left"/>
    </xf>
    <xf numFmtId="37" fontId="5" fillId="4" borderId="2" xfId="0" applyNumberFormat="1" applyFont="1" applyFill="1" applyBorder="1" applyAlignment="1" applyProtection="1">
      <alignment horizontal="left"/>
    </xf>
    <xf numFmtId="0" fontId="5" fillId="4" borderId="2" xfId="0" applyFont="1" applyFill="1" applyBorder="1" applyProtection="1"/>
    <xf numFmtId="37" fontId="5" fillId="4" borderId="3" xfId="0" applyNumberFormat="1" applyFont="1" applyFill="1" applyBorder="1" applyAlignment="1" applyProtection="1">
      <alignment horizontal="left"/>
    </xf>
    <xf numFmtId="0" fontId="5" fillId="4" borderId="3" xfId="0" applyFont="1" applyFill="1" applyBorder="1" applyProtection="1"/>
    <xf numFmtId="37" fontId="5" fillId="4" borderId="0" xfId="0" applyNumberFormat="1" applyFont="1" applyFill="1" applyBorder="1" applyAlignment="1" applyProtection="1">
      <alignment horizontal="left"/>
    </xf>
    <xf numFmtId="37" fontId="4" fillId="5" borderId="0" xfId="0" applyNumberFormat="1" applyFont="1" applyFill="1" applyAlignment="1" applyProtection="1">
      <alignment horizontal="left"/>
    </xf>
    <xf numFmtId="0" fontId="5" fillId="5" borderId="0" xfId="0" applyFont="1" applyFill="1" applyProtection="1"/>
    <xf numFmtId="0" fontId="5" fillId="4" borderId="4" xfId="0" applyFont="1" applyFill="1" applyBorder="1" applyProtection="1"/>
    <xf numFmtId="0" fontId="5" fillId="4" borderId="0" xfId="0" applyFont="1" applyFill="1"/>
    <xf numFmtId="3" fontId="5" fillId="4" borderId="1" xfId="0" applyNumberFormat="1" applyFont="1" applyFill="1" applyBorder="1" applyProtection="1">
      <protection locked="0"/>
    </xf>
    <xf numFmtId="0" fontId="0" fillId="4" borderId="0" xfId="0" applyFill="1"/>
    <xf numFmtId="37" fontId="5" fillId="4" borderId="0" xfId="0" applyNumberFormat="1" applyFont="1" applyFill="1" applyBorder="1" applyProtection="1">
      <protection locked="0"/>
    </xf>
    <xf numFmtId="3" fontId="5" fillId="4" borderId="0" xfId="0" applyNumberFormat="1" applyFont="1" applyFill="1" applyBorder="1" applyProtection="1">
      <protection locked="0"/>
    </xf>
    <xf numFmtId="0" fontId="16" fillId="4" borderId="0" xfId="0" applyFont="1" applyFill="1" applyBorder="1" applyAlignment="1" applyProtection="1">
      <alignment horizontal="center"/>
    </xf>
    <xf numFmtId="3" fontId="5" fillId="5" borderId="0" xfId="0" applyNumberFormat="1" applyFont="1" applyFill="1" applyProtection="1"/>
    <xf numFmtId="3" fontId="5" fillId="4" borderId="5" xfId="0" applyNumberFormat="1" applyFont="1" applyFill="1" applyBorder="1" applyProtection="1"/>
    <xf numFmtId="3" fontId="5" fillId="4" borderId="4" xfId="0" applyNumberFormat="1" applyFont="1" applyFill="1" applyBorder="1" applyProtection="1"/>
    <xf numFmtId="37" fontId="5" fillId="4" borderId="0" xfId="0" applyNumberFormat="1" applyFont="1" applyFill="1"/>
    <xf numFmtId="171" fontId="5" fillId="6" borderId="1" xfId="0" applyNumberFormat="1" applyFont="1" applyFill="1" applyBorder="1" applyProtection="1"/>
    <xf numFmtId="37" fontId="4" fillId="4" borderId="2" xfId="0" applyNumberFormat="1" applyFont="1" applyFill="1" applyBorder="1" applyAlignment="1" applyProtection="1">
      <alignment horizontal="left"/>
    </xf>
    <xf numFmtId="37" fontId="4" fillId="7" borderId="2" xfId="0" applyNumberFormat="1" applyFont="1" applyFill="1" applyBorder="1" applyAlignment="1" applyProtection="1">
      <alignment horizontal="left"/>
    </xf>
    <xf numFmtId="0" fontId="5" fillId="7" borderId="3" xfId="0" applyFont="1" applyFill="1" applyBorder="1" applyProtection="1"/>
    <xf numFmtId="3" fontId="5" fillId="6" borderId="1" xfId="0" applyNumberFormat="1" applyFont="1" applyFill="1" applyBorder="1" applyProtection="1"/>
    <xf numFmtId="0" fontId="6" fillId="4" borderId="0" xfId="0" applyFont="1" applyFill="1" applyBorder="1" applyProtection="1"/>
    <xf numFmtId="37" fontId="5" fillId="6" borderId="3" xfId="0" applyNumberFormat="1" applyFont="1" applyFill="1" applyBorder="1" applyProtection="1">
      <protection locked="0"/>
    </xf>
    <xf numFmtId="3" fontId="5" fillId="6" borderId="3" xfId="0" applyNumberFormat="1" applyFont="1" applyFill="1" applyBorder="1" applyProtection="1">
      <protection locked="0"/>
    </xf>
    <xf numFmtId="37" fontId="6" fillId="4" borderId="0" xfId="0" applyNumberFormat="1" applyFont="1" applyFill="1" applyBorder="1" applyAlignment="1" applyProtection="1">
      <alignment horizontal="left"/>
    </xf>
    <xf numFmtId="37" fontId="6" fillId="4" borderId="0" xfId="0" applyNumberFormat="1" applyFont="1" applyFill="1" applyAlignment="1" applyProtection="1">
      <alignment horizontal="left"/>
    </xf>
    <xf numFmtId="3" fontId="5" fillId="8" borderId="0" xfId="0" applyNumberFormat="1" applyFont="1" applyFill="1" applyProtection="1"/>
    <xf numFmtId="0" fontId="5" fillId="9" borderId="6" xfId="0" applyFont="1" applyFill="1" applyBorder="1" applyAlignment="1">
      <alignment horizontal="center"/>
    </xf>
    <xf numFmtId="0" fontId="5" fillId="9" borderId="7" xfId="0" applyFont="1" applyFill="1" applyBorder="1" applyAlignment="1">
      <alignment horizontal="center"/>
    </xf>
    <xf numFmtId="0" fontId="14" fillId="4" borderId="0" xfId="0" applyFont="1" applyFill="1"/>
    <xf numFmtId="0" fontId="18" fillId="4" borderId="0" xfId="0" applyFont="1" applyFill="1" applyAlignment="1"/>
    <xf numFmtId="37" fontId="5" fillId="4" borderId="1" xfId="0" applyNumberFormat="1" applyFont="1" applyFill="1" applyBorder="1"/>
    <xf numFmtId="0" fontId="18" fillId="4" borderId="0" xfId="0" applyFont="1" applyFill="1"/>
    <xf numFmtId="0" fontId="4" fillId="4" borderId="0" xfId="0" applyFont="1" applyFill="1" applyAlignment="1" applyProtection="1">
      <alignment horizontal="center" vertical="center"/>
    </xf>
    <xf numFmtId="0" fontId="5" fillId="4" borderId="0" xfId="0" applyFont="1" applyFill="1" applyAlignment="1" applyProtection="1">
      <alignment vertical="center"/>
    </xf>
    <xf numFmtId="0" fontId="5" fillId="4" borderId="0" xfId="0" applyFont="1" applyFill="1" applyAlignment="1" applyProtection="1">
      <alignment horizontal="centerContinuous" vertical="center"/>
    </xf>
    <xf numFmtId="37" fontId="5" fillId="4" borderId="0" xfId="0" quotePrefix="1" applyNumberFormat="1" applyFont="1" applyFill="1" applyAlignment="1" applyProtection="1">
      <alignment horizontal="right" vertical="center"/>
    </xf>
    <xf numFmtId="37" fontId="5" fillId="4" borderId="0" xfId="0" applyNumberFormat="1" applyFont="1" applyFill="1" applyAlignment="1" applyProtection="1">
      <alignment horizontal="center" vertical="center"/>
    </xf>
    <xf numFmtId="0" fontId="5" fillId="4" borderId="0" xfId="0" applyFont="1" applyFill="1" applyAlignment="1" applyProtection="1">
      <alignment horizontal="center" vertical="center"/>
    </xf>
    <xf numFmtId="37" fontId="5" fillId="4" borderId="0" xfId="0" applyNumberFormat="1" applyFont="1" applyFill="1" applyBorder="1" applyAlignment="1" applyProtection="1">
      <alignment horizontal="fill" vertical="center"/>
    </xf>
    <xf numFmtId="0" fontId="5" fillId="4" borderId="0" xfId="0" applyFont="1" applyFill="1" applyBorder="1" applyAlignment="1" applyProtection="1">
      <alignment vertical="center"/>
    </xf>
    <xf numFmtId="37" fontId="5" fillId="4" borderId="0" xfId="0" applyNumberFormat="1" applyFont="1" applyFill="1" applyAlignment="1" applyProtection="1">
      <alignment horizontal="left" vertical="center"/>
    </xf>
    <xf numFmtId="37" fontId="5" fillId="4" borderId="6" xfId="0" applyNumberFormat="1" applyFont="1" applyFill="1" applyBorder="1" applyAlignment="1" applyProtection="1">
      <alignment horizontal="left" vertical="center"/>
    </xf>
    <xf numFmtId="37" fontId="5" fillId="4" borderId="6" xfId="0" applyNumberFormat="1" applyFont="1" applyFill="1" applyBorder="1" applyAlignment="1" applyProtection="1">
      <alignment horizontal="center" vertical="center"/>
    </xf>
    <xf numFmtId="0" fontId="5" fillId="4" borderId="8" xfId="0" applyFont="1" applyFill="1" applyBorder="1" applyAlignment="1" applyProtection="1">
      <alignment vertical="center"/>
    </xf>
    <xf numFmtId="37" fontId="5" fillId="4" borderId="8" xfId="0" applyNumberFormat="1" applyFont="1" applyFill="1" applyBorder="1" applyAlignment="1" applyProtection="1">
      <alignment horizontal="center" vertical="center"/>
    </xf>
    <xf numFmtId="37" fontId="5" fillId="4" borderId="2" xfId="0" applyNumberFormat="1" applyFont="1" applyFill="1" applyBorder="1" applyAlignment="1" applyProtection="1">
      <alignment horizontal="left" vertical="center"/>
    </xf>
    <xf numFmtId="0" fontId="5" fillId="4" borderId="2" xfId="0" applyFont="1" applyFill="1" applyBorder="1" applyAlignment="1" applyProtection="1">
      <alignment vertical="center"/>
    </xf>
    <xf numFmtId="37" fontId="5" fillId="4" borderId="7" xfId="0" applyNumberFormat="1" applyFont="1" applyFill="1" applyBorder="1" applyAlignment="1" applyProtection="1">
      <alignment horizontal="center" vertical="center"/>
    </xf>
    <xf numFmtId="37" fontId="5" fillId="4" borderId="9" xfId="0" applyNumberFormat="1" applyFont="1" applyFill="1" applyBorder="1" applyAlignment="1" applyProtection="1">
      <alignment horizontal="left" vertical="center"/>
    </xf>
    <xf numFmtId="0" fontId="5" fillId="4" borderId="4" xfId="0" applyFont="1" applyFill="1" applyBorder="1" applyAlignment="1" applyProtection="1">
      <alignment vertical="center"/>
    </xf>
    <xf numFmtId="0" fontId="5" fillId="4" borderId="10" xfId="0" applyFont="1" applyFill="1" applyBorder="1" applyAlignment="1" applyProtection="1">
      <alignment vertical="center"/>
    </xf>
    <xf numFmtId="37" fontId="5" fillId="4" borderId="1" xfId="0" applyNumberFormat="1" applyFont="1" applyFill="1" applyBorder="1" applyAlignment="1" applyProtection="1">
      <alignment horizontal="center" vertical="center"/>
    </xf>
    <xf numFmtId="0" fontId="5" fillId="4" borderId="11" xfId="0" applyFont="1" applyFill="1" applyBorder="1" applyAlignment="1" applyProtection="1">
      <alignment vertical="center"/>
    </xf>
    <xf numFmtId="37" fontId="5" fillId="4" borderId="12" xfId="0" applyNumberFormat="1" applyFont="1" applyFill="1" applyBorder="1" applyAlignment="1" applyProtection="1">
      <alignment horizontal="left" vertical="center"/>
    </xf>
    <xf numFmtId="37" fontId="6" fillId="4" borderId="12" xfId="0" applyNumberFormat="1" applyFont="1" applyFill="1" applyBorder="1" applyAlignment="1" applyProtection="1">
      <alignment horizontal="left" vertical="center"/>
    </xf>
    <xf numFmtId="37" fontId="6" fillId="4" borderId="0" xfId="0" applyNumberFormat="1" applyFont="1" applyFill="1" applyAlignment="1" applyProtection="1">
      <alignment horizontal="center" vertical="center"/>
    </xf>
    <xf numFmtId="0" fontId="5" fillId="4" borderId="1" xfId="0" applyFont="1" applyFill="1" applyBorder="1" applyAlignment="1" applyProtection="1">
      <alignment horizontal="center" vertical="center"/>
    </xf>
    <xf numFmtId="0" fontId="5" fillId="4" borderId="5" xfId="0" applyFont="1" applyFill="1" applyBorder="1" applyAlignment="1" applyProtection="1">
      <alignment vertical="center"/>
    </xf>
    <xf numFmtId="37" fontId="5" fillId="4" borderId="1" xfId="0" applyNumberFormat="1" applyFont="1" applyFill="1" applyBorder="1" applyAlignment="1" applyProtection="1">
      <alignment vertical="center"/>
    </xf>
    <xf numFmtId="37" fontId="5" fillId="6" borderId="1" xfId="0" applyNumberFormat="1" applyFont="1" applyFill="1" applyBorder="1" applyAlignment="1" applyProtection="1">
      <alignment horizontal="center" vertical="center"/>
    </xf>
    <xf numFmtId="164" fontId="5" fillId="4" borderId="1" xfId="0" applyNumberFormat="1" applyFont="1" applyFill="1" applyBorder="1" applyAlignment="1" applyProtection="1">
      <alignment horizontal="center" vertical="center"/>
    </xf>
    <xf numFmtId="165" fontId="5" fillId="4" borderId="1" xfId="0" applyNumberFormat="1" applyFont="1" applyFill="1" applyBorder="1" applyAlignment="1" applyProtection="1">
      <alignment vertical="center"/>
    </xf>
    <xf numFmtId="37" fontId="5" fillId="4" borderId="9" xfId="0" applyNumberFormat="1" applyFont="1" applyFill="1" applyBorder="1" applyAlignment="1" applyProtection="1">
      <alignment vertical="center"/>
    </xf>
    <xf numFmtId="37" fontId="5" fillId="4" borderId="4"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37" fontId="5" fillId="4" borderId="11" xfId="0" applyNumberFormat="1" applyFont="1" applyFill="1" applyBorder="1" applyAlignment="1" applyProtection="1">
      <alignment horizontal="center" vertical="center"/>
    </xf>
    <xf numFmtId="37" fontId="4" fillId="4" borderId="9" xfId="0" applyNumberFormat="1" applyFont="1" applyFill="1" applyBorder="1" applyAlignment="1" applyProtection="1">
      <alignment horizontal="left" vertical="center"/>
    </xf>
    <xf numFmtId="37" fontId="5" fillId="4" borderId="4" xfId="0" applyNumberFormat="1" applyFont="1" applyFill="1" applyBorder="1" applyAlignment="1" applyProtection="1">
      <alignment horizontal="fill" vertical="center"/>
    </xf>
    <xf numFmtId="37" fontId="5" fillId="6" borderId="13" xfId="0" applyNumberFormat="1" applyFont="1" applyFill="1" applyBorder="1" applyAlignment="1" applyProtection="1">
      <alignment horizontal="center" vertical="center"/>
    </xf>
    <xf numFmtId="0" fontId="14" fillId="7" borderId="4" xfId="0" applyFont="1" applyFill="1" applyBorder="1" applyAlignment="1" applyProtection="1">
      <alignment horizontal="center" vertical="center"/>
    </xf>
    <xf numFmtId="0" fontId="5" fillId="4" borderId="0" xfId="0" applyFont="1" applyFill="1" applyBorder="1" applyAlignment="1" applyProtection="1">
      <alignment horizontal="center" vertical="center" shrinkToFit="1"/>
    </xf>
    <xf numFmtId="0" fontId="14" fillId="4" borderId="0" xfId="0" applyFont="1" applyFill="1" applyBorder="1" applyAlignment="1" applyProtection="1">
      <alignment horizontal="center" vertical="center"/>
    </xf>
    <xf numFmtId="37" fontId="5" fillId="4" borderId="1" xfId="0" applyNumberFormat="1" applyFont="1" applyFill="1" applyBorder="1" applyAlignment="1" applyProtection="1">
      <alignment horizontal="left" vertical="center"/>
    </xf>
    <xf numFmtId="0" fontId="9" fillId="4" borderId="0" xfId="0" applyFont="1" applyFill="1" applyAlignment="1" applyProtection="1">
      <alignment horizontal="center" vertical="center"/>
    </xf>
    <xf numFmtId="0" fontId="5" fillId="4" borderId="0" xfId="0" applyFont="1" applyFill="1" applyBorder="1" applyAlignment="1" applyProtection="1">
      <alignment vertical="center"/>
      <protection locked="0"/>
    </xf>
    <xf numFmtId="37" fontId="5" fillId="4" borderId="0" xfId="0" applyNumberFormat="1" applyFont="1" applyFill="1" applyBorder="1" applyAlignment="1" applyProtection="1">
      <alignment horizontal="left" vertical="center"/>
    </xf>
    <xf numFmtId="0" fontId="0" fillId="0" borderId="0" xfId="0" applyAlignment="1">
      <alignment vertical="center"/>
    </xf>
    <xf numFmtId="0" fontId="5" fillId="3" borderId="2" xfId="0" applyFont="1" applyFill="1" applyBorder="1" applyAlignment="1" applyProtection="1">
      <alignment vertical="center"/>
      <protection locked="0"/>
    </xf>
    <xf numFmtId="0" fontId="5" fillId="3" borderId="3" xfId="0" applyFont="1" applyFill="1" applyBorder="1" applyAlignment="1" applyProtection="1">
      <alignment vertical="center"/>
      <protection locked="0"/>
    </xf>
    <xf numFmtId="0" fontId="5" fillId="4" borderId="0" xfId="0" applyFont="1" applyFill="1" applyAlignment="1">
      <alignment vertical="center"/>
    </xf>
    <xf numFmtId="0" fontId="5" fillId="0" borderId="0" xfId="0" applyFont="1" applyAlignment="1">
      <alignment vertical="center"/>
    </xf>
    <xf numFmtId="0" fontId="5" fillId="3" borderId="0" xfId="0" applyFont="1" applyFill="1" applyAlignment="1" applyProtection="1">
      <alignment vertical="center"/>
      <protection locked="0"/>
    </xf>
    <xf numFmtId="37" fontId="5" fillId="3" borderId="0" xfId="0" applyNumberFormat="1" applyFont="1" applyFill="1" applyAlignment="1" applyProtection="1">
      <alignment horizontal="left" vertical="center"/>
      <protection locked="0"/>
    </xf>
    <xf numFmtId="0" fontId="5" fillId="4" borderId="0" xfId="0" applyFont="1" applyFill="1" applyAlignment="1" applyProtection="1">
      <alignment horizontal="left" vertical="center"/>
    </xf>
    <xf numFmtId="0" fontId="5" fillId="4" borderId="0" xfId="0" applyFont="1" applyFill="1" applyAlignment="1" applyProtection="1">
      <alignment horizontal="right" vertical="center"/>
    </xf>
    <xf numFmtId="0" fontId="5" fillId="4" borderId="0" xfId="0" applyFont="1" applyFill="1" applyAlignment="1">
      <alignment horizontal="center" vertical="center"/>
    </xf>
    <xf numFmtId="0" fontId="4" fillId="4" borderId="0" xfId="0" applyFont="1" applyFill="1" applyAlignment="1">
      <alignment horizontal="center" vertical="center"/>
    </xf>
    <xf numFmtId="0" fontId="22" fillId="4" borderId="0" xfId="0" applyFont="1" applyFill="1" applyAlignment="1">
      <alignment horizontal="center" vertical="center"/>
    </xf>
    <xf numFmtId="37" fontId="5" fillId="4" borderId="0" xfId="0" applyNumberFormat="1" applyFont="1" applyFill="1" applyAlignment="1">
      <alignment vertical="center"/>
    </xf>
    <xf numFmtId="0" fontId="5" fillId="4" borderId="4" xfId="0" applyFont="1" applyFill="1" applyBorder="1" applyAlignment="1">
      <alignment vertical="center"/>
    </xf>
    <xf numFmtId="0" fontId="5" fillId="4" borderId="2" xfId="0" applyFont="1" applyFill="1" applyBorder="1" applyAlignment="1">
      <alignment vertical="center"/>
    </xf>
    <xf numFmtId="0" fontId="23" fillId="4" borderId="6" xfId="0" applyFont="1" applyFill="1" applyBorder="1" applyAlignment="1">
      <alignment vertical="center"/>
    </xf>
    <xf numFmtId="0" fontId="23" fillId="4" borderId="4" xfId="0" applyFont="1" applyFill="1" applyBorder="1" applyAlignment="1">
      <alignment horizontal="center" vertical="center"/>
    </xf>
    <xf numFmtId="0" fontId="23" fillId="4" borderId="10" xfId="0" applyFont="1" applyFill="1" applyBorder="1" applyAlignment="1">
      <alignment vertical="center"/>
    </xf>
    <xf numFmtId="0" fontId="23" fillId="4" borderId="1"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23" fillId="4" borderId="12" xfId="0" applyFont="1" applyFill="1" applyBorder="1" applyAlignment="1">
      <alignment vertical="center"/>
    </xf>
    <xf numFmtId="3" fontId="23" fillId="3" borderId="1" xfId="0" applyNumberFormat="1" applyFont="1" applyFill="1" applyBorder="1" applyAlignment="1" applyProtection="1">
      <alignment horizontal="center" vertical="center"/>
      <protection locked="0"/>
    </xf>
    <xf numFmtId="0" fontId="23" fillId="4" borderId="2" xfId="0" applyFont="1" applyFill="1" applyBorder="1" applyAlignment="1">
      <alignment vertical="center"/>
    </xf>
    <xf numFmtId="3" fontId="23" fillId="6" borderId="1" xfId="0" applyNumberFormat="1" applyFont="1" applyFill="1" applyBorder="1" applyAlignment="1">
      <alignment horizontal="center" vertical="center"/>
    </xf>
    <xf numFmtId="0" fontId="23" fillId="4" borderId="0" xfId="0" applyFont="1" applyFill="1" applyAlignment="1">
      <alignment vertical="center"/>
    </xf>
    <xf numFmtId="3" fontId="23" fillId="4" borderId="0" xfId="0" applyNumberFormat="1" applyFont="1" applyFill="1" applyAlignment="1">
      <alignment horizontal="center" vertical="center"/>
    </xf>
    <xf numFmtId="0" fontId="23" fillId="4" borderId="0" xfId="0" applyFont="1" applyFill="1" applyAlignment="1">
      <alignment horizontal="center" vertical="center"/>
    </xf>
    <xf numFmtId="0" fontId="23" fillId="3" borderId="1" xfId="0" applyFont="1" applyFill="1" applyBorder="1" applyAlignment="1" applyProtection="1">
      <alignment vertical="center"/>
      <protection locked="0"/>
    </xf>
    <xf numFmtId="0" fontId="23" fillId="3" borderId="10" xfId="0" applyFont="1" applyFill="1" applyBorder="1" applyAlignment="1" applyProtection="1">
      <alignment vertical="center"/>
      <protection locked="0"/>
    </xf>
    <xf numFmtId="3" fontId="23" fillId="3" borderId="10" xfId="0" applyNumberFormat="1" applyFont="1" applyFill="1" applyBorder="1" applyAlignment="1" applyProtection="1">
      <alignment horizontal="center" vertical="center"/>
      <protection locked="0"/>
    </xf>
    <xf numFmtId="0" fontId="23" fillId="3" borderId="0" xfId="0" applyFont="1" applyFill="1" applyAlignment="1" applyProtection="1">
      <alignment vertical="center"/>
      <protection locked="0"/>
    </xf>
    <xf numFmtId="3" fontId="23" fillId="3" borderId="5" xfId="0" applyNumberFormat="1" applyFont="1" applyFill="1" applyBorder="1" applyAlignment="1" applyProtection="1">
      <alignment horizontal="center" vertical="center"/>
      <protection locked="0"/>
    </xf>
    <xf numFmtId="3" fontId="23" fillId="3" borderId="4" xfId="0" applyNumberFormat="1" applyFont="1" applyFill="1" applyBorder="1" applyAlignment="1" applyProtection="1">
      <alignment horizontal="center" vertical="center"/>
      <protection locked="0"/>
    </xf>
    <xf numFmtId="0" fontId="23" fillId="3" borderId="4" xfId="0" applyFont="1" applyFill="1" applyBorder="1" applyAlignment="1" applyProtection="1">
      <alignment vertical="center"/>
      <protection locked="0"/>
    </xf>
    <xf numFmtId="0" fontId="23" fillId="3" borderId="7" xfId="0" applyFont="1" applyFill="1" applyBorder="1" applyAlignment="1" applyProtection="1">
      <alignment vertical="center"/>
      <protection locked="0"/>
    </xf>
    <xf numFmtId="3" fontId="23" fillId="3" borderId="11" xfId="0" applyNumberFormat="1" applyFont="1" applyFill="1" applyBorder="1" applyAlignment="1" applyProtection="1">
      <alignment horizontal="center" vertical="center"/>
      <protection locked="0"/>
    </xf>
    <xf numFmtId="0" fontId="23" fillId="3" borderId="11" xfId="0" applyFont="1" applyFill="1" applyBorder="1" applyAlignment="1" applyProtection="1">
      <alignment vertical="center"/>
      <protection locked="0"/>
    </xf>
    <xf numFmtId="3" fontId="23" fillId="6" borderId="7" xfId="0" applyNumberFormat="1" applyFont="1" applyFill="1" applyBorder="1" applyAlignment="1">
      <alignment horizontal="center" vertical="center"/>
    </xf>
    <xf numFmtId="3" fontId="23" fillId="7" borderId="1" xfId="0" applyNumberFormat="1" applyFont="1" applyFill="1" applyBorder="1" applyAlignment="1">
      <alignment horizontal="center" vertical="center"/>
    </xf>
    <xf numFmtId="3" fontId="5" fillId="4" borderId="0" xfId="0" applyNumberFormat="1" applyFont="1" applyFill="1" applyAlignment="1">
      <alignment vertical="center"/>
    </xf>
    <xf numFmtId="0" fontId="5" fillId="10" borderId="0" xfId="0" applyFont="1" applyFill="1" applyAlignment="1">
      <alignment vertical="center"/>
    </xf>
    <xf numFmtId="0" fontId="5" fillId="4" borderId="0" xfId="0" applyFont="1" applyFill="1" applyAlignment="1">
      <alignment horizontal="right" vertical="center"/>
    </xf>
    <xf numFmtId="0" fontId="5" fillId="3" borderId="0" xfId="0" applyFont="1" applyFill="1" applyAlignment="1" applyProtection="1">
      <alignment horizontal="left" vertical="center"/>
      <protection locked="0"/>
    </xf>
    <xf numFmtId="3" fontId="5" fillId="0" borderId="0" xfId="0" applyNumberFormat="1" applyFont="1" applyAlignment="1">
      <alignment vertical="center"/>
    </xf>
    <xf numFmtId="37" fontId="16" fillId="4" borderId="0" xfId="0" applyNumberFormat="1" applyFont="1" applyFill="1" applyAlignment="1" applyProtection="1">
      <alignment horizontal="left" vertical="center"/>
    </xf>
    <xf numFmtId="0" fontId="5" fillId="0" borderId="0" xfId="0" applyFont="1" applyAlignment="1" applyProtection="1">
      <alignment vertical="center"/>
      <protection locked="0"/>
    </xf>
    <xf numFmtId="37" fontId="4" fillId="4" borderId="0" xfId="0" applyNumberFormat="1" applyFont="1" applyFill="1" applyAlignment="1" applyProtection="1">
      <alignment horizontal="left" vertical="center"/>
    </xf>
    <xf numFmtId="0" fontId="4" fillId="4" borderId="0" xfId="0" applyFont="1" applyFill="1" applyAlignment="1" applyProtection="1">
      <alignment vertical="center"/>
    </xf>
    <xf numFmtId="0" fontId="4" fillId="3" borderId="1" xfId="0" applyFont="1" applyFill="1" applyBorder="1" applyAlignment="1" applyProtection="1">
      <alignment horizontal="center" vertical="center"/>
      <protection locked="0"/>
    </xf>
    <xf numFmtId="37" fontId="4" fillId="4" borderId="0" xfId="0" applyNumberFormat="1" applyFont="1" applyFill="1" applyAlignment="1" applyProtection="1">
      <alignment horizontal="centerContinuous" vertical="center"/>
    </xf>
    <xf numFmtId="0" fontId="4" fillId="4" borderId="0" xfId="0" applyFont="1" applyFill="1" applyAlignment="1" applyProtection="1">
      <alignment horizontal="centerContinuous" vertical="center"/>
    </xf>
    <xf numFmtId="0" fontId="4" fillId="5" borderId="0" xfId="0" applyFont="1" applyFill="1" applyAlignment="1" applyProtection="1">
      <alignment vertical="center"/>
    </xf>
    <xf numFmtId="0" fontId="5" fillId="5" borderId="0" xfId="0" applyFont="1" applyFill="1" applyAlignment="1" applyProtection="1">
      <alignment vertical="center"/>
    </xf>
    <xf numFmtId="0" fontId="5" fillId="4" borderId="0" xfId="0" applyNumberFormat="1" applyFont="1" applyFill="1" applyAlignment="1" applyProtection="1">
      <alignment horizontal="center" vertical="center"/>
    </xf>
    <xf numFmtId="37" fontId="4" fillId="8" borderId="0" xfId="0" applyNumberFormat="1" applyFont="1" applyFill="1" applyAlignment="1" applyProtection="1">
      <alignment horizontal="left" vertical="center"/>
    </xf>
    <xf numFmtId="0" fontId="5" fillId="8" borderId="0" xfId="0" applyFont="1" applyFill="1" applyAlignment="1" applyProtection="1">
      <alignment vertical="center"/>
    </xf>
    <xf numFmtId="0" fontId="6" fillId="9" borderId="6" xfId="0" applyNumberFormat="1" applyFont="1" applyFill="1" applyBorder="1" applyAlignment="1" applyProtection="1">
      <alignment horizontal="center" vertical="center"/>
    </xf>
    <xf numFmtId="0" fontId="6" fillId="4" borderId="0" xfId="0" applyFont="1" applyFill="1" applyAlignment="1" applyProtection="1">
      <alignment horizontal="center" vertical="center"/>
    </xf>
    <xf numFmtId="0" fontId="5" fillId="9" borderId="7" xfId="0" applyFont="1" applyFill="1" applyBorder="1" applyAlignment="1">
      <alignment horizontal="center" vertical="center"/>
    </xf>
    <xf numFmtId="3" fontId="5" fillId="2" borderId="1" xfId="0" applyNumberFormat="1" applyFont="1" applyFill="1" applyBorder="1" applyAlignment="1" applyProtection="1">
      <alignment vertical="center"/>
      <protection locked="0"/>
    </xf>
    <xf numFmtId="0" fontId="5" fillId="4" borderId="1" xfId="0" applyFont="1" applyFill="1" applyBorder="1" applyAlignment="1" applyProtection="1">
      <alignment horizontal="center" vertical="center"/>
      <protection locked="0"/>
    </xf>
    <xf numFmtId="37" fontId="5" fillId="2" borderId="1" xfId="0" applyNumberFormat="1" applyFont="1" applyFill="1" applyBorder="1" applyAlignment="1" applyProtection="1">
      <alignment horizontal="left" vertical="center"/>
      <protection locked="0"/>
    </xf>
    <xf numFmtId="0" fontId="5" fillId="4" borderId="2" xfId="0" applyFont="1" applyFill="1" applyBorder="1" applyAlignment="1" applyProtection="1">
      <alignment horizontal="left" vertical="center"/>
    </xf>
    <xf numFmtId="0" fontId="5" fillId="4" borderId="3" xfId="0" applyFont="1" applyFill="1" applyBorder="1" applyAlignment="1" applyProtection="1">
      <alignment vertical="center"/>
    </xf>
    <xf numFmtId="37" fontId="5" fillId="4" borderId="3" xfId="0" applyNumberFormat="1" applyFont="1" applyFill="1" applyBorder="1" applyAlignment="1" applyProtection="1">
      <alignment vertical="center"/>
    </xf>
    <xf numFmtId="37" fontId="5" fillId="6" borderId="1" xfId="0" applyNumberFormat="1" applyFont="1" applyFill="1" applyBorder="1" applyAlignment="1" applyProtection="1">
      <alignment vertical="center"/>
    </xf>
    <xf numFmtId="37" fontId="5" fillId="4" borderId="0" xfId="0" applyNumberFormat="1" applyFont="1" applyFill="1" applyBorder="1" applyAlignment="1" applyProtection="1">
      <alignment vertical="center"/>
    </xf>
    <xf numFmtId="0" fontId="0" fillId="4" borderId="0" xfId="0" applyFill="1" applyAlignment="1">
      <alignment vertical="center"/>
    </xf>
    <xf numFmtId="0" fontId="5" fillId="3" borderId="1" xfId="0" applyFont="1" applyFill="1" applyBorder="1" applyAlignment="1" applyProtection="1">
      <alignment vertical="center"/>
      <protection locked="0"/>
    </xf>
    <xf numFmtId="3" fontId="5" fillId="3" borderId="1" xfId="0" applyNumberFormat="1" applyFont="1" applyFill="1" applyBorder="1" applyAlignment="1" applyProtection="1">
      <alignment vertical="center"/>
      <protection locked="0"/>
    </xf>
    <xf numFmtId="3" fontId="5" fillId="6" borderId="1" xfId="0" applyNumberFormat="1" applyFont="1" applyFill="1" applyBorder="1" applyAlignment="1" applyProtection="1">
      <alignment vertical="center"/>
    </xf>
    <xf numFmtId="0" fontId="5" fillId="9" borderId="0" xfId="0" applyFont="1" applyFill="1" applyAlignment="1" applyProtection="1">
      <alignment vertical="center"/>
    </xf>
    <xf numFmtId="165" fontId="5" fillId="2" borderId="7" xfId="0" applyNumberFormat="1" applyFont="1" applyFill="1" applyBorder="1" applyAlignment="1" applyProtection="1">
      <alignment vertical="center"/>
      <protection locked="0"/>
    </xf>
    <xf numFmtId="165" fontId="5" fillId="2" borderId="1" xfId="0" applyNumberFormat="1" applyFont="1" applyFill="1" applyBorder="1" applyAlignment="1" applyProtection="1">
      <alignment vertical="center"/>
      <protection locked="0"/>
    </xf>
    <xf numFmtId="165" fontId="5" fillId="4" borderId="2" xfId="0" applyNumberFormat="1" applyFont="1" applyFill="1" applyBorder="1" applyAlignment="1" applyProtection="1">
      <alignment vertical="center"/>
    </xf>
    <xf numFmtId="165" fontId="5" fillId="6" borderId="13" xfId="0" applyNumberFormat="1" applyFont="1" applyFill="1" applyBorder="1" applyAlignment="1" applyProtection="1">
      <alignment vertical="center"/>
    </xf>
    <xf numFmtId="37" fontId="5" fillId="5" borderId="0" xfId="0" applyNumberFormat="1" applyFont="1" applyFill="1" applyAlignment="1" applyProtection="1">
      <alignment horizontal="left" vertical="center"/>
    </xf>
    <xf numFmtId="3" fontId="5" fillId="4" borderId="0" xfId="0" applyNumberFormat="1" applyFont="1" applyFill="1" applyAlignment="1" applyProtection="1">
      <alignment vertical="center"/>
    </xf>
    <xf numFmtId="0" fontId="5" fillId="5" borderId="2" xfId="0" applyFont="1" applyFill="1" applyBorder="1" applyAlignment="1" applyProtection="1">
      <alignment vertical="center"/>
    </xf>
    <xf numFmtId="0" fontId="5" fillId="4" borderId="0" xfId="0" applyFont="1" applyFill="1" applyAlignment="1" applyProtection="1">
      <alignment vertical="center"/>
      <protection locked="0"/>
    </xf>
    <xf numFmtId="0" fontId="5" fillId="4" borderId="2" xfId="0" applyFont="1" applyFill="1" applyBorder="1" applyAlignment="1" applyProtection="1">
      <alignment horizontal="center" vertical="center"/>
    </xf>
    <xf numFmtId="0" fontId="5" fillId="4" borderId="5" xfId="0" applyFont="1" applyFill="1" applyBorder="1" applyAlignment="1" applyProtection="1">
      <alignment vertical="center"/>
      <protection locked="0"/>
    </xf>
    <xf numFmtId="0" fontId="5" fillId="5" borderId="3" xfId="0" applyFont="1" applyFill="1" applyBorder="1" applyAlignment="1" applyProtection="1">
      <alignment vertical="center"/>
    </xf>
    <xf numFmtId="0" fontId="5" fillId="4" borderId="4" xfId="0" applyFont="1" applyFill="1" applyBorder="1" applyAlignment="1" applyProtection="1">
      <alignment vertical="center"/>
      <protection locked="0"/>
    </xf>
    <xf numFmtId="0" fontId="5" fillId="4" borderId="3" xfId="0" applyFont="1" applyFill="1" applyBorder="1" applyAlignment="1" applyProtection="1">
      <alignment vertical="center"/>
      <protection locked="0"/>
    </xf>
    <xf numFmtId="0" fontId="4" fillId="0" borderId="0" xfId="0" applyFont="1" applyAlignment="1" applyProtection="1">
      <alignment vertical="center"/>
      <protection locked="0"/>
    </xf>
    <xf numFmtId="0" fontId="5" fillId="0" borderId="0" xfId="0" applyFont="1" applyBorder="1" applyAlignment="1" applyProtection="1">
      <alignment vertical="center"/>
      <protection locked="0"/>
    </xf>
    <xf numFmtId="1" fontId="5" fillId="4" borderId="9" xfId="0" applyNumberFormat="1" applyFont="1" applyFill="1" applyBorder="1" applyAlignment="1" applyProtection="1">
      <alignment horizontal="centerContinuous" vertical="center"/>
    </xf>
    <xf numFmtId="1" fontId="5" fillId="4" borderId="4" xfId="0" applyNumberFormat="1" applyFont="1" applyFill="1" applyBorder="1" applyAlignment="1" applyProtection="1">
      <alignment horizontal="centerContinuous" vertical="center"/>
    </xf>
    <xf numFmtId="0" fontId="5" fillId="4" borderId="4" xfId="0" applyFont="1" applyFill="1" applyBorder="1" applyAlignment="1" applyProtection="1">
      <alignment horizontal="centerContinuous" vertical="center"/>
    </xf>
    <xf numFmtId="37" fontId="5" fillId="4" borderId="9" xfId="0" applyNumberFormat="1" applyFont="1" applyFill="1" applyBorder="1" applyAlignment="1" applyProtection="1">
      <alignment horizontal="centerContinuous" vertical="center"/>
    </xf>
    <xf numFmtId="0" fontId="5" fillId="4" borderId="3" xfId="0" applyFont="1" applyFill="1" applyBorder="1" applyAlignment="1" applyProtection="1">
      <alignment horizontal="centerContinuous" vertical="center"/>
    </xf>
    <xf numFmtId="1" fontId="5" fillId="4" borderId="6" xfId="0" applyNumberFormat="1" applyFont="1" applyFill="1" applyBorder="1" applyAlignment="1" applyProtection="1">
      <alignment horizontal="center" vertical="center"/>
    </xf>
    <xf numFmtId="0" fontId="5" fillId="4" borderId="6" xfId="0" applyFont="1" applyFill="1" applyBorder="1" applyAlignment="1" applyProtection="1">
      <alignment vertical="center"/>
    </xf>
    <xf numFmtId="0" fontId="5" fillId="4" borderId="1" xfId="0" applyFont="1" applyFill="1" applyBorder="1" applyAlignment="1" applyProtection="1">
      <alignment vertical="center"/>
    </xf>
    <xf numFmtId="164" fontId="5" fillId="4" borderId="0" xfId="0" applyNumberFormat="1" applyFont="1" applyFill="1" applyAlignment="1" applyProtection="1">
      <alignment vertical="center"/>
    </xf>
    <xf numFmtId="37" fontId="5" fillId="4" borderId="4" xfId="0" applyNumberFormat="1" applyFont="1" applyFill="1" applyBorder="1" applyAlignment="1" applyProtection="1">
      <alignment vertical="center"/>
    </xf>
    <xf numFmtId="1" fontId="5" fillId="4" borderId="2" xfId="0" applyNumberFormat="1" applyFont="1" applyFill="1" applyBorder="1" applyAlignment="1" applyProtection="1">
      <alignment horizontal="center" vertical="center"/>
    </xf>
    <xf numFmtId="37" fontId="5" fillId="4" borderId="0" xfId="0" applyNumberFormat="1" applyFont="1" applyFill="1" applyAlignment="1" applyProtection="1">
      <alignment horizontal="right" vertical="center"/>
    </xf>
    <xf numFmtId="0" fontId="5" fillId="2" borderId="0" xfId="0" applyFont="1" applyFill="1" applyAlignment="1" applyProtection="1">
      <alignment horizontal="left" vertical="center"/>
      <protection locked="0"/>
    </xf>
    <xf numFmtId="0" fontId="4" fillId="0" borderId="0" xfId="0" applyFont="1" applyAlignment="1">
      <alignment horizontal="center" vertical="center"/>
    </xf>
    <xf numFmtId="0" fontId="5" fillId="0" borderId="0" xfId="0" applyFont="1" applyAlignment="1">
      <alignment horizontal="left" vertical="center"/>
    </xf>
    <xf numFmtId="0" fontId="5" fillId="0" borderId="0" xfId="0" applyFont="1" applyAlignment="1">
      <alignment vertical="center" wrapText="1"/>
    </xf>
    <xf numFmtId="0" fontId="5" fillId="0" borderId="0" xfId="0" applyFont="1" applyAlignment="1" applyProtection="1">
      <alignment vertical="center" wrapText="1"/>
    </xf>
    <xf numFmtId="0" fontId="4" fillId="0" borderId="0" xfId="0" applyFont="1" applyAlignment="1">
      <alignment vertical="center" wrapText="1"/>
    </xf>
    <xf numFmtId="0" fontId="5" fillId="3" borderId="0" xfId="0" applyFont="1" applyFill="1" applyAlignment="1" applyProtection="1">
      <alignment vertical="center" wrapText="1"/>
    </xf>
    <xf numFmtId="0" fontId="5" fillId="0" borderId="0" xfId="0" applyFont="1" applyFill="1" applyAlignment="1" applyProtection="1">
      <alignment vertical="center" wrapText="1"/>
    </xf>
    <xf numFmtId="0" fontId="5" fillId="4" borderId="0" xfId="0" applyFont="1" applyFill="1" applyAlignment="1">
      <alignment vertical="center" wrapText="1"/>
    </xf>
    <xf numFmtId="0" fontId="5" fillId="9" borderId="0" xfId="0" applyFont="1" applyFill="1" applyAlignment="1">
      <alignment vertical="center" wrapText="1"/>
    </xf>
    <xf numFmtId="37" fontId="5" fillId="0" borderId="0" xfId="0" applyNumberFormat="1" applyFont="1" applyFill="1" applyAlignment="1" applyProtection="1">
      <alignment horizontal="left" vertical="center" wrapText="1"/>
    </xf>
    <xf numFmtId="0" fontId="5" fillId="0" borderId="0" xfId="0" applyNumberFormat="1" applyFont="1" applyAlignment="1">
      <alignment vertical="center" wrapText="1"/>
    </xf>
    <xf numFmtId="37" fontId="5" fillId="4" borderId="0" xfId="0" applyNumberFormat="1" applyFont="1" applyFill="1" applyAlignment="1" applyProtection="1">
      <alignment vertical="center"/>
    </xf>
    <xf numFmtId="0" fontId="5" fillId="4" borderId="0" xfId="0" applyNumberFormat="1" applyFont="1" applyFill="1" applyAlignment="1" applyProtection="1">
      <alignment horizontal="right" vertical="center"/>
    </xf>
    <xf numFmtId="0" fontId="5" fillId="0" borderId="0" xfId="0" applyFont="1" applyAlignment="1" applyProtection="1">
      <alignment vertical="center"/>
    </xf>
    <xf numFmtId="0" fontId="6" fillId="4" borderId="0" xfId="0" applyFont="1" applyFill="1" applyBorder="1" applyAlignment="1" applyProtection="1">
      <alignment horizontal="centerContinuous" vertical="center"/>
    </xf>
    <xf numFmtId="0" fontId="5" fillId="4" borderId="0" xfId="0" applyFont="1" applyFill="1" applyBorder="1" applyAlignment="1" applyProtection="1">
      <alignment horizontal="centerContinuous" vertical="center"/>
    </xf>
    <xf numFmtId="0" fontId="5" fillId="4" borderId="6" xfId="0" applyFont="1" applyFill="1" applyBorder="1" applyAlignment="1" applyProtection="1">
      <alignment horizontal="center" vertical="center"/>
    </xf>
    <xf numFmtId="37" fontId="5" fillId="4" borderId="7" xfId="0" applyNumberFormat="1" applyFont="1" applyFill="1" applyBorder="1" applyAlignment="1" applyProtection="1">
      <alignment vertical="center"/>
    </xf>
    <xf numFmtId="0" fontId="5" fillId="4" borderId="7" xfId="0" applyFont="1" applyFill="1" applyBorder="1" applyAlignment="1" applyProtection="1">
      <alignment horizontal="center" vertical="center"/>
    </xf>
    <xf numFmtId="37" fontId="5" fillId="3" borderId="1" xfId="0" applyNumberFormat="1" applyFont="1" applyFill="1" applyBorder="1" applyAlignment="1" applyProtection="1">
      <alignment vertical="center"/>
    </xf>
    <xf numFmtId="173" fontId="5" fillId="4" borderId="1" xfId="0" applyNumberFormat="1" applyFont="1" applyFill="1" applyBorder="1" applyAlignment="1" applyProtection="1">
      <alignment vertical="center"/>
    </xf>
    <xf numFmtId="3" fontId="5" fillId="2" borderId="1" xfId="0" applyNumberFormat="1" applyFont="1" applyFill="1" applyBorder="1" applyAlignment="1" applyProtection="1">
      <alignment vertical="center"/>
    </xf>
    <xf numFmtId="0" fontId="5" fillId="2" borderId="1" xfId="0" applyFont="1" applyFill="1" applyBorder="1" applyAlignment="1" applyProtection="1">
      <alignment vertical="center"/>
    </xf>
    <xf numFmtId="37" fontId="5" fillId="4" borderId="13" xfId="0" applyNumberFormat="1" applyFont="1" applyFill="1" applyBorder="1" applyAlignment="1" applyProtection="1">
      <alignment vertical="center"/>
    </xf>
    <xf numFmtId="37" fontId="5" fillId="11" borderId="13" xfId="0" applyNumberFormat="1" applyFont="1" applyFill="1" applyBorder="1" applyAlignment="1" applyProtection="1">
      <alignment vertical="center"/>
    </xf>
    <xf numFmtId="173" fontId="5" fillId="11" borderId="13" xfId="0" applyNumberFormat="1" applyFont="1" applyFill="1" applyBorder="1" applyAlignment="1" applyProtection="1">
      <alignment vertical="center"/>
    </xf>
    <xf numFmtId="3" fontId="5" fillId="11" borderId="13" xfId="0" applyNumberFormat="1" applyFont="1" applyFill="1" applyBorder="1" applyAlignment="1" applyProtection="1">
      <alignment vertical="center"/>
    </xf>
    <xf numFmtId="37" fontId="5" fillId="4" borderId="2" xfId="0" applyNumberFormat="1" applyFont="1" applyFill="1" applyBorder="1" applyAlignment="1" applyProtection="1">
      <alignment vertical="center"/>
    </xf>
    <xf numFmtId="166" fontId="5" fillId="6" borderId="2" xfId="0" applyNumberFormat="1" applyFont="1" applyFill="1" applyBorder="1" applyAlignment="1" applyProtection="1">
      <alignment vertical="center"/>
    </xf>
    <xf numFmtId="0" fontId="6" fillId="4" borderId="0" xfId="0" applyFont="1" applyFill="1" applyAlignment="1" applyProtection="1">
      <alignment vertical="center"/>
    </xf>
    <xf numFmtId="166" fontId="5" fillId="4" borderId="2" xfId="0" applyNumberFormat="1" applyFont="1" applyFill="1" applyBorder="1" applyAlignment="1" applyProtection="1">
      <alignment vertical="center"/>
    </xf>
    <xf numFmtId="167" fontId="5" fillId="6" borderId="2" xfId="0" applyNumberFormat="1" applyFont="1" applyFill="1" applyBorder="1" applyAlignment="1" applyProtection="1">
      <alignment vertical="center"/>
    </xf>
    <xf numFmtId="166" fontId="5" fillId="4" borderId="0" xfId="0" applyNumberFormat="1" applyFont="1" applyFill="1" applyBorder="1" applyAlignment="1" applyProtection="1">
      <alignment vertical="center"/>
    </xf>
    <xf numFmtId="37" fontId="5" fillId="0" borderId="0" xfId="0" applyNumberFormat="1" applyFont="1" applyAlignment="1" applyProtection="1">
      <alignment horizontal="fill" vertical="center"/>
    </xf>
    <xf numFmtId="0" fontId="4" fillId="4" borderId="2" xfId="0" applyFont="1" applyFill="1" applyBorder="1" applyAlignment="1" applyProtection="1">
      <alignment horizontal="center" vertical="center"/>
    </xf>
    <xf numFmtId="0" fontId="4" fillId="4" borderId="6" xfId="0" applyFont="1" applyFill="1" applyBorder="1" applyAlignment="1" applyProtection="1">
      <alignment horizontal="center" vertical="center"/>
    </xf>
    <xf numFmtId="0" fontId="4" fillId="4" borderId="10" xfId="0" applyFont="1" applyFill="1" applyBorder="1" applyAlignment="1" applyProtection="1">
      <alignment horizontal="center" vertical="center"/>
    </xf>
    <xf numFmtId="0" fontId="4" fillId="4" borderId="8" xfId="0" applyFont="1" applyFill="1" applyBorder="1" applyAlignment="1" applyProtection="1">
      <alignment horizontal="center" vertical="center"/>
    </xf>
    <xf numFmtId="0" fontId="4" fillId="4" borderId="11" xfId="0" applyFont="1" applyFill="1" applyBorder="1" applyAlignment="1" applyProtection="1">
      <alignment horizontal="center" vertical="center"/>
    </xf>
    <xf numFmtId="0" fontId="4" fillId="4" borderId="14" xfId="0" applyFont="1" applyFill="1" applyBorder="1" applyAlignment="1" applyProtection="1">
      <alignment horizontal="center" vertical="center"/>
    </xf>
    <xf numFmtId="0" fontId="4" fillId="4" borderId="15" xfId="0" applyFont="1" applyFill="1" applyBorder="1" applyAlignment="1" applyProtection="1">
      <alignment horizontal="center" vertical="center"/>
    </xf>
    <xf numFmtId="0" fontId="5" fillId="0" borderId="0" xfId="0" applyFont="1" applyAlignment="1" applyProtection="1">
      <alignment horizontal="center" vertical="center"/>
      <protection locked="0"/>
    </xf>
    <xf numFmtId="0" fontId="5" fillId="3" borderId="7" xfId="0" applyFont="1" applyFill="1" applyBorder="1" applyAlignment="1" applyProtection="1">
      <alignment vertical="center"/>
      <protection locked="0"/>
    </xf>
    <xf numFmtId="172" fontId="5" fillId="3" borderId="7" xfId="1" applyNumberFormat="1" applyFont="1" applyFill="1" applyBorder="1" applyAlignment="1" applyProtection="1">
      <alignment vertical="center"/>
      <protection locked="0"/>
    </xf>
    <xf numFmtId="172" fontId="5" fillId="4" borderId="1" xfId="1" applyNumberFormat="1" applyFont="1" applyFill="1" applyBorder="1" applyAlignment="1" applyProtection="1">
      <alignment vertical="center"/>
    </xf>
    <xf numFmtId="172" fontId="5" fillId="3" borderId="1" xfId="1" applyNumberFormat="1" applyFont="1" applyFill="1" applyBorder="1" applyAlignment="1" applyProtection="1">
      <alignment vertical="center"/>
      <protection locked="0"/>
    </xf>
    <xf numFmtId="0" fontId="6" fillId="3" borderId="1" xfId="0" applyFont="1" applyFill="1" applyBorder="1" applyAlignment="1" applyProtection="1">
      <alignment vertical="center"/>
      <protection locked="0"/>
    </xf>
    <xf numFmtId="3" fontId="5" fillId="4" borderId="1" xfId="0" applyNumberFormat="1" applyFont="1" applyFill="1" applyBorder="1" applyAlignment="1" applyProtection="1">
      <alignment vertical="center"/>
    </xf>
    <xf numFmtId="0" fontId="4" fillId="4" borderId="0" xfId="0" applyFont="1" applyFill="1" applyAlignment="1" applyProtection="1">
      <alignment horizontal="center" vertical="center" wrapText="1"/>
    </xf>
    <xf numFmtId="0" fontId="5" fillId="4" borderId="0" xfId="0" quotePrefix="1" applyFont="1" applyFill="1" applyAlignment="1" applyProtection="1">
      <alignment vertical="center"/>
    </xf>
    <xf numFmtId="3" fontId="5" fillId="4" borderId="0" xfId="0" quotePrefix="1" applyNumberFormat="1" applyFont="1" applyFill="1" applyAlignment="1" applyProtection="1">
      <alignment vertical="center"/>
    </xf>
    <xf numFmtId="3" fontId="5" fillId="6" borderId="2" xfId="0" applyNumberFormat="1" applyFont="1" applyFill="1" applyBorder="1" applyAlignment="1" applyProtection="1">
      <alignment vertical="center"/>
    </xf>
    <xf numFmtId="3" fontId="5" fillId="6" borderId="3" xfId="0" applyNumberFormat="1" applyFont="1" applyFill="1" applyBorder="1" applyAlignment="1" applyProtection="1">
      <alignment vertical="center"/>
    </xf>
    <xf numFmtId="3" fontId="5" fillId="4" borderId="3" xfId="0" applyNumberFormat="1" applyFont="1" applyFill="1" applyBorder="1" applyAlignment="1" applyProtection="1">
      <alignment vertical="center"/>
    </xf>
    <xf numFmtId="3" fontId="5" fillId="4" borderId="0" xfId="0" applyNumberFormat="1" applyFont="1" applyFill="1" applyBorder="1" applyAlignment="1" applyProtection="1">
      <alignment vertical="center"/>
    </xf>
    <xf numFmtId="37" fontId="5" fillId="4" borderId="0" xfId="492" applyNumberFormat="1" applyFont="1" applyFill="1" applyAlignment="1" applyProtection="1">
      <alignment vertical="center"/>
    </xf>
    <xf numFmtId="0" fontId="5" fillId="4" borderId="0" xfId="492" applyFont="1" applyFill="1" applyAlignment="1" applyProtection="1">
      <alignment vertical="center"/>
    </xf>
    <xf numFmtId="0" fontId="5" fillId="0" borderId="0" xfId="492" applyFont="1" applyAlignment="1" applyProtection="1">
      <alignment vertical="center"/>
      <protection locked="0"/>
    </xf>
    <xf numFmtId="0" fontId="5" fillId="4" borderId="16" xfId="0" applyFont="1" applyFill="1" applyBorder="1" applyAlignment="1" applyProtection="1">
      <alignment horizontal="centerContinuous" vertical="center"/>
    </xf>
    <xf numFmtId="0" fontId="5" fillId="4" borderId="10" xfId="0" applyFont="1" applyFill="1" applyBorder="1" applyAlignment="1" applyProtection="1">
      <alignment horizontal="centerContinuous" vertical="center"/>
    </xf>
    <xf numFmtId="0" fontId="5" fillId="4" borderId="8" xfId="0" applyFont="1" applyFill="1" applyBorder="1" applyAlignment="1" applyProtection="1">
      <alignment horizontal="center" vertical="center"/>
    </xf>
    <xf numFmtId="0" fontId="5" fillId="4" borderId="12" xfId="0" applyFont="1" applyFill="1" applyBorder="1" applyAlignment="1" applyProtection="1">
      <alignment horizontal="centerContinuous" vertical="center"/>
    </xf>
    <xf numFmtId="0" fontId="5" fillId="4" borderId="5" xfId="0" applyFont="1" applyFill="1" applyBorder="1" applyAlignment="1" applyProtection="1">
      <alignment horizontal="centerContinuous" vertical="center"/>
    </xf>
    <xf numFmtId="14" fontId="5" fillId="4" borderId="7" xfId="0" quotePrefix="1" applyNumberFormat="1" applyFont="1" applyFill="1" applyBorder="1" applyAlignment="1" applyProtection="1">
      <alignment horizontal="center" vertical="center"/>
    </xf>
    <xf numFmtId="0" fontId="5" fillId="4" borderId="1" xfId="0" applyFont="1" applyFill="1" applyBorder="1" applyAlignment="1" applyProtection="1">
      <alignment horizontal="left" vertical="center"/>
    </xf>
    <xf numFmtId="168" fontId="5" fillId="4" borderId="1" xfId="0" applyNumberFormat="1" applyFont="1" applyFill="1" applyBorder="1" applyAlignment="1" applyProtection="1">
      <alignment horizontal="left" vertical="center"/>
    </xf>
    <xf numFmtId="169" fontId="5" fillId="4" borderId="1" xfId="0" applyNumberFormat="1" applyFont="1" applyFill="1" applyBorder="1" applyAlignment="1" applyProtection="1">
      <alignment horizontal="left" vertical="center"/>
    </xf>
    <xf numFmtId="0" fontId="5" fillId="2" borderId="1" xfId="0" applyFont="1" applyFill="1" applyBorder="1" applyAlignment="1" applyProtection="1">
      <alignment vertical="center"/>
      <protection locked="0"/>
    </xf>
    <xf numFmtId="168" fontId="5" fillId="2" borderId="1" xfId="0" applyNumberFormat="1" applyFont="1" applyFill="1" applyBorder="1" applyAlignment="1" applyProtection="1">
      <alignment vertical="center"/>
      <protection locked="0"/>
    </xf>
    <xf numFmtId="2" fontId="5" fillId="2" borderId="1" xfId="0" applyNumberFormat="1" applyFont="1" applyFill="1" applyBorder="1" applyAlignment="1" applyProtection="1">
      <alignment vertical="center"/>
      <protection locked="0"/>
    </xf>
    <xf numFmtId="37" fontId="5" fillId="2" borderId="1" xfId="0" applyNumberFormat="1" applyFont="1" applyFill="1" applyBorder="1" applyAlignment="1" applyProtection="1">
      <alignment vertical="center"/>
      <protection locked="0"/>
    </xf>
    <xf numFmtId="169" fontId="5" fillId="2" borderId="1" xfId="0" applyNumberFormat="1" applyFont="1" applyFill="1" applyBorder="1" applyAlignment="1" applyProtection="1">
      <alignment vertical="center"/>
      <protection locked="0"/>
    </xf>
    <xf numFmtId="168" fontId="5" fillId="4" borderId="1" xfId="0" applyNumberFormat="1" applyFont="1" applyFill="1" applyBorder="1" applyAlignment="1" applyProtection="1">
      <alignment vertical="center"/>
    </xf>
    <xf numFmtId="2" fontId="5" fillId="4" borderId="1" xfId="0" applyNumberFormat="1" applyFont="1" applyFill="1" applyBorder="1" applyAlignment="1" applyProtection="1">
      <alignment vertical="center"/>
    </xf>
    <xf numFmtId="169" fontId="5" fillId="6" borderId="1" xfId="0" applyNumberFormat="1" applyFont="1" applyFill="1" applyBorder="1" applyAlignment="1" applyProtection="1">
      <alignment vertical="center"/>
    </xf>
    <xf numFmtId="169" fontId="5" fillId="4" borderId="1" xfId="0" applyNumberFormat="1" applyFont="1" applyFill="1" applyBorder="1" applyAlignment="1" applyProtection="1">
      <alignment vertical="center"/>
    </xf>
    <xf numFmtId="0" fontId="4" fillId="4" borderId="1" xfId="492" applyFont="1" applyFill="1" applyBorder="1" applyAlignment="1" applyProtection="1">
      <alignment horizontal="left" vertical="center"/>
    </xf>
    <xf numFmtId="0" fontId="4" fillId="4" borderId="17" xfId="492" applyFont="1" applyFill="1" applyBorder="1" applyAlignment="1" applyProtection="1">
      <alignment vertical="center"/>
    </xf>
    <xf numFmtId="37" fontId="4" fillId="6" borderId="1" xfId="492" applyNumberFormat="1" applyFont="1" applyFill="1" applyBorder="1" applyAlignment="1" applyProtection="1">
      <alignment vertical="center"/>
    </xf>
    <xf numFmtId="0" fontId="5" fillId="4" borderId="0" xfId="493" applyFont="1" applyFill="1" applyAlignment="1" applyProtection="1">
      <alignment horizontal="centerContinuous" vertical="center"/>
    </xf>
    <xf numFmtId="0" fontId="5" fillId="4" borderId="0" xfId="493" applyFont="1" applyFill="1" applyAlignment="1" applyProtection="1">
      <alignment vertical="center"/>
    </xf>
    <xf numFmtId="0" fontId="5" fillId="0" borderId="0" xfId="493" applyFont="1" applyAlignment="1">
      <alignment vertical="center"/>
    </xf>
    <xf numFmtId="0" fontId="5" fillId="4" borderId="2" xfId="0" applyFont="1" applyFill="1" applyBorder="1" applyAlignment="1" applyProtection="1">
      <alignment horizontal="fill" vertical="center"/>
    </xf>
    <xf numFmtId="0" fontId="5" fillId="4" borderId="0" xfId="0" applyFont="1" applyFill="1" applyBorder="1" applyAlignment="1" applyProtection="1">
      <alignment horizontal="fill" vertical="center"/>
    </xf>
    <xf numFmtId="0" fontId="5" fillId="4" borderId="18" xfId="493" applyFont="1" applyFill="1" applyBorder="1" applyAlignment="1" applyProtection="1">
      <alignment vertical="center"/>
    </xf>
    <xf numFmtId="0" fontId="5" fillId="4" borderId="0" xfId="493" applyFont="1" applyFill="1" applyBorder="1" applyAlignment="1" applyProtection="1">
      <alignment vertical="center"/>
    </xf>
    <xf numFmtId="0" fontId="8" fillId="4" borderId="7" xfId="0" applyFont="1" applyFill="1" applyBorder="1" applyAlignment="1" applyProtection="1">
      <alignment horizontal="center" vertical="center"/>
    </xf>
    <xf numFmtId="1" fontId="5" fillId="2" borderId="1" xfId="0" applyNumberFormat="1" applyFont="1" applyFill="1" applyBorder="1" applyAlignment="1" applyProtection="1">
      <alignment vertical="center"/>
      <protection locked="0"/>
    </xf>
    <xf numFmtId="3" fontId="4" fillId="4" borderId="17" xfId="492" applyNumberFormat="1" applyFont="1" applyFill="1" applyBorder="1" applyAlignment="1" applyProtection="1">
      <alignment vertical="center"/>
    </xf>
    <xf numFmtId="0" fontId="0" fillId="4" borderId="0" xfId="0" applyFill="1" applyAlignment="1" applyProtection="1">
      <alignment vertical="center"/>
    </xf>
    <xf numFmtId="0" fontId="5" fillId="10" borderId="0" xfId="492" applyFont="1" applyFill="1" applyAlignment="1" applyProtection="1">
      <alignment vertical="center"/>
    </xf>
    <xf numFmtId="0" fontId="0" fillId="0" borderId="0" xfId="0" applyAlignment="1" applyProtection="1">
      <alignment vertical="center"/>
      <protection locked="0"/>
    </xf>
    <xf numFmtId="164" fontId="5" fillId="4" borderId="0" xfId="0" applyNumberFormat="1" applyFont="1" applyFill="1" applyAlignment="1" applyProtection="1">
      <alignment horizontal="right" vertical="center"/>
    </xf>
    <xf numFmtId="37" fontId="5" fillId="4" borderId="2" xfId="0" quotePrefix="1" applyNumberFormat="1" applyFont="1" applyFill="1" applyBorder="1" applyAlignment="1" applyProtection="1">
      <alignment horizontal="right" vertical="center"/>
    </xf>
    <xf numFmtId="3" fontId="5" fillId="2" borderId="9" xfId="0" applyNumberFormat="1" applyFont="1" applyFill="1" applyBorder="1" applyAlignment="1" applyProtection="1">
      <alignment vertical="center"/>
      <protection locked="0"/>
    </xf>
    <xf numFmtId="3" fontId="5" fillId="2" borderId="4" xfId="0" applyNumberFormat="1" applyFont="1" applyFill="1" applyBorder="1" applyAlignment="1" applyProtection="1">
      <alignment vertical="center"/>
      <protection locked="0"/>
    </xf>
    <xf numFmtId="3" fontId="5" fillId="4" borderId="1" xfId="0" applyNumberFormat="1" applyFont="1" applyFill="1" applyBorder="1" applyAlignment="1" applyProtection="1">
      <alignment horizontal="fill" vertical="center"/>
    </xf>
    <xf numFmtId="0" fontId="5" fillId="4" borderId="9" xfId="0" applyFont="1" applyFill="1" applyBorder="1" applyAlignment="1" applyProtection="1">
      <alignment vertical="center"/>
    </xf>
    <xf numFmtId="0" fontId="5" fillId="2" borderId="9" xfId="0" applyFont="1" applyFill="1" applyBorder="1" applyAlignment="1" applyProtection="1">
      <alignment vertical="center"/>
      <protection locked="0"/>
    </xf>
    <xf numFmtId="37" fontId="5" fillId="2" borderId="9" xfId="0" applyNumberFormat="1" applyFont="1" applyFill="1" applyBorder="1" applyAlignment="1" applyProtection="1">
      <alignment horizontal="left" vertical="center"/>
      <protection locked="0"/>
    </xf>
    <xf numFmtId="37" fontId="5" fillId="4" borderId="9" xfId="0" applyNumberFormat="1" applyFont="1" applyFill="1" applyBorder="1" applyAlignment="1" applyProtection="1">
      <alignment horizontal="left" vertical="center"/>
      <protection locked="0"/>
    </xf>
    <xf numFmtId="3" fontId="14" fillId="7" borderId="4" xfId="0" applyNumberFormat="1" applyFont="1" applyFill="1" applyBorder="1" applyAlignment="1" applyProtection="1">
      <alignment horizontal="center" vertical="center"/>
    </xf>
    <xf numFmtId="0" fontId="4" fillId="4" borderId="9" xfId="0" applyFont="1" applyFill="1" applyBorder="1" applyAlignment="1" applyProtection="1">
      <alignment vertical="center"/>
    </xf>
    <xf numFmtId="3" fontId="4" fillId="6" borderId="1" xfId="0" applyNumberFormat="1" applyFont="1" applyFill="1" applyBorder="1" applyAlignment="1" applyProtection="1">
      <alignment vertical="center"/>
    </xf>
    <xf numFmtId="3" fontId="14" fillId="7" borderId="1" xfId="0" applyNumberFormat="1" applyFont="1" applyFill="1" applyBorder="1" applyAlignment="1" applyProtection="1">
      <alignment horizontal="center" vertical="center"/>
    </xf>
    <xf numFmtId="0" fontId="14" fillId="0" borderId="0" xfId="0" applyFont="1" applyAlignment="1" applyProtection="1">
      <alignment vertical="center"/>
    </xf>
    <xf numFmtId="0" fontId="15" fillId="4" borderId="0" xfId="0" applyFont="1" applyFill="1" applyAlignment="1" applyProtection="1">
      <alignment horizontal="center" vertical="center"/>
    </xf>
    <xf numFmtId="0" fontId="5" fillId="0" borderId="0" xfId="0" applyFont="1" applyFill="1" applyBorder="1" applyAlignment="1" applyProtection="1">
      <alignment vertical="center"/>
      <protection locked="0"/>
    </xf>
    <xf numFmtId="0" fontId="5" fillId="0" borderId="0" xfId="0" applyFont="1" applyFill="1" applyAlignment="1" applyProtection="1">
      <alignment vertical="center"/>
      <protection locked="0"/>
    </xf>
    <xf numFmtId="164" fontId="5" fillId="2" borderId="0" xfId="0" applyNumberFormat="1" applyFont="1" applyFill="1" applyAlignment="1" applyProtection="1">
      <alignment horizontal="left" vertical="center"/>
      <protection locked="0"/>
    </xf>
    <xf numFmtId="0" fontId="14" fillId="4" borderId="0" xfId="0" applyFont="1" applyFill="1" applyAlignment="1" applyProtection="1">
      <alignment vertical="center"/>
    </xf>
    <xf numFmtId="37" fontId="4" fillId="4" borderId="1" xfId="0" applyNumberFormat="1" applyFont="1" applyFill="1" applyBorder="1" applyAlignment="1" applyProtection="1">
      <alignment horizontal="left" vertical="center"/>
    </xf>
    <xf numFmtId="3" fontId="4" fillId="4" borderId="1" xfId="0" applyNumberFormat="1" applyFont="1" applyFill="1" applyBorder="1" applyAlignment="1" applyProtection="1">
      <alignment vertical="center"/>
    </xf>
    <xf numFmtId="164" fontId="5" fillId="3" borderId="0" xfId="0" applyNumberFormat="1" applyFont="1" applyFill="1" applyAlignment="1" applyProtection="1">
      <alignment horizontal="left" vertical="center"/>
      <protection locked="0"/>
    </xf>
    <xf numFmtId="37" fontId="5" fillId="4" borderId="0" xfId="0" quotePrefix="1" applyNumberFormat="1" applyFont="1" applyFill="1" applyBorder="1" applyAlignment="1" applyProtection="1">
      <alignment horizontal="right" vertical="center"/>
    </xf>
    <xf numFmtId="1" fontId="5" fillId="4" borderId="0" xfId="0" applyNumberFormat="1" applyFont="1" applyFill="1" applyAlignment="1" applyProtection="1">
      <alignment horizontal="right" vertical="center"/>
    </xf>
    <xf numFmtId="0" fontId="5" fillId="4" borderId="9" xfId="0" applyFont="1" applyFill="1" applyBorder="1" applyAlignment="1" applyProtection="1">
      <alignment horizontal="left" vertical="center"/>
    </xf>
    <xf numFmtId="0" fontId="5" fillId="4" borderId="12" xfId="0" applyFont="1" applyFill="1" applyBorder="1" applyAlignment="1" applyProtection="1">
      <alignment horizontal="left" vertical="center"/>
    </xf>
    <xf numFmtId="0" fontId="5" fillId="2" borderId="9" xfId="0" applyFont="1" applyFill="1" applyBorder="1" applyAlignment="1" applyProtection="1">
      <alignment horizontal="left" vertical="center"/>
      <protection locked="0"/>
    </xf>
    <xf numFmtId="3" fontId="5" fillId="4" borderId="1" xfId="0" applyNumberFormat="1" applyFont="1" applyFill="1" applyBorder="1" applyAlignment="1" applyProtection="1">
      <alignment horizontal="center" vertical="center"/>
    </xf>
    <xf numFmtId="0" fontId="5" fillId="4" borderId="6" xfId="0" applyFont="1" applyFill="1" applyBorder="1" applyAlignment="1" applyProtection="1">
      <alignment horizontal="center" vertical="center" wrapText="1"/>
    </xf>
    <xf numFmtId="0" fontId="5" fillId="4" borderId="10" xfId="0" applyFont="1" applyFill="1" applyBorder="1" applyAlignment="1" applyProtection="1">
      <alignment horizontal="center" vertical="center" wrapText="1"/>
    </xf>
    <xf numFmtId="0" fontId="5" fillId="4" borderId="1" xfId="0" applyFont="1" applyFill="1" applyBorder="1" applyAlignment="1" applyProtection="1">
      <alignment horizontal="center" vertical="center" wrapText="1"/>
    </xf>
    <xf numFmtId="3" fontId="5" fillId="3" borderId="1" xfId="0" applyNumberFormat="1" applyFont="1" applyFill="1" applyBorder="1" applyAlignment="1" applyProtection="1">
      <alignment horizontal="center" vertical="center"/>
      <protection locked="0"/>
    </xf>
    <xf numFmtId="173" fontId="5" fillId="4" borderId="1" xfId="0" applyNumberFormat="1" applyFont="1" applyFill="1" applyBorder="1" applyAlignment="1" applyProtection="1">
      <alignment horizontal="center" vertical="center"/>
    </xf>
    <xf numFmtId="3" fontId="5" fillId="3" borderId="6" xfId="0" applyNumberFormat="1" applyFont="1" applyFill="1" applyBorder="1" applyAlignment="1" applyProtection="1">
      <alignment horizontal="center" vertical="center"/>
      <protection locked="0"/>
    </xf>
    <xf numFmtId="3" fontId="5" fillId="4" borderId="13" xfId="0" applyNumberFormat="1" applyFont="1" applyFill="1" applyBorder="1" applyAlignment="1" applyProtection="1">
      <alignment horizontal="center" vertical="center"/>
    </xf>
    <xf numFmtId="173" fontId="5" fillId="4" borderId="13" xfId="0" applyNumberFormat="1" applyFont="1" applyFill="1" applyBorder="1" applyAlignment="1" applyProtection="1">
      <alignment horizontal="center" vertical="center"/>
    </xf>
    <xf numFmtId="3" fontId="5" fillId="4" borderId="2" xfId="0" applyNumberFormat="1" applyFont="1" applyFill="1" applyBorder="1" applyAlignment="1" applyProtection="1">
      <alignment horizontal="center" vertical="center"/>
    </xf>
    <xf numFmtId="173" fontId="5" fillId="4" borderId="2" xfId="0" applyNumberFormat="1" applyFont="1" applyFill="1" applyBorder="1" applyAlignment="1" applyProtection="1">
      <alignment horizontal="center" vertical="center"/>
    </xf>
    <xf numFmtId="173" fontId="5" fillId="4" borderId="0" xfId="0" applyNumberFormat="1" applyFont="1" applyFill="1" applyBorder="1" applyAlignment="1" applyProtection="1">
      <alignment horizontal="center" vertical="center"/>
    </xf>
    <xf numFmtId="3" fontId="5" fillId="4" borderId="2" xfId="0" applyNumberFormat="1" applyFont="1" applyFill="1" applyBorder="1" applyAlignment="1">
      <alignment horizontal="center" vertical="center"/>
    </xf>
    <xf numFmtId="0" fontId="0" fillId="4" borderId="0" xfId="0" applyFill="1" applyAlignment="1">
      <alignment horizontal="center" vertical="center"/>
    </xf>
    <xf numFmtId="173" fontId="5" fillId="4" borderId="2" xfId="0" applyNumberFormat="1" applyFont="1" applyFill="1" applyBorder="1" applyAlignment="1">
      <alignment horizontal="center" vertical="center"/>
    </xf>
    <xf numFmtId="171" fontId="5" fillId="4" borderId="0" xfId="0" applyNumberFormat="1" applyFont="1" applyFill="1" applyBorder="1" applyAlignment="1" applyProtection="1">
      <alignment vertical="center"/>
    </xf>
    <xf numFmtId="37" fontId="5" fillId="4" borderId="0" xfId="0" applyNumberFormat="1" applyFont="1" applyFill="1" applyBorder="1" applyAlignment="1" applyProtection="1">
      <alignment horizontal="right" vertical="center"/>
    </xf>
    <xf numFmtId="3" fontId="48" fillId="4" borderId="0" xfId="0" applyNumberFormat="1" applyFont="1" applyFill="1" applyAlignment="1" applyProtection="1">
      <alignment horizontal="center" vertical="center"/>
    </xf>
    <xf numFmtId="3" fontId="27" fillId="7" borderId="0" xfId="0" applyNumberFormat="1" applyFont="1" applyFill="1" applyAlignment="1">
      <alignment horizontal="center" vertical="center"/>
    </xf>
    <xf numFmtId="0" fontId="26" fillId="0" borderId="0" xfId="0" applyFont="1" applyAlignment="1">
      <alignment horizontal="center" vertical="center"/>
    </xf>
    <xf numFmtId="0" fontId="49" fillId="0" borderId="0" xfId="0" applyFont="1" applyAlignment="1">
      <alignment vertical="center"/>
    </xf>
    <xf numFmtId="0" fontId="5" fillId="0" borderId="0" xfId="346" applyFont="1" applyAlignment="1">
      <alignment vertical="center" wrapText="1"/>
    </xf>
    <xf numFmtId="0" fontId="8" fillId="0" borderId="0" xfId="0" applyFont="1" applyAlignment="1">
      <alignment vertical="center"/>
    </xf>
    <xf numFmtId="0" fontId="13" fillId="0" borderId="0" xfId="0" applyFont="1" applyAlignment="1">
      <alignment vertical="center" wrapText="1"/>
    </xf>
    <xf numFmtId="0" fontId="50" fillId="0" borderId="0" xfId="0" applyFont="1" applyAlignment="1">
      <alignment vertical="center"/>
    </xf>
    <xf numFmtId="0" fontId="28" fillId="0" borderId="0" xfId="0" applyFont="1" applyAlignment="1">
      <alignment horizontal="center" vertical="center"/>
    </xf>
    <xf numFmtId="0" fontId="5" fillId="0" borderId="0" xfId="45" applyFont="1" applyAlignment="1">
      <alignment vertical="center"/>
    </xf>
    <xf numFmtId="0" fontId="0" fillId="0" borderId="0" xfId="0" applyAlignment="1">
      <alignment horizontal="left" vertical="center"/>
    </xf>
    <xf numFmtId="0" fontId="2" fillId="0" borderId="0" xfId="0" applyNumberFormat="1" applyFont="1" applyAlignment="1">
      <alignment horizontal="left" vertical="center"/>
    </xf>
    <xf numFmtId="174" fontId="23" fillId="0" borderId="0" xfId="0" applyNumberFormat="1" applyFont="1" applyAlignment="1">
      <alignment horizontal="left" vertical="center"/>
    </xf>
    <xf numFmtId="49" fontId="5" fillId="0" borderId="0" xfId="0" applyNumberFormat="1" applyFont="1" applyAlignment="1">
      <alignment horizontal="left" vertical="center"/>
    </xf>
    <xf numFmtId="0" fontId="23" fillId="0" borderId="0" xfId="0" applyFont="1" applyAlignment="1">
      <alignment horizontal="left" vertical="center"/>
    </xf>
    <xf numFmtId="175" fontId="23" fillId="0" borderId="0" xfId="0" applyNumberFormat="1" applyFont="1" applyAlignment="1">
      <alignment horizontal="left" vertical="center"/>
    </xf>
    <xf numFmtId="0" fontId="0" fillId="0" borderId="0" xfId="0" applyAlignment="1"/>
    <xf numFmtId="0" fontId="31" fillId="0" borderId="0" xfId="0" applyFont="1" applyAlignment="1">
      <alignment horizontal="center"/>
    </xf>
    <xf numFmtId="0" fontId="3" fillId="0" borderId="0" xfId="0" applyFont="1"/>
    <xf numFmtId="0" fontId="17" fillId="0" borderId="0" xfId="0" applyFont="1"/>
    <xf numFmtId="0" fontId="17" fillId="0" borderId="0" xfId="0" applyFont="1" applyAlignment="1"/>
    <xf numFmtId="0" fontId="3" fillId="0" borderId="0" xfId="0" quotePrefix="1" applyFont="1"/>
    <xf numFmtId="0" fontId="3" fillId="0" borderId="0" xfId="163" applyFont="1"/>
    <xf numFmtId="0" fontId="3" fillId="0" borderId="0" xfId="163" applyFont="1" applyFill="1"/>
    <xf numFmtId="0" fontId="3" fillId="0" borderId="0" xfId="0" applyFont="1" applyAlignment="1"/>
    <xf numFmtId="0" fontId="17" fillId="0" borderId="0" xfId="0" applyFont="1" applyAlignment="1">
      <alignment horizontal="center"/>
    </xf>
    <xf numFmtId="0" fontId="6" fillId="0" borderId="0" xfId="0" applyFont="1" applyAlignment="1">
      <alignment vertical="center"/>
    </xf>
    <xf numFmtId="0" fontId="6" fillId="0" borderId="0" xfId="82" applyFont="1" applyAlignment="1">
      <alignment vertical="center"/>
    </xf>
    <xf numFmtId="0" fontId="51" fillId="4" borderId="0" xfId="0" applyFont="1" applyFill="1" applyAlignment="1" applyProtection="1">
      <alignment horizontal="right" vertical="center"/>
      <protection locked="0"/>
    </xf>
    <xf numFmtId="0" fontId="8" fillId="4" borderId="0" xfId="0" applyFont="1" applyFill="1" applyAlignment="1" applyProtection="1">
      <alignment horizontal="left" vertical="center"/>
      <protection locked="0"/>
    </xf>
    <xf numFmtId="14" fontId="5" fillId="2" borderId="1" xfId="0" applyNumberFormat="1" applyFont="1" applyFill="1" applyBorder="1" applyAlignment="1" applyProtection="1">
      <alignment vertical="center"/>
      <protection locked="0"/>
    </xf>
    <xf numFmtId="1" fontId="5" fillId="4" borderId="16" xfId="0" applyNumberFormat="1" applyFont="1" applyFill="1" applyBorder="1" applyAlignment="1" applyProtection="1">
      <alignment horizontal="center" vertical="center"/>
    </xf>
    <xf numFmtId="37" fontId="5" fillId="4" borderId="12" xfId="0" applyNumberFormat="1" applyFont="1" applyFill="1" applyBorder="1" applyAlignment="1" applyProtection="1">
      <alignment horizontal="center" vertical="center"/>
    </xf>
    <xf numFmtId="3" fontId="5" fillId="4" borderId="9" xfId="0" applyNumberFormat="1" applyFont="1" applyFill="1" applyBorder="1" applyAlignment="1" applyProtection="1">
      <alignment vertical="center"/>
    </xf>
    <xf numFmtId="37" fontId="5" fillId="4" borderId="16" xfId="0" applyNumberFormat="1" applyFont="1" applyFill="1" applyBorder="1" applyAlignment="1" applyProtection="1">
      <alignment horizontal="center" vertical="center"/>
    </xf>
    <xf numFmtId="3" fontId="14" fillId="7" borderId="9" xfId="0" applyNumberFormat="1" applyFont="1" applyFill="1" applyBorder="1" applyAlignment="1" applyProtection="1">
      <alignment horizontal="center" vertical="center"/>
    </xf>
    <xf numFmtId="3" fontId="4" fillId="6" borderId="9" xfId="0" applyNumberFormat="1" applyFont="1" applyFill="1" applyBorder="1" applyAlignment="1" applyProtection="1">
      <alignment vertical="center"/>
    </xf>
    <xf numFmtId="3" fontId="5" fillId="6" borderId="9" xfId="0" applyNumberFormat="1" applyFont="1" applyFill="1" applyBorder="1" applyAlignment="1" applyProtection="1">
      <alignment vertical="center"/>
    </xf>
    <xf numFmtId="0" fontId="34" fillId="9" borderId="0" xfId="0" applyFont="1" applyFill="1"/>
    <xf numFmtId="0" fontId="34" fillId="4" borderId="0" xfId="0" applyFont="1" applyFill="1"/>
    <xf numFmtId="0" fontId="52" fillId="9" borderId="0" xfId="0" applyFont="1" applyFill="1" applyAlignment="1">
      <alignment horizontal="center" wrapText="1"/>
    </xf>
    <xf numFmtId="0" fontId="52" fillId="4" borderId="0" xfId="0" applyFont="1" applyFill="1" applyAlignment="1">
      <alignment horizontal="center"/>
    </xf>
    <xf numFmtId="0" fontId="52" fillId="4" borderId="0" xfId="0" applyFont="1" applyFill="1"/>
    <xf numFmtId="0" fontId="34" fillId="4" borderId="0" xfId="0" applyFont="1" applyFill="1" applyAlignment="1">
      <alignment horizontal="center"/>
    </xf>
    <xf numFmtId="176" fontId="34" fillId="4" borderId="0" xfId="0" applyNumberFormat="1" applyFont="1" applyFill="1" applyAlignment="1">
      <alignment horizontal="center"/>
    </xf>
    <xf numFmtId="0" fontId="52" fillId="4" borderId="19" xfId="0" applyFont="1" applyFill="1" applyBorder="1"/>
    <xf numFmtId="0" fontId="34" fillId="4" borderId="20" xfId="0" applyFont="1" applyFill="1" applyBorder="1"/>
    <xf numFmtId="0" fontId="34" fillId="4" borderId="21" xfId="0" applyFont="1" applyFill="1" applyBorder="1"/>
    <xf numFmtId="176" fontId="34" fillId="4" borderId="22" xfId="0" applyNumberFormat="1" applyFont="1" applyFill="1" applyBorder="1"/>
    <xf numFmtId="0" fontId="34" fillId="4" borderId="0" xfId="0" applyFont="1" applyFill="1" applyBorder="1"/>
    <xf numFmtId="0" fontId="34" fillId="4" borderId="0" xfId="0" applyFont="1" applyFill="1" applyBorder="1" applyAlignment="1">
      <alignment horizontal="center"/>
    </xf>
    <xf numFmtId="176" fontId="34" fillId="4" borderId="2" xfId="0" applyNumberFormat="1" applyFont="1" applyFill="1" applyBorder="1" applyAlignment="1">
      <alignment horizontal="center"/>
    </xf>
    <xf numFmtId="0" fontId="34" fillId="4" borderId="23" xfId="0" applyFont="1" applyFill="1" applyBorder="1"/>
    <xf numFmtId="0" fontId="34" fillId="4" borderId="24" xfId="0" applyFont="1" applyFill="1" applyBorder="1"/>
    <xf numFmtId="0" fontId="34" fillId="4" borderId="25" xfId="0" applyFont="1" applyFill="1" applyBorder="1"/>
    <xf numFmtId="0" fontId="34" fillId="4" borderId="26" xfId="0" applyFont="1" applyFill="1" applyBorder="1"/>
    <xf numFmtId="176" fontId="34" fillId="4" borderId="0" xfId="0" applyNumberFormat="1" applyFont="1" applyFill="1"/>
    <xf numFmtId="0" fontId="34" fillId="4" borderId="19" xfId="0" applyFont="1" applyFill="1" applyBorder="1"/>
    <xf numFmtId="0" fontId="34" fillId="4" borderId="27" xfId="0" applyFont="1" applyFill="1" applyBorder="1"/>
    <xf numFmtId="176" fontId="34" fillId="3" borderId="22" xfId="0" applyNumberFormat="1" applyFont="1" applyFill="1" applyBorder="1" applyAlignment="1" applyProtection="1">
      <alignment horizontal="center"/>
      <protection locked="0"/>
    </xf>
    <xf numFmtId="173" fontId="34" fillId="4" borderId="0" xfId="0" applyNumberFormat="1" applyFont="1" applyFill="1" applyBorder="1" applyAlignment="1">
      <alignment horizontal="center"/>
    </xf>
    <xf numFmtId="176" fontId="34" fillId="0" borderId="0" xfId="0" applyNumberFormat="1" applyFont="1"/>
    <xf numFmtId="0" fontId="53" fillId="0" borderId="0" xfId="0" applyFont="1" applyBorder="1"/>
    <xf numFmtId="0" fontId="34" fillId="0" borderId="0" xfId="0" applyFont="1" applyBorder="1"/>
    <xf numFmtId="0" fontId="52" fillId="0" borderId="0" xfId="0" applyFont="1" applyBorder="1" applyAlignment="1">
      <alignment horizontal="centerContinuous"/>
    </xf>
    <xf numFmtId="0" fontId="34" fillId="0" borderId="0" xfId="0" applyFont="1" applyBorder="1" applyAlignment="1">
      <alignment horizontal="centerContinuous"/>
    </xf>
    <xf numFmtId="0" fontId="34" fillId="9" borderId="0" xfId="0" applyFont="1" applyFill="1" applyBorder="1"/>
    <xf numFmtId="176" fontId="34" fillId="4" borderId="0" xfId="0" applyNumberFormat="1" applyFont="1" applyFill="1" applyBorder="1" applyAlignment="1">
      <alignment horizontal="center"/>
    </xf>
    <xf numFmtId="0" fontId="34" fillId="4" borderId="28" xfId="0" applyFont="1" applyFill="1" applyBorder="1"/>
    <xf numFmtId="0" fontId="34" fillId="4" borderId="17" xfId="0" applyFont="1" applyFill="1" applyBorder="1"/>
    <xf numFmtId="0" fontId="34" fillId="4" borderId="17" xfId="0" applyFont="1" applyFill="1" applyBorder="1" applyAlignment="1">
      <alignment horizontal="center"/>
    </xf>
    <xf numFmtId="0" fontId="34" fillId="4" borderId="29" xfId="0" applyFont="1" applyFill="1" applyBorder="1"/>
    <xf numFmtId="177" fontId="34" fillId="4" borderId="0" xfId="0" applyNumberFormat="1" applyFont="1" applyFill="1" applyBorder="1" applyAlignment="1">
      <alignment horizontal="center"/>
    </xf>
    <xf numFmtId="5" fontId="34" fillId="4" borderId="25" xfId="0" applyNumberFormat="1" applyFont="1" applyFill="1" applyBorder="1" applyAlignment="1">
      <alignment horizontal="center"/>
    </xf>
    <xf numFmtId="0" fontId="34" fillId="4" borderId="25" xfId="0" applyFont="1" applyFill="1" applyBorder="1" applyAlignment="1">
      <alignment horizontal="center"/>
    </xf>
    <xf numFmtId="173" fontId="34" fillId="4" borderId="25" xfId="0" applyNumberFormat="1" applyFont="1" applyFill="1" applyBorder="1" applyAlignment="1">
      <alignment horizontal="center"/>
    </xf>
    <xf numFmtId="177" fontId="34" fillId="4" borderId="25" xfId="0" applyNumberFormat="1" applyFont="1" applyFill="1" applyBorder="1" applyAlignment="1">
      <alignment horizontal="center"/>
    </xf>
    <xf numFmtId="0" fontId="34" fillId="4" borderId="0" xfId="0" applyFont="1" applyFill="1" applyAlignment="1">
      <alignment horizontal="center" wrapText="1"/>
    </xf>
    <xf numFmtId="0" fontId="52" fillId="4" borderId="0" xfId="0" applyFont="1" applyFill="1" applyAlignment="1">
      <alignment horizontal="center" wrapText="1"/>
    </xf>
    <xf numFmtId="0" fontId="52" fillId="4" borderId="19" xfId="0" applyFont="1" applyFill="1" applyBorder="1" applyAlignment="1"/>
    <xf numFmtId="0" fontId="34" fillId="4" borderId="20" xfId="0" applyFont="1" applyFill="1" applyBorder="1" applyAlignment="1"/>
    <xf numFmtId="0" fontId="34" fillId="4" borderId="21" xfId="0" applyFont="1" applyFill="1" applyBorder="1" applyAlignment="1"/>
    <xf numFmtId="0" fontId="34" fillId="4" borderId="27" xfId="0" applyFont="1" applyFill="1" applyBorder="1" applyAlignment="1"/>
    <xf numFmtId="0" fontId="34" fillId="4" borderId="0" xfId="0" applyFont="1" applyFill="1" applyBorder="1" applyAlignment="1"/>
    <xf numFmtId="0" fontId="34" fillId="4" borderId="23" xfId="0" applyFont="1" applyFill="1" applyBorder="1" applyAlignment="1"/>
    <xf numFmtId="0" fontId="34" fillId="4" borderId="28" xfId="0" applyFont="1" applyFill="1" applyBorder="1" applyAlignment="1"/>
    <xf numFmtId="0" fontId="34" fillId="4" borderId="17" xfId="0" applyFont="1" applyFill="1" applyBorder="1" applyAlignment="1"/>
    <xf numFmtId="0" fontId="34" fillId="4" borderId="29" xfId="0" applyFont="1" applyFill="1" applyBorder="1" applyAlignment="1"/>
    <xf numFmtId="171" fontId="34" fillId="4" borderId="0" xfId="0" applyNumberFormat="1" applyFont="1" applyFill="1" applyBorder="1" applyAlignment="1">
      <alignment horizontal="center"/>
    </xf>
    <xf numFmtId="0" fontId="34" fillId="4" borderId="24" xfId="0" applyFont="1" applyFill="1" applyBorder="1" applyAlignment="1"/>
    <xf numFmtId="0" fontId="34" fillId="4" borderId="26" xfId="0" applyFont="1" applyFill="1" applyBorder="1" applyAlignment="1"/>
    <xf numFmtId="5" fontId="34" fillId="4" borderId="0" xfId="0" applyNumberFormat="1" applyFont="1" applyFill="1" applyBorder="1" applyAlignment="1">
      <alignment horizontal="center"/>
    </xf>
    <xf numFmtId="0" fontId="34" fillId="9" borderId="0" xfId="0" applyFont="1" applyFill="1" applyAlignment="1"/>
    <xf numFmtId="173" fontId="34" fillId="3" borderId="2" xfId="0" applyNumberFormat="1" applyFont="1" applyFill="1" applyBorder="1" applyAlignment="1" applyProtection="1">
      <alignment horizontal="center"/>
      <protection locked="0"/>
    </xf>
    <xf numFmtId="177" fontId="34" fillId="4" borderId="0" xfId="0" applyNumberFormat="1" applyFont="1" applyFill="1" applyBorder="1"/>
    <xf numFmtId="176" fontId="34" fillId="4" borderId="25" xfId="0" applyNumberFormat="1" applyFont="1" applyFill="1" applyBorder="1" applyAlignment="1">
      <alignment horizontal="center"/>
    </xf>
    <xf numFmtId="173" fontId="34" fillId="4" borderId="25" xfId="0" applyNumberFormat="1" applyFont="1" applyFill="1" applyBorder="1" applyAlignment="1" applyProtection="1">
      <alignment horizontal="center"/>
      <protection locked="0"/>
    </xf>
    <xf numFmtId="177" fontId="34" fillId="4" borderId="25" xfId="0" applyNumberFormat="1" applyFont="1" applyFill="1" applyBorder="1"/>
    <xf numFmtId="0" fontId="52" fillId="4" borderId="27" xfId="0" applyFont="1" applyFill="1" applyBorder="1" applyAlignment="1">
      <alignment horizontal="centerContinuous" vertical="center"/>
    </xf>
    <xf numFmtId="176" fontId="52" fillId="4" borderId="0" xfId="0" applyNumberFormat="1" applyFont="1" applyFill="1" applyBorder="1" applyAlignment="1">
      <alignment horizontal="centerContinuous" vertical="center"/>
    </xf>
    <xf numFmtId="0" fontId="52" fillId="4" borderId="0" xfId="0" applyFont="1" applyFill="1" applyBorder="1" applyAlignment="1">
      <alignment horizontal="centerContinuous" vertical="center"/>
    </xf>
    <xf numFmtId="173" fontId="52" fillId="4" borderId="0" xfId="0" applyNumberFormat="1" applyFont="1" applyFill="1" applyBorder="1" applyAlignment="1" applyProtection="1">
      <alignment horizontal="centerContinuous" vertical="center"/>
      <protection locked="0"/>
    </xf>
    <xf numFmtId="177" fontId="52" fillId="4" borderId="0" xfId="0" applyNumberFormat="1" applyFont="1" applyFill="1" applyBorder="1" applyAlignment="1">
      <alignment horizontal="centerContinuous" vertical="center"/>
    </xf>
    <xf numFmtId="0" fontId="52" fillId="4" borderId="23" xfId="0" applyFont="1" applyFill="1" applyBorder="1" applyAlignment="1">
      <alignment horizontal="centerContinuous" vertical="center"/>
    </xf>
    <xf numFmtId="0" fontId="52" fillId="4" borderId="27" xfId="0" applyFont="1" applyFill="1" applyBorder="1" applyAlignment="1">
      <alignment horizontal="centerContinuous"/>
    </xf>
    <xf numFmtId="176" fontId="52" fillId="4" borderId="0" xfId="0" applyNumberFormat="1" applyFont="1" applyFill="1" applyBorder="1" applyAlignment="1">
      <alignment horizontal="centerContinuous"/>
    </xf>
    <xf numFmtId="0" fontId="52" fillId="4" borderId="0" xfId="0" applyFont="1" applyFill="1" applyBorder="1" applyAlignment="1">
      <alignment horizontal="centerContinuous"/>
    </xf>
    <xf numFmtId="173" fontId="52" fillId="4" borderId="0" xfId="0" applyNumberFormat="1" applyFont="1" applyFill="1" applyBorder="1" applyAlignment="1" applyProtection="1">
      <alignment horizontal="centerContinuous"/>
      <protection locked="0"/>
    </xf>
    <xf numFmtId="177" fontId="52" fillId="4" borderId="0" xfId="0" applyNumberFormat="1" applyFont="1" applyFill="1" applyBorder="1" applyAlignment="1">
      <alignment horizontal="centerContinuous"/>
    </xf>
    <xf numFmtId="0" fontId="52" fillId="4" borderId="23" xfId="0" applyFont="1" applyFill="1" applyBorder="1" applyAlignment="1">
      <alignment horizontal="centerContinuous"/>
    </xf>
    <xf numFmtId="173" fontId="34" fillId="4" borderId="0" xfId="0" applyNumberFormat="1" applyFont="1" applyFill="1" applyBorder="1" applyAlignment="1" applyProtection="1">
      <alignment horizontal="center"/>
      <protection locked="0"/>
    </xf>
    <xf numFmtId="176" fontId="34" fillId="4" borderId="20" xfId="0" applyNumberFormat="1" applyFont="1" applyFill="1" applyBorder="1" applyAlignment="1">
      <alignment horizontal="center"/>
    </xf>
    <xf numFmtId="0" fontId="34" fillId="4" borderId="20" xfId="0" applyFont="1" applyFill="1" applyBorder="1" applyAlignment="1">
      <alignment horizontal="center"/>
    </xf>
    <xf numFmtId="173" fontId="34" fillId="4" borderId="20" xfId="0" applyNumberFormat="1" applyFont="1" applyFill="1" applyBorder="1" applyAlignment="1" applyProtection="1">
      <alignment horizontal="center"/>
      <protection locked="0"/>
    </xf>
    <xf numFmtId="177" fontId="34" fillId="4" borderId="20" xfId="0" applyNumberFormat="1" applyFont="1" applyFill="1" applyBorder="1"/>
    <xf numFmtId="176" fontId="34" fillId="3" borderId="2" xfId="0" applyNumberFormat="1" applyFont="1" applyFill="1" applyBorder="1" applyAlignment="1" applyProtection="1">
      <alignment horizontal="center"/>
      <protection locked="0"/>
    </xf>
    <xf numFmtId="176" fontId="34" fillId="4" borderId="0" xfId="0" applyNumberFormat="1" applyFont="1" applyFill="1" applyBorder="1" applyAlignment="1" applyProtection="1">
      <alignment horizontal="center"/>
      <protection locked="0"/>
    </xf>
    <xf numFmtId="0" fontId="34" fillId="12" borderId="0" xfId="0" applyFont="1" applyFill="1"/>
    <xf numFmtId="37" fontId="5" fillId="6" borderId="7" xfId="0" applyNumberFormat="1" applyFont="1" applyFill="1" applyBorder="1" applyAlignment="1" applyProtection="1">
      <alignment vertical="center"/>
    </xf>
    <xf numFmtId="165" fontId="5" fillId="6" borderId="7" xfId="0" applyNumberFormat="1" applyFont="1" applyFill="1" applyBorder="1" applyAlignment="1" applyProtection="1">
      <alignment vertical="center"/>
    </xf>
    <xf numFmtId="37" fontId="5" fillId="4" borderId="30" xfId="0" applyNumberFormat="1" applyFont="1" applyFill="1" applyBorder="1" applyAlignment="1" applyProtection="1">
      <alignment vertical="center"/>
    </xf>
    <xf numFmtId="0" fontId="5" fillId="4" borderId="30" xfId="0" applyFont="1" applyFill="1" applyBorder="1" applyAlignment="1" applyProtection="1">
      <alignment vertical="center"/>
    </xf>
    <xf numFmtId="37" fontId="5" fillId="6" borderId="13" xfId="0" applyNumberFormat="1" applyFont="1" applyFill="1" applyBorder="1" applyAlignment="1" applyProtection="1">
      <alignment vertical="center"/>
    </xf>
    <xf numFmtId="37" fontId="5" fillId="4" borderId="7" xfId="0" applyNumberFormat="1" applyFont="1" applyFill="1" applyBorder="1" applyAlignment="1" applyProtection="1">
      <alignment horizontal="fill" vertical="center"/>
    </xf>
    <xf numFmtId="37" fontId="5" fillId="4" borderId="2" xfId="0" applyNumberFormat="1" applyFont="1" applyFill="1" applyBorder="1" applyAlignment="1" applyProtection="1">
      <alignment horizontal="center" vertical="center"/>
      <protection locked="0"/>
    </xf>
    <xf numFmtId="37" fontId="5" fillId="4" borderId="0" xfId="0" applyNumberFormat="1" applyFont="1" applyFill="1" applyAlignment="1" applyProtection="1">
      <alignment horizontal="left" vertical="center"/>
      <protection locked="0"/>
    </xf>
    <xf numFmtId="49" fontId="5" fillId="2" borderId="1" xfId="0" applyNumberFormat="1" applyFont="1" applyFill="1" applyBorder="1" applyAlignment="1" applyProtection="1">
      <alignment horizontal="center" vertical="center"/>
      <protection locked="0"/>
    </xf>
    <xf numFmtId="37" fontId="4" fillId="4" borderId="0" xfId="0" applyNumberFormat="1" applyFont="1" applyFill="1" applyBorder="1" applyAlignment="1" applyProtection="1">
      <alignment vertical="center"/>
    </xf>
    <xf numFmtId="37" fontId="4" fillId="4" borderId="2" xfId="0" applyNumberFormat="1" applyFont="1" applyFill="1" applyBorder="1" applyAlignment="1" applyProtection="1">
      <alignment vertical="center"/>
    </xf>
    <xf numFmtId="0" fontId="34" fillId="0" borderId="0" xfId="0" applyFont="1"/>
    <xf numFmtId="0" fontId="36" fillId="0" borderId="0" xfId="24" applyFont="1" applyAlignment="1">
      <alignment horizontal="center"/>
    </xf>
    <xf numFmtId="0" fontId="5" fillId="0" borderId="0" xfId="24" applyFont="1"/>
    <xf numFmtId="0" fontId="5" fillId="0" borderId="0" xfId="24" applyFont="1" applyAlignment="1">
      <alignment wrapText="1"/>
    </xf>
    <xf numFmtId="0" fontId="37" fillId="0" borderId="0" xfId="15" applyFont="1" applyAlignment="1" applyProtection="1"/>
    <xf numFmtId="3" fontId="4" fillId="4" borderId="1" xfId="0" applyNumberFormat="1" applyFont="1" applyFill="1" applyBorder="1" applyAlignment="1" applyProtection="1">
      <alignment horizontal="center" vertical="center"/>
    </xf>
    <xf numFmtId="3" fontId="5" fillId="6" borderId="1" xfId="0" applyNumberFormat="1" applyFont="1" applyFill="1" applyBorder="1" applyAlignment="1" applyProtection="1">
      <alignment horizontal="center" vertical="center"/>
      <protection locked="0"/>
    </xf>
    <xf numFmtId="3" fontId="5" fillId="6" borderId="1" xfId="0" applyNumberFormat="1" applyFont="1" applyFill="1" applyBorder="1" applyAlignment="1" applyProtection="1">
      <alignment horizontal="center" vertical="center"/>
    </xf>
    <xf numFmtId="37" fontId="5" fillId="4" borderId="7" xfId="24" applyNumberFormat="1" applyFont="1" applyFill="1" applyBorder="1" applyAlignment="1" applyProtection="1">
      <alignment horizontal="center" vertical="center"/>
    </xf>
    <xf numFmtId="37" fontId="5" fillId="4" borderId="8" xfId="24" applyNumberFormat="1" applyFont="1" applyFill="1" applyBorder="1" applyAlignment="1" applyProtection="1">
      <alignment horizontal="center" vertical="center"/>
    </xf>
    <xf numFmtId="37" fontId="5" fillId="4" borderId="8" xfId="31" applyNumberFormat="1" applyFont="1" applyFill="1" applyBorder="1" applyAlignment="1" applyProtection="1">
      <alignment horizontal="center" vertical="center"/>
    </xf>
    <xf numFmtId="37" fontId="5" fillId="4" borderId="7" xfId="31" applyNumberFormat="1" applyFont="1" applyFill="1" applyBorder="1" applyAlignment="1" applyProtection="1">
      <alignment horizontal="center" vertical="center"/>
    </xf>
    <xf numFmtId="3" fontId="5" fillId="2" borderId="1" xfId="0" applyNumberFormat="1" applyFont="1" applyFill="1" applyBorder="1" applyAlignment="1" applyProtection="1">
      <alignment horizontal="center" vertical="center"/>
      <protection locked="0"/>
    </xf>
    <xf numFmtId="0" fontId="54" fillId="4" borderId="0" xfId="0" applyFont="1" applyFill="1" applyAlignment="1" applyProtection="1">
      <alignment horizontal="center" vertical="center"/>
    </xf>
    <xf numFmtId="0" fontId="5" fillId="4" borderId="0" xfId="50" applyFont="1" applyFill="1" applyAlignment="1" applyProtection="1">
      <alignment horizontal="right" vertical="center"/>
    </xf>
    <xf numFmtId="37" fontId="5" fillId="4" borderId="0" xfId="24" applyNumberFormat="1" applyFont="1" applyFill="1" applyAlignment="1" applyProtection="1">
      <alignment horizontal="right" vertical="center"/>
    </xf>
    <xf numFmtId="0" fontId="48" fillId="4" borderId="0" xfId="24" applyFont="1" applyFill="1" applyAlignment="1" applyProtection="1">
      <alignment horizontal="center" vertical="center"/>
    </xf>
    <xf numFmtId="0" fontId="5" fillId="4" borderId="18" xfId="0" applyFont="1" applyFill="1" applyBorder="1" applyAlignment="1" applyProtection="1">
      <alignment vertical="center"/>
    </xf>
    <xf numFmtId="0" fontId="9" fillId="4" borderId="18" xfId="0" applyFont="1" applyFill="1" applyBorder="1" applyAlignment="1" applyProtection="1">
      <alignment vertical="center"/>
    </xf>
    <xf numFmtId="176" fontId="9" fillId="4" borderId="11" xfId="0" applyNumberFormat="1" applyFont="1" applyFill="1" applyBorder="1" applyAlignment="1" applyProtection="1">
      <alignment horizontal="center" vertical="center"/>
    </xf>
    <xf numFmtId="0" fontId="9" fillId="4" borderId="18" xfId="0" applyFont="1" applyFill="1" applyBorder="1" applyAlignment="1" applyProtection="1">
      <alignment horizontal="left" vertical="center"/>
    </xf>
    <xf numFmtId="176" fontId="9" fillId="3" borderId="1" xfId="0" applyNumberFormat="1" applyFont="1" applyFill="1" applyBorder="1" applyAlignment="1" applyProtection="1">
      <alignment horizontal="center" vertical="center"/>
      <protection locked="0"/>
    </xf>
    <xf numFmtId="0" fontId="5" fillId="7" borderId="2" xfId="0" applyFont="1" applyFill="1" applyBorder="1" applyAlignment="1" applyProtection="1">
      <alignment vertical="center"/>
    </xf>
    <xf numFmtId="0" fontId="5" fillId="0" borderId="0" xfId="0" applyFont="1" applyProtection="1"/>
    <xf numFmtId="176" fontId="5" fillId="7" borderId="5" xfId="0" applyNumberFormat="1" applyFont="1" applyFill="1" applyBorder="1" applyAlignment="1" applyProtection="1">
      <alignment horizontal="center" vertical="center"/>
    </xf>
    <xf numFmtId="0" fontId="5" fillId="7" borderId="12" xfId="0" applyFont="1" applyFill="1" applyBorder="1" applyAlignment="1" applyProtection="1">
      <alignment vertical="center"/>
    </xf>
    <xf numFmtId="176" fontId="5" fillId="7" borderId="11" xfId="0" applyNumberFormat="1" applyFont="1" applyFill="1" applyBorder="1" applyAlignment="1" applyProtection="1">
      <alignment horizontal="center"/>
    </xf>
    <xf numFmtId="0" fontId="5" fillId="7" borderId="0" xfId="0" applyFont="1" applyFill="1" applyBorder="1" applyProtection="1"/>
    <xf numFmtId="0" fontId="5" fillId="7" borderId="18" xfId="0" applyFont="1" applyFill="1" applyBorder="1" applyProtection="1"/>
    <xf numFmtId="171" fontId="5" fillId="4" borderId="11" xfId="0" applyNumberFormat="1" applyFont="1" applyFill="1" applyBorder="1" applyAlignment="1" applyProtection="1">
      <alignment horizontal="center"/>
    </xf>
    <xf numFmtId="0" fontId="5" fillId="4" borderId="11" xfId="0" applyFont="1" applyFill="1" applyBorder="1" applyProtection="1"/>
    <xf numFmtId="0" fontId="5" fillId="4" borderId="18" xfId="0" applyFont="1" applyFill="1" applyBorder="1" applyProtection="1"/>
    <xf numFmtId="176" fontId="5" fillId="7" borderId="5" xfId="0" applyNumberFormat="1" applyFont="1" applyFill="1" applyBorder="1" applyAlignment="1" applyProtection="1">
      <alignment horizontal="center"/>
    </xf>
    <xf numFmtId="0" fontId="5" fillId="4" borderId="12" xfId="0" applyFont="1" applyFill="1" applyBorder="1" applyProtection="1"/>
    <xf numFmtId="176" fontId="5" fillId="4" borderId="11" xfId="0" applyNumberFormat="1" applyFont="1" applyFill="1" applyBorder="1" applyAlignment="1" applyProtection="1">
      <alignment horizontal="center"/>
    </xf>
    <xf numFmtId="0" fontId="9" fillId="4" borderId="18" xfId="0" applyFont="1" applyFill="1" applyBorder="1" applyProtection="1"/>
    <xf numFmtId="171" fontId="5" fillId="0" borderId="0" xfId="0" applyNumberFormat="1" applyFont="1" applyAlignment="1" applyProtection="1">
      <alignment vertical="center"/>
      <protection locked="0"/>
    </xf>
    <xf numFmtId="173" fontId="5" fillId="3" borderId="1" xfId="0" applyNumberFormat="1" applyFont="1" applyFill="1" applyBorder="1" applyAlignment="1" applyProtection="1">
      <alignment horizontal="center"/>
      <protection locked="0"/>
    </xf>
    <xf numFmtId="0" fontId="5" fillId="3" borderId="12" xfId="0" applyFont="1" applyFill="1" applyBorder="1" applyProtection="1"/>
    <xf numFmtId="0" fontId="5" fillId="3" borderId="2" xfId="0" applyFont="1" applyFill="1" applyBorder="1" applyProtection="1"/>
    <xf numFmtId="0" fontId="5" fillId="3" borderId="5" xfId="0" applyFont="1" applyFill="1" applyBorder="1" applyProtection="1"/>
    <xf numFmtId="176" fontId="5" fillId="0" borderId="0" xfId="0" applyNumberFormat="1" applyFont="1" applyAlignment="1" applyProtection="1">
      <alignment vertical="center"/>
      <protection locked="0"/>
    </xf>
    <xf numFmtId="0" fontId="5" fillId="4" borderId="11" xfId="0" applyFont="1" applyFill="1" applyBorder="1" applyAlignment="1" applyProtection="1">
      <alignment horizontal="center" vertical="center"/>
    </xf>
    <xf numFmtId="173" fontId="5" fillId="0" borderId="0" xfId="0" applyNumberFormat="1" applyFont="1" applyAlignment="1" applyProtection="1">
      <alignment vertical="center"/>
      <protection locked="0"/>
    </xf>
    <xf numFmtId="171" fontId="5" fillId="4" borderId="4" xfId="0" applyNumberFormat="1" applyFont="1" applyFill="1" applyBorder="1" applyAlignment="1" applyProtection="1">
      <alignment horizontal="center"/>
    </xf>
    <xf numFmtId="173" fontId="5" fillId="7" borderId="4" xfId="0" applyNumberFormat="1" applyFont="1" applyFill="1" applyBorder="1" applyAlignment="1" applyProtection="1">
      <alignment horizontal="center"/>
    </xf>
    <xf numFmtId="176" fontId="5" fillId="0" borderId="0" xfId="0" applyNumberFormat="1" applyFont="1" applyFill="1" applyBorder="1" applyAlignment="1" applyProtection="1">
      <alignment horizontal="center" vertical="center"/>
      <protection locked="0"/>
    </xf>
    <xf numFmtId="5" fontId="5" fillId="4" borderId="5" xfId="0" applyNumberFormat="1" applyFont="1" applyFill="1" applyBorder="1" applyAlignment="1" applyProtection="1">
      <alignment horizontal="center" vertical="center"/>
    </xf>
    <xf numFmtId="176" fontId="5" fillId="7" borderId="11" xfId="0" applyNumberFormat="1" applyFont="1" applyFill="1" applyBorder="1" applyAlignment="1" applyProtection="1">
      <alignment horizontal="center" vertical="center"/>
    </xf>
    <xf numFmtId="176" fontId="5" fillId="4" borderId="11" xfId="0" applyNumberFormat="1" applyFont="1" applyFill="1" applyBorder="1" applyAlignment="1" applyProtection="1">
      <alignment horizontal="center" vertical="center"/>
    </xf>
    <xf numFmtId="176" fontId="5" fillId="4" borderId="5" xfId="0" applyNumberFormat="1" applyFont="1" applyFill="1" applyBorder="1" applyAlignment="1" applyProtection="1">
      <alignment horizontal="center" vertical="center"/>
    </xf>
    <xf numFmtId="176" fontId="5" fillId="7" borderId="4" xfId="0" applyNumberFormat="1" applyFont="1" applyFill="1" applyBorder="1" applyAlignment="1" applyProtection="1">
      <alignment horizontal="center" vertical="center"/>
    </xf>
    <xf numFmtId="0" fontId="5" fillId="7" borderId="18" xfId="0" applyFont="1" applyFill="1" applyBorder="1" applyAlignment="1" applyProtection="1">
      <alignment vertical="center"/>
    </xf>
    <xf numFmtId="0" fontId="5" fillId="7" borderId="0" xfId="0" applyFont="1" applyFill="1" applyBorder="1" applyAlignment="1" applyProtection="1">
      <alignment vertical="center"/>
    </xf>
    <xf numFmtId="0" fontId="5" fillId="0" borderId="0" xfId="50" applyFont="1" applyAlignment="1">
      <alignment vertical="center" wrapText="1"/>
    </xf>
    <xf numFmtId="0" fontId="5" fillId="0" borderId="0" xfId="50" applyFont="1" applyAlignment="1">
      <alignment vertical="center"/>
    </xf>
    <xf numFmtId="0" fontId="4" fillId="4" borderId="0" xfId="31" applyFont="1" applyFill="1" applyAlignment="1" applyProtection="1">
      <alignment vertical="center"/>
    </xf>
    <xf numFmtId="176" fontId="9" fillId="4" borderId="18" xfId="0" applyNumberFormat="1" applyFont="1" applyFill="1" applyBorder="1" applyAlignment="1" applyProtection="1">
      <alignment horizontal="center" vertical="center"/>
    </xf>
    <xf numFmtId="0" fontId="9" fillId="4" borderId="0" xfId="0" applyFont="1" applyFill="1" applyBorder="1" applyAlignment="1" applyProtection="1">
      <alignment horizontal="left" vertical="center"/>
    </xf>
    <xf numFmtId="0" fontId="9" fillId="4" borderId="11" xfId="0" applyFont="1" applyFill="1" applyBorder="1" applyAlignment="1" applyProtection="1">
      <alignment vertical="center"/>
    </xf>
    <xf numFmtId="0" fontId="9" fillId="4" borderId="0" xfId="0" applyFont="1" applyFill="1" applyBorder="1" applyAlignment="1" applyProtection="1">
      <alignment vertical="center"/>
    </xf>
    <xf numFmtId="176" fontId="9" fillId="4" borderId="12" xfId="0" applyNumberFormat="1" applyFont="1" applyFill="1" applyBorder="1" applyAlignment="1" applyProtection="1">
      <alignment horizontal="center" vertical="center"/>
    </xf>
    <xf numFmtId="176" fontId="9" fillId="4" borderId="18" xfId="0" applyNumberFormat="1" applyFont="1" applyFill="1" applyBorder="1" applyAlignment="1" applyProtection="1">
      <alignment vertical="center"/>
    </xf>
    <xf numFmtId="176" fontId="39" fillId="7" borderId="12" xfId="0" applyNumberFormat="1" applyFont="1" applyFill="1" applyBorder="1" applyAlignment="1" applyProtection="1">
      <alignment horizontal="center" vertical="center"/>
    </xf>
    <xf numFmtId="0" fontId="39" fillId="7" borderId="2" xfId="0" applyFont="1" applyFill="1" applyBorder="1" applyAlignment="1" applyProtection="1">
      <alignment vertical="center"/>
    </xf>
    <xf numFmtId="0" fontId="9" fillId="7" borderId="5" xfId="0" applyFont="1" applyFill="1" applyBorder="1" applyAlignment="1" applyProtection="1">
      <alignment vertical="center"/>
    </xf>
    <xf numFmtId="0" fontId="5" fillId="7" borderId="5" xfId="0" applyFont="1" applyFill="1" applyBorder="1" applyAlignment="1" applyProtection="1">
      <alignment vertical="center"/>
    </xf>
    <xf numFmtId="37" fontId="5" fillId="0" borderId="0" xfId="0" applyNumberFormat="1" applyFont="1" applyFill="1" applyBorder="1" applyAlignment="1" applyProtection="1">
      <alignment horizontal="left" vertical="center"/>
      <protection locked="0"/>
    </xf>
    <xf numFmtId="37" fontId="5" fillId="0" borderId="0" xfId="0" applyNumberFormat="1" applyFont="1" applyFill="1" applyAlignment="1" applyProtection="1">
      <alignment horizontal="left" vertical="center"/>
    </xf>
    <xf numFmtId="0" fontId="5" fillId="0" borderId="0" xfId="0" applyFont="1" applyFill="1" applyAlignment="1" applyProtection="1">
      <alignment vertical="center"/>
    </xf>
    <xf numFmtId="0" fontId="5" fillId="0" borderId="0" xfId="0" applyFont="1" applyFill="1" applyAlignment="1" applyProtection="1">
      <alignment horizontal="right" vertical="center"/>
    </xf>
    <xf numFmtId="0" fontId="6" fillId="0" borderId="0" xfId="83" applyFont="1" applyAlignment="1">
      <alignment vertical="center"/>
    </xf>
    <xf numFmtId="0" fontId="5" fillId="4" borderId="0" xfId="13" applyNumberFormat="1" applyFont="1" applyFill="1" applyBorder="1" applyAlignment="1" applyProtection="1">
      <alignment horizontal="right" vertical="center"/>
    </xf>
    <xf numFmtId="37" fontId="4" fillId="4" borderId="7" xfId="0" applyNumberFormat="1" applyFont="1" applyFill="1" applyBorder="1" applyAlignment="1" applyProtection="1">
      <alignment horizontal="center" vertical="center"/>
    </xf>
    <xf numFmtId="37" fontId="4" fillId="4" borderId="6" xfId="0" applyNumberFormat="1" applyFont="1" applyFill="1" applyBorder="1" applyAlignment="1" applyProtection="1">
      <alignment horizontal="center" vertical="center"/>
    </xf>
    <xf numFmtId="0" fontId="4" fillId="4" borderId="9" xfId="492" applyFont="1" applyFill="1" applyBorder="1" applyAlignment="1" applyProtection="1">
      <alignment vertical="center"/>
    </xf>
    <xf numFmtId="0" fontId="4" fillId="4" borderId="3" xfId="492" applyFont="1" applyFill="1" applyBorder="1" applyAlignment="1" applyProtection="1">
      <alignment vertical="center"/>
    </xf>
    <xf numFmtId="3" fontId="4" fillId="4" borderId="4" xfId="492" applyNumberFormat="1" applyFont="1" applyFill="1" applyBorder="1" applyAlignment="1" applyProtection="1">
      <alignment vertical="center"/>
    </xf>
    <xf numFmtId="0" fontId="4" fillId="4" borderId="4" xfId="492" applyFont="1" applyFill="1" applyBorder="1" applyAlignment="1" applyProtection="1">
      <alignment vertical="center"/>
    </xf>
    <xf numFmtId="0" fontId="4" fillId="4" borderId="1" xfId="492" applyFont="1" applyFill="1" applyBorder="1" applyAlignment="1" applyProtection="1">
      <alignment horizontal="center" vertical="center"/>
    </xf>
    <xf numFmtId="0" fontId="55" fillId="0" borderId="0" xfId="0" applyFont="1"/>
    <xf numFmtId="49" fontId="5" fillId="0" borderId="0" xfId="459" applyNumberFormat="1" applyFont="1" applyFill="1" applyAlignment="1" applyProtection="1">
      <alignment horizontal="left" vertical="center"/>
      <protection locked="0"/>
    </xf>
    <xf numFmtId="0" fontId="5" fillId="0" borderId="0" xfId="459" applyFont="1" applyAlignment="1">
      <alignment horizontal="left" vertical="center"/>
    </xf>
    <xf numFmtId="0" fontId="56" fillId="0" borderId="0" xfId="459" applyFont="1"/>
    <xf numFmtId="174" fontId="57" fillId="0" borderId="0" xfId="459" applyNumberFormat="1" applyFont="1" applyAlignment="1">
      <alignment horizontal="left" vertical="center"/>
    </xf>
    <xf numFmtId="0" fontId="57" fillId="0" borderId="0" xfId="459" applyNumberFormat="1" applyFont="1" applyAlignment="1">
      <alignment horizontal="left" vertical="center"/>
    </xf>
    <xf numFmtId="1" fontId="57" fillId="0" borderId="0" xfId="459" applyNumberFormat="1" applyFont="1" applyAlignment="1">
      <alignment horizontal="left" vertical="center"/>
    </xf>
    <xf numFmtId="0" fontId="58" fillId="0" borderId="0" xfId="459" applyFont="1" applyAlignment="1">
      <alignment horizontal="left" vertical="center"/>
    </xf>
    <xf numFmtId="37" fontId="5" fillId="4" borderId="1" xfId="0" applyNumberFormat="1" applyFont="1" applyFill="1" applyBorder="1" applyAlignment="1" applyProtection="1">
      <alignment horizontal="right" vertical="center"/>
    </xf>
    <xf numFmtId="165" fontId="5" fillId="4" borderId="1" xfId="0" applyNumberFormat="1" applyFont="1" applyFill="1" applyBorder="1" applyAlignment="1" applyProtection="1">
      <alignment horizontal="right" vertical="center"/>
    </xf>
    <xf numFmtId="0" fontId="5" fillId="4" borderId="1" xfId="0" applyFont="1" applyFill="1" applyBorder="1" applyAlignment="1" applyProtection="1">
      <alignment horizontal="right" vertical="center"/>
    </xf>
    <xf numFmtId="37" fontId="5" fillId="6" borderId="13" xfId="0" applyNumberFormat="1" applyFont="1" applyFill="1" applyBorder="1" applyAlignment="1" applyProtection="1">
      <alignment horizontal="right" vertical="center"/>
    </xf>
    <xf numFmtId="170" fontId="5" fillId="6" borderId="13" xfId="0" applyNumberFormat="1" applyFont="1" applyFill="1" applyBorder="1" applyAlignment="1" applyProtection="1">
      <alignment horizontal="right" vertical="center"/>
    </xf>
    <xf numFmtId="0" fontId="5" fillId="4" borderId="5" xfId="0" applyFont="1" applyFill="1" applyBorder="1" applyProtection="1"/>
    <xf numFmtId="178" fontId="5" fillId="3" borderId="1" xfId="0" applyNumberFormat="1" applyFont="1" applyFill="1" applyBorder="1" applyProtection="1">
      <protection locked="0"/>
    </xf>
    <xf numFmtId="178" fontId="5" fillId="2" borderId="1" xfId="0" applyNumberFormat="1" applyFont="1" applyFill="1" applyBorder="1" applyProtection="1">
      <protection locked="0"/>
    </xf>
    <xf numFmtId="178" fontId="5" fillId="2" borderId="1" xfId="0" applyNumberFormat="1" applyFont="1" applyFill="1" applyBorder="1" applyAlignment="1" applyProtection="1">
      <alignment vertical="center"/>
      <protection locked="0"/>
    </xf>
    <xf numFmtId="0" fontId="5" fillId="0" borderId="0" xfId="0" applyFont="1" applyProtection="1">
      <protection locked="0"/>
    </xf>
    <xf numFmtId="0" fontId="5" fillId="4" borderId="0" xfId="31" applyFont="1" applyFill="1"/>
    <xf numFmtId="0" fontId="3" fillId="0" borderId="0" xfId="31"/>
    <xf numFmtId="0" fontId="5" fillId="4" borderId="0" xfId="31" applyFont="1" applyFill="1" applyAlignment="1">
      <alignment vertical="center"/>
    </xf>
    <xf numFmtId="37" fontId="5" fillId="4" borderId="0" xfId="31" applyNumberFormat="1" applyFont="1" applyFill="1" applyAlignment="1">
      <alignment vertical="center"/>
    </xf>
    <xf numFmtId="0" fontId="5" fillId="4" borderId="2" xfId="31" applyFont="1" applyFill="1" applyBorder="1" applyAlignment="1">
      <alignment vertical="center"/>
    </xf>
    <xf numFmtId="0" fontId="5" fillId="4" borderId="0" xfId="31" applyFont="1" applyFill="1" applyAlignment="1">
      <alignment horizontal="center" vertical="center"/>
    </xf>
    <xf numFmtId="0" fontId="6" fillId="4" borderId="0" xfId="31" applyFont="1" applyFill="1" applyAlignment="1">
      <alignment horizontal="center" vertical="center"/>
    </xf>
    <xf numFmtId="176" fontId="5" fillId="4" borderId="0" xfId="31" applyNumberFormat="1" applyFont="1" applyFill="1" applyAlignment="1">
      <alignment vertical="center"/>
    </xf>
    <xf numFmtId="176" fontId="5" fillId="4" borderId="17" xfId="31" applyNumberFormat="1" applyFont="1" applyFill="1" applyBorder="1" applyAlignment="1">
      <alignment vertical="center"/>
    </xf>
    <xf numFmtId="6" fontId="5" fillId="4" borderId="0" xfId="31" applyNumberFormat="1" applyFont="1" applyFill="1" applyBorder="1" applyAlignment="1">
      <alignment vertical="center"/>
    </xf>
    <xf numFmtId="176" fontId="5" fillId="4" borderId="0" xfId="31" applyNumberFormat="1" applyFont="1" applyFill="1" applyBorder="1" applyAlignment="1">
      <alignment vertical="center"/>
    </xf>
    <xf numFmtId="0" fontId="59" fillId="7" borderId="0" xfId="31" applyFont="1" applyFill="1" applyAlignment="1">
      <alignment vertical="center"/>
    </xf>
    <xf numFmtId="0" fontId="59" fillId="4" borderId="0" xfId="31" applyFont="1" applyFill="1" applyAlignment="1">
      <alignment horizontal="center" vertical="center"/>
    </xf>
    <xf numFmtId="173" fontId="5" fillId="4" borderId="0" xfId="31" applyNumberFormat="1" applyFont="1" applyFill="1" applyAlignment="1">
      <alignment horizontal="center" vertical="center"/>
    </xf>
    <xf numFmtId="179" fontId="59" fillId="4" borderId="0" xfId="31" applyNumberFormat="1" applyFont="1" applyFill="1" applyAlignment="1">
      <alignment horizontal="center" vertical="center"/>
    </xf>
    <xf numFmtId="0" fontId="59" fillId="7" borderId="0" xfId="31" applyFont="1" applyFill="1" applyAlignment="1">
      <alignment horizontal="center" vertical="center"/>
    </xf>
    <xf numFmtId="0" fontId="48" fillId="7" borderId="0" xfId="31" applyFont="1" applyFill="1" applyAlignment="1">
      <alignment horizontal="center" vertical="center"/>
    </xf>
    <xf numFmtId="0" fontId="5" fillId="4" borderId="0" xfId="31" applyFont="1" applyFill="1" applyAlignment="1">
      <alignment horizontal="right" vertical="center"/>
    </xf>
    <xf numFmtId="0" fontId="5" fillId="4" borderId="0" xfId="31" applyFont="1" applyFill="1" applyAlignment="1">
      <alignment horizontal="left" vertical="center"/>
    </xf>
    <xf numFmtId="0" fontId="5" fillId="4" borderId="0" xfId="26" applyFont="1" applyFill="1"/>
    <xf numFmtId="0" fontId="3" fillId="4" borderId="0" xfId="31" applyFill="1"/>
    <xf numFmtId="0" fontId="4" fillId="4" borderId="0" xfId="26" applyFont="1" applyFill="1"/>
    <xf numFmtId="0" fontId="3" fillId="4" borderId="0" xfId="26" applyFill="1"/>
    <xf numFmtId="0" fontId="30" fillId="0" borderId="0" xfId="14" applyAlignment="1" applyProtection="1"/>
    <xf numFmtId="37" fontId="5" fillId="4" borderId="0" xfId="26" applyNumberFormat="1" applyFont="1" applyFill="1" applyAlignment="1" applyProtection="1">
      <alignment vertical="center"/>
    </xf>
    <xf numFmtId="0" fontId="5" fillId="4" borderId="0" xfId="26" applyFont="1" applyFill="1" applyAlignment="1" applyProtection="1">
      <alignment vertical="center"/>
    </xf>
    <xf numFmtId="1" fontId="5" fillId="4" borderId="0" xfId="26" applyNumberFormat="1" applyFont="1" applyFill="1" applyBorder="1" applyAlignment="1" applyProtection="1">
      <alignment horizontal="right" vertical="center"/>
    </xf>
    <xf numFmtId="0" fontId="5" fillId="0" borderId="0" xfId="26" applyFont="1" applyProtection="1">
      <protection locked="0"/>
    </xf>
    <xf numFmtId="37" fontId="5" fillId="4" borderId="0" xfId="26" applyNumberFormat="1" applyFont="1" applyFill="1" applyAlignment="1" applyProtection="1">
      <alignment horizontal="right" vertical="center"/>
    </xf>
    <xf numFmtId="0" fontId="4" fillId="4" borderId="0" xfId="26" applyFont="1" applyFill="1" applyAlignment="1" applyProtection="1">
      <alignment vertical="center"/>
    </xf>
    <xf numFmtId="37" fontId="5" fillId="4" borderId="0" xfId="26" applyNumberFormat="1" applyFont="1" applyFill="1" applyAlignment="1" applyProtection="1">
      <alignment horizontal="fill" vertical="center"/>
    </xf>
    <xf numFmtId="37" fontId="5" fillId="4" borderId="0" xfId="26" quotePrefix="1" applyNumberFormat="1" applyFont="1" applyFill="1" applyAlignment="1" applyProtection="1">
      <alignment horizontal="right" vertical="center"/>
    </xf>
    <xf numFmtId="37" fontId="5" fillId="4" borderId="0" xfId="26" applyNumberFormat="1" applyFont="1" applyFill="1" applyAlignment="1" applyProtection="1">
      <alignment horizontal="left" vertical="center"/>
    </xf>
    <xf numFmtId="1" fontId="5" fillId="4" borderId="6" xfId="26" applyNumberFormat="1" applyFont="1" applyFill="1" applyBorder="1" applyAlignment="1" applyProtection="1">
      <alignment horizontal="center" vertical="center"/>
    </xf>
    <xf numFmtId="37" fontId="5" fillId="4" borderId="16" xfId="26" applyNumberFormat="1" applyFont="1" applyFill="1" applyBorder="1" applyAlignment="1" applyProtection="1">
      <alignment horizontal="center" vertical="center"/>
    </xf>
    <xf numFmtId="37" fontId="5" fillId="4" borderId="6" xfId="26" applyNumberFormat="1" applyFont="1" applyFill="1" applyBorder="1" applyAlignment="1" applyProtection="1">
      <alignment horizontal="center" vertical="center"/>
    </xf>
    <xf numFmtId="37" fontId="4" fillId="4" borderId="2" xfId="26" applyNumberFormat="1" applyFont="1" applyFill="1" applyBorder="1" applyAlignment="1" applyProtection="1">
      <alignment vertical="center"/>
    </xf>
    <xf numFmtId="0" fontId="5" fillId="4" borderId="7" xfId="26" applyNumberFormat="1" applyFont="1" applyFill="1" applyBorder="1" applyAlignment="1" applyProtection="1">
      <alignment horizontal="center" vertical="center"/>
    </xf>
    <xf numFmtId="0" fontId="5" fillId="4" borderId="12" xfId="26" applyNumberFormat="1" applyFont="1" applyFill="1" applyBorder="1" applyAlignment="1" applyProtection="1">
      <alignment horizontal="center" vertical="center"/>
    </xf>
    <xf numFmtId="1" fontId="5" fillId="4" borderId="7" xfId="26" applyNumberFormat="1" applyFont="1" applyFill="1" applyBorder="1" applyAlignment="1" applyProtection="1">
      <alignment horizontal="center" vertical="center"/>
    </xf>
    <xf numFmtId="37" fontId="5" fillId="4" borderId="9" xfId="26" applyNumberFormat="1" applyFont="1" applyFill="1" applyBorder="1" applyAlignment="1" applyProtection="1">
      <alignment horizontal="left" vertical="center"/>
    </xf>
    <xf numFmtId="37" fontId="5" fillId="3" borderId="9" xfId="26" applyNumberFormat="1" applyFont="1" applyFill="1" applyBorder="1" applyAlignment="1" applyProtection="1">
      <alignment vertical="center"/>
      <protection locked="0"/>
    </xf>
    <xf numFmtId="3" fontId="5" fillId="4" borderId="9" xfId="26" applyNumberFormat="1" applyFont="1" applyFill="1" applyBorder="1" applyAlignment="1" applyProtection="1">
      <alignment vertical="center"/>
    </xf>
    <xf numFmtId="3" fontId="5" fillId="4" borderId="1" xfId="26" applyNumberFormat="1" applyFont="1" applyFill="1" applyBorder="1" applyAlignment="1" applyProtection="1">
      <alignment vertical="center"/>
    </xf>
    <xf numFmtId="37" fontId="5" fillId="4" borderId="9" xfId="26" applyNumberFormat="1" applyFont="1" applyFill="1" applyBorder="1" applyAlignment="1" applyProtection="1">
      <alignment vertical="center"/>
    </xf>
    <xf numFmtId="37" fontId="5" fillId="3" borderId="9" xfId="26" applyNumberFormat="1" applyFont="1" applyFill="1" applyBorder="1" applyAlignment="1" applyProtection="1">
      <alignment horizontal="right" vertical="center"/>
      <protection locked="0"/>
    </xf>
    <xf numFmtId="3" fontId="5" fillId="4" borderId="1" xfId="26" applyNumberFormat="1" applyFont="1" applyFill="1" applyBorder="1" applyAlignment="1" applyProtection="1">
      <alignment horizontal="fill" vertical="center"/>
    </xf>
    <xf numFmtId="3" fontId="5" fillId="2" borderId="9" xfId="26" applyNumberFormat="1" applyFont="1" applyFill="1" applyBorder="1" applyAlignment="1" applyProtection="1">
      <alignment vertical="center"/>
      <protection locked="0"/>
    </xf>
    <xf numFmtId="3" fontId="5" fillId="2" borderId="1" xfId="26" applyNumberFormat="1" applyFont="1" applyFill="1" applyBorder="1" applyAlignment="1" applyProtection="1">
      <alignment vertical="center"/>
      <protection locked="0"/>
    </xf>
    <xf numFmtId="0" fontId="5" fillId="4" borderId="9" xfId="26" applyFont="1" applyFill="1" applyBorder="1" applyAlignment="1" applyProtection="1">
      <alignment vertical="center"/>
    </xf>
    <xf numFmtId="0" fontId="5" fillId="2" borderId="9" xfId="26" applyFont="1" applyFill="1" applyBorder="1" applyAlignment="1" applyProtection="1">
      <alignment horizontal="left" vertical="center"/>
      <protection locked="0"/>
    </xf>
    <xf numFmtId="0" fontId="5" fillId="2" borderId="1" xfId="26" applyFont="1" applyFill="1" applyBorder="1" applyAlignment="1" applyProtection="1">
      <alignment horizontal="left" vertical="center"/>
      <protection locked="0"/>
    </xf>
    <xf numFmtId="37" fontId="5" fillId="2" borderId="9" xfId="26" applyNumberFormat="1" applyFont="1" applyFill="1" applyBorder="1" applyAlignment="1" applyProtection="1">
      <alignment horizontal="left" vertical="center"/>
      <protection locked="0"/>
    </xf>
    <xf numFmtId="3" fontId="5" fillId="3" borderId="9" xfId="26" applyNumberFormat="1" applyFont="1" applyFill="1" applyBorder="1" applyAlignment="1" applyProtection="1">
      <alignment horizontal="right" vertical="center"/>
      <protection locked="0"/>
    </xf>
    <xf numFmtId="3" fontId="14" fillId="11" borderId="9" xfId="26" applyNumberFormat="1" applyFont="1" applyFill="1" applyBorder="1" applyAlignment="1" applyProtection="1">
      <alignment horizontal="center" vertical="center"/>
    </xf>
    <xf numFmtId="3" fontId="14" fillId="11" borderId="1" xfId="26" applyNumberFormat="1" applyFont="1" applyFill="1" applyBorder="1" applyAlignment="1" applyProtection="1">
      <alignment horizontal="center" vertical="center"/>
    </xf>
    <xf numFmtId="37" fontId="4" fillId="4" borderId="9" xfId="26" applyNumberFormat="1" applyFont="1" applyFill="1" applyBorder="1" applyAlignment="1" applyProtection="1">
      <alignment horizontal="left" vertical="center"/>
    </xf>
    <xf numFmtId="3" fontId="4" fillId="4" borderId="9" xfId="26" applyNumberFormat="1" applyFont="1" applyFill="1" applyBorder="1" applyAlignment="1" applyProtection="1">
      <alignment vertical="center"/>
    </xf>
    <xf numFmtId="3" fontId="4" fillId="4" borderId="1" xfId="26" applyNumberFormat="1" applyFont="1" applyFill="1" applyBorder="1" applyAlignment="1" applyProtection="1">
      <alignment vertical="center"/>
    </xf>
    <xf numFmtId="0" fontId="9" fillId="4" borderId="18" xfId="26" applyFont="1" applyFill="1" applyBorder="1" applyAlignment="1" applyProtection="1">
      <alignment vertical="center"/>
    </xf>
    <xf numFmtId="0" fontId="5" fillId="4" borderId="0" xfId="26" applyFont="1" applyFill="1" applyBorder="1" applyAlignment="1" applyProtection="1">
      <alignment vertical="center"/>
    </xf>
    <xf numFmtId="0" fontId="9" fillId="4" borderId="0" xfId="26" applyFont="1" applyFill="1" applyBorder="1" applyAlignment="1" applyProtection="1">
      <alignment vertical="center"/>
    </xf>
    <xf numFmtId="176" fontId="9" fillId="4" borderId="11" xfId="26" applyNumberFormat="1" applyFont="1" applyFill="1" applyBorder="1" applyAlignment="1" applyProtection="1">
      <alignment horizontal="center" vertical="center"/>
    </xf>
    <xf numFmtId="0" fontId="9" fillId="4" borderId="18" xfId="26" applyFont="1" applyFill="1" applyBorder="1" applyAlignment="1" applyProtection="1">
      <alignment horizontal="left" vertical="center"/>
    </xf>
    <xf numFmtId="176" fontId="9" fillId="3" borderId="1" xfId="26" applyNumberFormat="1" applyFont="1" applyFill="1" applyBorder="1" applyAlignment="1" applyProtection="1">
      <alignment horizontal="center" vertical="center"/>
      <protection locked="0"/>
    </xf>
    <xf numFmtId="173" fontId="39" fillId="4" borderId="4" xfId="26" applyNumberFormat="1" applyFont="1" applyFill="1" applyBorder="1" applyAlignment="1" applyProtection="1">
      <alignment horizontal="center" vertical="center"/>
    </xf>
    <xf numFmtId="0" fontId="39" fillId="7" borderId="18" xfId="26" applyFont="1" applyFill="1" applyBorder="1" applyAlignment="1" applyProtection="1">
      <alignment vertical="center"/>
    </xf>
    <xf numFmtId="0" fontId="5" fillId="7" borderId="0" xfId="26" applyFont="1" applyFill="1" applyBorder="1" applyAlignment="1" applyProtection="1">
      <alignment vertical="center"/>
    </xf>
    <xf numFmtId="0" fontId="9" fillId="7" borderId="0" xfId="26" applyFont="1" applyFill="1" applyBorder="1" applyAlignment="1" applyProtection="1">
      <alignment vertical="center"/>
    </xf>
    <xf numFmtId="176" fontId="39" fillId="7" borderId="4" xfId="26" applyNumberFormat="1" applyFont="1" applyFill="1" applyBorder="1" applyAlignment="1" applyProtection="1">
      <alignment horizontal="center" vertical="center"/>
    </xf>
    <xf numFmtId="37" fontId="9" fillId="4" borderId="12" xfId="26" applyNumberFormat="1" applyFont="1" applyFill="1" applyBorder="1" applyAlignment="1" applyProtection="1">
      <alignment horizontal="left" vertical="center"/>
    </xf>
    <xf numFmtId="0" fontId="44" fillId="4" borderId="2" xfId="26" applyFont="1" applyFill="1" applyBorder="1" applyAlignment="1">
      <alignment horizontal="left" vertical="center"/>
    </xf>
    <xf numFmtId="176" fontId="39" fillId="7" borderId="5" xfId="26" applyNumberFormat="1" applyFont="1" applyFill="1" applyBorder="1" applyAlignment="1" applyProtection="1">
      <alignment horizontal="center" vertical="center"/>
      <protection locked="0"/>
    </xf>
    <xf numFmtId="0" fontId="5" fillId="4" borderId="9" xfId="26" applyFont="1" applyFill="1" applyBorder="1" applyAlignment="1" applyProtection="1">
      <alignment vertical="center"/>
      <protection locked="0"/>
    </xf>
    <xf numFmtId="37" fontId="5" fillId="4" borderId="11" xfId="26" applyNumberFormat="1" applyFont="1" applyFill="1" applyBorder="1" applyAlignment="1" applyProtection="1">
      <alignment horizontal="right" vertical="center"/>
    </xf>
    <xf numFmtId="3" fontId="4" fillId="6" borderId="9" xfId="26" applyNumberFormat="1" applyFont="1" applyFill="1" applyBorder="1" applyAlignment="1" applyProtection="1">
      <alignment vertical="center"/>
    </xf>
    <xf numFmtId="3" fontId="4" fillId="6" borderId="1" xfId="26" applyNumberFormat="1" applyFont="1" applyFill="1" applyBorder="1" applyAlignment="1" applyProtection="1">
      <alignment vertical="center"/>
    </xf>
    <xf numFmtId="176" fontId="9" fillId="4" borderId="18" xfId="26" applyNumberFormat="1" applyFont="1" applyFill="1" applyBorder="1" applyAlignment="1" applyProtection="1">
      <alignment horizontal="center" vertical="center"/>
    </xf>
    <xf numFmtId="0" fontId="9" fillId="4" borderId="0" xfId="26" applyFont="1" applyFill="1" applyBorder="1" applyAlignment="1" applyProtection="1">
      <alignment horizontal="left" vertical="center"/>
    </xf>
    <xf numFmtId="0" fontId="9" fillId="4" borderId="11" xfId="26" applyFont="1" applyFill="1" applyBorder="1" applyAlignment="1" applyProtection="1">
      <alignment vertical="center"/>
    </xf>
    <xf numFmtId="3" fontId="5" fillId="6" borderId="9" xfId="26" applyNumberFormat="1" applyFont="1" applyFill="1" applyBorder="1" applyAlignment="1" applyProtection="1">
      <alignment vertical="center"/>
    </xf>
    <xf numFmtId="0" fontId="3" fillId="0" borderId="0" xfId="26"/>
    <xf numFmtId="0" fontId="5" fillId="4" borderId="0" xfId="26" applyFont="1" applyFill="1" applyAlignment="1" applyProtection="1">
      <alignment horizontal="right" vertical="center"/>
    </xf>
    <xf numFmtId="0" fontId="14" fillId="0" borderId="0" xfId="26" applyFont="1" applyAlignment="1" applyProtection="1">
      <alignment vertical="center"/>
    </xf>
    <xf numFmtId="176" fontId="9" fillId="4" borderId="12" xfId="26" applyNumberFormat="1" applyFont="1" applyFill="1" applyBorder="1" applyAlignment="1" applyProtection="1">
      <alignment horizontal="center" vertical="center"/>
    </xf>
    <xf numFmtId="0" fontId="60" fillId="0" borderId="0" xfId="26" applyFont="1" applyProtection="1">
      <protection locked="0"/>
    </xf>
    <xf numFmtId="0" fontId="46" fillId="0" borderId="0" xfId="26" applyFont="1" applyAlignment="1" applyProtection="1">
      <alignment vertical="center"/>
    </xf>
    <xf numFmtId="0" fontId="54" fillId="4" borderId="0" xfId="26" applyFont="1" applyFill="1" applyAlignment="1" applyProtection="1">
      <alignment horizontal="center" vertical="center"/>
    </xf>
    <xf numFmtId="176" fontId="9" fillId="4" borderId="18" xfId="26" applyNumberFormat="1" applyFont="1" applyFill="1" applyBorder="1" applyAlignment="1" applyProtection="1">
      <alignment vertical="center"/>
    </xf>
    <xf numFmtId="0" fontId="15" fillId="4" borderId="0" xfId="26" applyFont="1" applyFill="1" applyAlignment="1" applyProtection="1">
      <alignment horizontal="center" vertical="center"/>
    </xf>
    <xf numFmtId="3" fontId="5" fillId="6" borderId="1" xfId="26" applyNumberFormat="1" applyFont="1" applyFill="1" applyBorder="1" applyAlignment="1" applyProtection="1">
      <alignment vertical="center"/>
    </xf>
    <xf numFmtId="178" fontId="5" fillId="4" borderId="0" xfId="50" applyNumberFormat="1" applyFont="1" applyFill="1" applyAlignment="1">
      <alignment horizontal="center" vertical="center"/>
    </xf>
    <xf numFmtId="176" fontId="9" fillId="7" borderId="12" xfId="26" applyNumberFormat="1" applyFont="1" applyFill="1" applyBorder="1" applyAlignment="1" applyProtection="1">
      <alignment horizontal="center" vertical="center"/>
    </xf>
    <xf numFmtId="0" fontId="9" fillId="7" borderId="2" xfId="26" applyFont="1" applyFill="1" applyBorder="1" applyAlignment="1" applyProtection="1">
      <alignment vertical="center"/>
    </xf>
    <xf numFmtId="0" fontId="9" fillId="7" borderId="5" xfId="26" applyFont="1" applyFill="1" applyBorder="1" applyAlignment="1" applyProtection="1">
      <alignment vertical="center"/>
    </xf>
    <xf numFmtId="37" fontId="5" fillId="7" borderId="5" xfId="26" applyNumberFormat="1" applyFont="1" applyFill="1" applyBorder="1" applyAlignment="1" applyProtection="1">
      <alignment horizontal="right" vertical="center"/>
    </xf>
    <xf numFmtId="0" fontId="5" fillId="4" borderId="0" xfId="14" applyNumberFormat="1" applyFont="1" applyFill="1" applyBorder="1" applyAlignment="1" applyProtection="1">
      <alignment horizontal="right" vertical="center"/>
    </xf>
    <xf numFmtId="3" fontId="5" fillId="7" borderId="13" xfId="26" applyNumberFormat="1" applyFont="1" applyFill="1" applyBorder="1" applyAlignment="1" applyProtection="1">
      <alignment vertical="center"/>
    </xf>
    <xf numFmtId="173" fontId="5" fillId="4" borderId="0" xfId="26" applyNumberFormat="1" applyFont="1" applyFill="1" applyBorder="1" applyAlignment="1" applyProtection="1">
      <alignment vertical="center"/>
    </xf>
    <xf numFmtId="173" fontId="9" fillId="4" borderId="18" xfId="26" applyNumberFormat="1" applyFont="1" applyFill="1" applyBorder="1" applyAlignment="1" applyProtection="1">
      <alignment horizontal="center" vertical="center"/>
    </xf>
    <xf numFmtId="0" fontId="38" fillId="4" borderId="0" xfId="26" applyFont="1" applyFill="1" applyBorder="1" applyAlignment="1" applyProtection="1">
      <alignment horizontal="center" vertical="center"/>
    </xf>
    <xf numFmtId="0" fontId="3" fillId="4" borderId="11" xfId="26" applyFill="1" applyBorder="1" applyAlignment="1" applyProtection="1">
      <alignment vertical="center"/>
    </xf>
    <xf numFmtId="173" fontId="9" fillId="7" borderId="12" xfId="26" applyNumberFormat="1" applyFont="1" applyFill="1" applyBorder="1" applyAlignment="1" applyProtection="1">
      <alignment horizontal="center" vertical="center"/>
    </xf>
    <xf numFmtId="173" fontId="9" fillId="4" borderId="9" xfId="26" applyNumberFormat="1" applyFont="1" applyFill="1" applyBorder="1" applyAlignment="1" applyProtection="1">
      <alignment horizontal="center" vertical="center"/>
    </xf>
    <xf numFmtId="37" fontId="4" fillId="4" borderId="0" xfId="26" applyNumberFormat="1" applyFont="1" applyFill="1" applyBorder="1" applyAlignment="1" applyProtection="1">
      <alignment vertical="center"/>
    </xf>
    <xf numFmtId="173" fontId="9" fillId="7" borderId="9" xfId="26" applyNumberFormat="1" applyFont="1" applyFill="1" applyBorder="1" applyAlignment="1" applyProtection="1">
      <alignment horizontal="center" vertical="center"/>
    </xf>
    <xf numFmtId="0" fontId="9" fillId="4" borderId="2" xfId="26" applyFont="1" applyFill="1" applyBorder="1" applyAlignment="1" applyProtection="1">
      <alignment horizontal="left" vertical="center"/>
    </xf>
    <xf numFmtId="0" fontId="38" fillId="4" borderId="2" xfId="26" applyFont="1" applyFill="1" applyBorder="1" applyAlignment="1" applyProtection="1">
      <alignment horizontal="center" vertical="center"/>
    </xf>
    <xf numFmtId="0" fontId="3" fillId="4" borderId="5" xfId="26" applyFill="1" applyBorder="1" applyAlignment="1" applyProtection="1">
      <alignment vertical="center"/>
    </xf>
    <xf numFmtId="37" fontId="5" fillId="4" borderId="12" xfId="26" applyNumberFormat="1" applyFont="1" applyFill="1" applyBorder="1" applyAlignment="1" applyProtection="1">
      <alignment horizontal="left" vertical="center"/>
    </xf>
    <xf numFmtId="3" fontId="5" fillId="3" borderId="1" xfId="26" applyNumberFormat="1" applyFont="1" applyFill="1" applyBorder="1" applyAlignment="1" applyProtection="1">
      <alignment horizontal="right" vertical="center"/>
      <protection locked="0"/>
    </xf>
    <xf numFmtId="0" fontId="5" fillId="4" borderId="18" xfId="26" applyFont="1" applyFill="1" applyBorder="1" applyAlignment="1" applyProtection="1">
      <alignment vertical="center"/>
    </xf>
    <xf numFmtId="0" fontId="5" fillId="4" borderId="11" xfId="26" applyFont="1" applyFill="1" applyBorder="1" applyProtection="1">
      <protection locked="0"/>
    </xf>
    <xf numFmtId="0" fontId="46" fillId="0" borderId="0" xfId="26" applyFont="1" applyAlignment="1" applyProtection="1">
      <alignment horizontal="right" vertical="center"/>
    </xf>
    <xf numFmtId="176" fontId="23" fillId="4" borderId="18" xfId="26" applyNumberFormat="1" applyFont="1" applyFill="1" applyBorder="1" applyAlignment="1" applyProtection="1">
      <alignment horizontal="center" vertical="center"/>
    </xf>
    <xf numFmtId="0" fontId="5" fillId="4" borderId="11" xfId="26" applyFont="1" applyFill="1" applyBorder="1" applyAlignment="1" applyProtection="1">
      <alignment vertical="center"/>
    </xf>
    <xf numFmtId="176" fontId="23" fillId="4" borderId="18" xfId="26" applyNumberFormat="1" applyFont="1" applyFill="1" applyBorder="1" applyAlignment="1" applyProtection="1">
      <alignment vertical="center"/>
    </xf>
    <xf numFmtId="0" fontId="23" fillId="4" borderId="0" xfId="26" applyFont="1" applyFill="1" applyBorder="1" applyAlignment="1" applyProtection="1">
      <alignment vertical="center"/>
    </xf>
    <xf numFmtId="0" fontId="5" fillId="7" borderId="5" xfId="26" applyFont="1" applyFill="1" applyBorder="1" applyAlignment="1" applyProtection="1">
      <alignment vertical="center"/>
    </xf>
    <xf numFmtId="0" fontId="5" fillId="7" borderId="5" xfId="26" applyFont="1" applyFill="1" applyBorder="1" applyProtection="1">
      <protection locked="0"/>
    </xf>
    <xf numFmtId="0" fontId="60" fillId="0" borderId="0" xfId="26" applyFont="1"/>
    <xf numFmtId="37" fontId="5" fillId="3" borderId="0" xfId="26" applyNumberFormat="1" applyFont="1" applyFill="1" applyAlignment="1" applyProtection="1">
      <alignment horizontal="left" vertical="center"/>
      <protection locked="0"/>
    </xf>
    <xf numFmtId="173" fontId="9" fillId="0" borderId="0" xfId="14" applyNumberFormat="1" applyFont="1" applyFill="1" applyBorder="1" applyAlignment="1" applyProtection="1">
      <alignment horizontal="center" vertical="center"/>
    </xf>
    <xf numFmtId="0" fontId="5" fillId="0" borderId="0" xfId="26" applyFont="1" applyAlignment="1" applyProtection="1">
      <alignment vertical="center"/>
      <protection locked="0"/>
    </xf>
    <xf numFmtId="0" fontId="54" fillId="0" borderId="0" xfId="26" applyFont="1" applyProtection="1">
      <protection locked="0"/>
    </xf>
    <xf numFmtId="0" fontId="54" fillId="0" borderId="0" xfId="50" applyFont="1" applyAlignment="1" applyProtection="1">
      <alignment vertical="center"/>
      <protection locked="0"/>
    </xf>
    <xf numFmtId="0" fontId="9" fillId="7" borderId="0" xfId="0" applyFont="1" applyFill="1" applyBorder="1" applyAlignment="1" applyProtection="1">
      <alignment vertical="center"/>
    </xf>
    <xf numFmtId="0" fontId="38" fillId="4" borderId="0" xfId="0" applyFont="1" applyFill="1" applyBorder="1" applyAlignment="1" applyProtection="1">
      <alignment horizontal="center" vertical="center"/>
    </xf>
    <xf numFmtId="178" fontId="5" fillId="4" borderId="0" xfId="24" applyNumberFormat="1" applyFont="1" applyFill="1" applyBorder="1" applyAlignment="1">
      <alignment horizontal="center" vertical="center"/>
    </xf>
    <xf numFmtId="0" fontId="39" fillId="4" borderId="4" xfId="0" applyFont="1" applyFill="1" applyBorder="1" applyAlignment="1" applyProtection="1">
      <alignment horizontal="center" vertical="center"/>
    </xf>
    <xf numFmtId="0" fontId="39" fillId="7" borderId="18" xfId="0" applyFont="1" applyFill="1" applyBorder="1" applyAlignment="1" applyProtection="1">
      <alignment vertical="center"/>
    </xf>
    <xf numFmtId="176" fontId="39" fillId="7" borderId="4" xfId="0" applyNumberFormat="1" applyFont="1" applyFill="1" applyBorder="1" applyAlignment="1" applyProtection="1">
      <alignment horizontal="center" vertical="center"/>
    </xf>
    <xf numFmtId="37" fontId="9" fillId="4" borderId="12" xfId="0" applyNumberFormat="1" applyFont="1" applyFill="1" applyBorder="1" applyAlignment="1" applyProtection="1">
      <alignment horizontal="left" vertical="center"/>
    </xf>
    <xf numFmtId="0" fontId="44" fillId="4" borderId="2" xfId="0" applyFont="1" applyFill="1" applyBorder="1" applyAlignment="1">
      <alignment horizontal="left" vertical="center"/>
    </xf>
    <xf numFmtId="176" fontId="39" fillId="7" borderId="5" xfId="0" applyNumberFormat="1" applyFont="1" applyFill="1" applyBorder="1" applyAlignment="1" applyProtection="1">
      <alignment horizontal="center" vertical="center"/>
      <protection locked="0"/>
    </xf>
    <xf numFmtId="0" fontId="60" fillId="0" borderId="0" xfId="0" applyFont="1" applyProtection="1">
      <protection locked="0"/>
    </xf>
    <xf numFmtId="173" fontId="9" fillId="4" borderId="18" xfId="0" applyNumberFormat="1" applyFont="1" applyFill="1" applyBorder="1" applyAlignment="1" applyProtection="1">
      <alignment horizontal="center" vertical="center"/>
    </xf>
    <xf numFmtId="0" fontId="0" fillId="4" borderId="11" xfId="0" applyFill="1" applyBorder="1" applyAlignment="1" applyProtection="1">
      <alignment vertical="center"/>
    </xf>
    <xf numFmtId="173" fontId="9" fillId="7" borderId="12" xfId="0" applyNumberFormat="1" applyFont="1" applyFill="1" applyBorder="1" applyAlignment="1" applyProtection="1">
      <alignment horizontal="center" vertical="center"/>
    </xf>
    <xf numFmtId="173" fontId="9" fillId="4" borderId="9" xfId="0" applyNumberFormat="1" applyFont="1" applyFill="1" applyBorder="1" applyAlignment="1" applyProtection="1">
      <alignment horizontal="center" vertical="center"/>
    </xf>
    <xf numFmtId="173" fontId="9" fillId="7" borderId="9" xfId="0" applyNumberFormat="1" applyFont="1" applyFill="1" applyBorder="1" applyAlignment="1" applyProtection="1">
      <alignment horizontal="center" vertical="center"/>
    </xf>
    <xf numFmtId="0" fontId="9" fillId="4" borderId="2" xfId="0" applyFont="1" applyFill="1" applyBorder="1" applyAlignment="1" applyProtection="1">
      <alignment horizontal="left" vertical="center"/>
    </xf>
    <xf numFmtId="0" fontId="38" fillId="4" borderId="2" xfId="0" applyFont="1" applyFill="1" applyBorder="1" applyAlignment="1" applyProtection="1">
      <alignment horizontal="center" vertical="center"/>
    </xf>
    <xf numFmtId="0" fontId="0" fillId="4" borderId="5" xfId="0" applyFill="1" applyBorder="1" applyAlignment="1" applyProtection="1">
      <alignment vertical="center"/>
    </xf>
    <xf numFmtId="0" fontId="45" fillId="0" borderId="0" xfId="0" applyFont="1" applyAlignment="1" applyProtection="1">
      <alignment vertical="center"/>
    </xf>
    <xf numFmtId="38" fontId="5" fillId="4" borderId="1" xfId="0" applyNumberFormat="1" applyFont="1" applyFill="1" applyBorder="1" applyAlignment="1" applyProtection="1">
      <alignment vertical="center"/>
    </xf>
    <xf numFmtId="37" fontId="5" fillId="0" borderId="0" xfId="26" applyNumberFormat="1" applyFont="1" applyFill="1" applyAlignment="1" applyProtection="1">
      <alignment horizontal="left" vertical="center" wrapText="1"/>
    </xf>
    <xf numFmtId="0" fontId="5" fillId="0" borderId="0" xfId="24" applyFont="1" applyAlignment="1">
      <alignment vertical="center" wrapText="1"/>
    </xf>
    <xf numFmtId="0" fontId="5" fillId="0" borderId="0" xfId="26" applyFont="1" applyAlignment="1">
      <alignment vertical="center" wrapText="1"/>
    </xf>
    <xf numFmtId="0" fontId="5" fillId="0" borderId="0" xfId="72" applyFont="1" applyAlignment="1">
      <alignment vertical="center" wrapText="1"/>
    </xf>
    <xf numFmtId="0" fontId="5" fillId="0" borderId="0" xfId="24" applyFont="1" applyAlignment="1">
      <alignment vertical="center"/>
    </xf>
    <xf numFmtId="0" fontId="30" fillId="4" borderId="0" xfId="15" applyFill="1" applyAlignment="1" applyProtection="1"/>
    <xf numFmtId="0" fontId="63" fillId="4" borderId="0" xfId="386" applyFill="1"/>
    <xf numFmtId="0" fontId="5" fillId="0" borderId="0" xfId="158" applyFont="1" applyAlignment="1">
      <alignment vertical="center"/>
    </xf>
    <xf numFmtId="0" fontId="61" fillId="4" borderId="4" xfId="158" applyFont="1" applyFill="1" applyBorder="1" applyAlignment="1">
      <alignment horizontal="center" vertical="center"/>
    </xf>
    <xf numFmtId="0" fontId="4" fillId="4" borderId="3" xfId="158" applyFont="1" applyFill="1" applyBorder="1" applyAlignment="1">
      <alignment horizontal="centerContinuous" vertical="center"/>
    </xf>
    <xf numFmtId="0" fontId="5" fillId="0" borderId="0" xfId="83" applyFont="1" applyAlignment="1">
      <alignment vertical="center"/>
    </xf>
    <xf numFmtId="0" fontId="5" fillId="0" borderId="0" xfId="158" applyFont="1" applyAlignment="1">
      <alignment wrapText="1"/>
    </xf>
    <xf numFmtId="37" fontId="5" fillId="3" borderId="1" xfId="0" applyNumberFormat="1" applyFont="1" applyFill="1" applyBorder="1" applyAlignment="1" applyProtection="1">
      <alignment horizontal="left" vertical="center"/>
      <protection locked="0"/>
    </xf>
    <xf numFmtId="37" fontId="5" fillId="2" borderId="7" xfId="0" applyNumberFormat="1" applyFont="1" applyFill="1" applyBorder="1" applyAlignment="1" applyProtection="1">
      <alignment vertical="center"/>
      <protection locked="0"/>
    </xf>
    <xf numFmtId="3" fontId="5" fillId="2" borderId="7" xfId="0" applyNumberFormat="1" applyFont="1" applyFill="1" applyBorder="1" applyProtection="1">
      <protection locked="0"/>
    </xf>
    <xf numFmtId="37" fontId="5" fillId="3" borderId="1" xfId="0" applyNumberFormat="1" applyFont="1" applyFill="1" applyBorder="1" applyProtection="1">
      <protection locked="0"/>
    </xf>
    <xf numFmtId="171" fontId="5" fillId="3" borderId="1" xfId="0" applyNumberFormat="1" applyFont="1" applyFill="1" applyBorder="1" applyProtection="1">
      <protection locked="0"/>
    </xf>
    <xf numFmtId="171" fontId="5" fillId="3" borderId="6" xfId="0" applyNumberFormat="1" applyFont="1" applyFill="1" applyBorder="1" applyProtection="1">
      <protection locked="0"/>
    </xf>
    <xf numFmtId="49" fontId="5" fillId="3" borderId="1" xfId="459" applyNumberFormat="1" applyFont="1" applyFill="1" applyBorder="1" applyAlignment="1" applyProtection="1">
      <alignment horizontal="left" vertical="center"/>
      <protection locked="0"/>
    </xf>
    <xf numFmtId="49" fontId="5" fillId="3" borderId="1" xfId="0" applyNumberFormat="1" applyFont="1" applyFill="1" applyBorder="1" applyAlignment="1" applyProtection="1">
      <alignment horizontal="left" vertical="center"/>
      <protection locked="0"/>
    </xf>
    <xf numFmtId="0" fontId="5" fillId="3" borderId="9" xfId="0" applyFont="1" applyFill="1" applyBorder="1" applyAlignment="1" applyProtection="1">
      <alignment horizontal="left" vertical="center"/>
      <protection locked="0"/>
    </xf>
    <xf numFmtId="0" fontId="5" fillId="3" borderId="3" xfId="0" applyFont="1" applyFill="1" applyBorder="1" applyAlignment="1" applyProtection="1">
      <alignment horizontal="left" vertical="center"/>
      <protection locked="0"/>
    </xf>
    <xf numFmtId="0" fontId="0" fillId="3" borderId="4" xfId="0" applyFill="1" applyBorder="1" applyAlignment="1" applyProtection="1">
      <alignment horizontal="left" vertical="center"/>
      <protection locked="0"/>
    </xf>
    <xf numFmtId="3" fontId="5" fillId="4" borderId="1" xfId="0" applyNumberFormat="1" applyFont="1" applyFill="1" applyBorder="1" applyAlignment="1" applyProtection="1">
      <alignment horizontal="right" vertical="center"/>
    </xf>
    <xf numFmtId="3" fontId="5" fillId="4" borderId="0" xfId="26" applyNumberFormat="1" applyFont="1" applyFill="1" applyAlignment="1" applyProtection="1">
      <alignment horizontal="right" vertical="center"/>
    </xf>
    <xf numFmtId="3" fontId="5" fillId="4" borderId="1" xfId="26" applyNumberFormat="1" applyFont="1" applyFill="1" applyBorder="1" applyAlignment="1" applyProtection="1">
      <alignment horizontal="right" vertical="center"/>
    </xf>
    <xf numFmtId="0" fontId="5" fillId="4" borderId="0" xfId="26" applyFont="1" applyFill="1" applyAlignment="1" applyProtection="1">
      <alignment horizontal="left" vertical="center"/>
    </xf>
    <xf numFmtId="3" fontId="5" fillId="4" borderId="6" xfId="0" applyNumberFormat="1" applyFont="1" applyFill="1" applyBorder="1" applyAlignment="1" applyProtection="1">
      <alignment horizontal="right" vertical="center"/>
    </xf>
    <xf numFmtId="3" fontId="15" fillId="4" borderId="17" xfId="0" applyNumberFormat="1" applyFont="1" applyFill="1" applyBorder="1" applyAlignment="1" applyProtection="1">
      <alignment horizontal="center" vertical="center"/>
    </xf>
    <xf numFmtId="0" fontId="15" fillId="4" borderId="17" xfId="0" applyFont="1" applyFill="1" applyBorder="1" applyAlignment="1" applyProtection="1">
      <alignment horizontal="center" vertical="center"/>
    </xf>
    <xf numFmtId="0" fontId="5" fillId="0" borderId="0" xfId="26" applyFont="1" applyAlignment="1">
      <alignment horizontal="left" vertical="center"/>
    </xf>
    <xf numFmtId="3" fontId="5" fillId="4" borderId="2" xfId="0" applyNumberFormat="1" applyFont="1" applyFill="1" applyBorder="1" applyAlignment="1" applyProtection="1">
      <alignment vertical="center"/>
    </xf>
    <xf numFmtId="0" fontId="5" fillId="4" borderId="17" xfId="0" applyFont="1" applyFill="1" applyBorder="1" applyAlignment="1" applyProtection="1">
      <alignment vertical="center"/>
    </xf>
    <xf numFmtId="167" fontId="5" fillId="4" borderId="2" xfId="0" applyNumberFormat="1" applyFont="1" applyFill="1" applyBorder="1" applyAlignment="1" applyProtection="1">
      <alignment vertical="center"/>
    </xf>
    <xf numFmtId="0" fontId="5" fillId="4" borderId="0" xfId="0" quotePrefix="1" applyFont="1" applyFill="1" applyBorder="1" applyAlignment="1" applyProtection="1">
      <alignment vertical="center"/>
    </xf>
    <xf numFmtId="3" fontId="5" fillId="4" borderId="31" xfId="0" applyNumberFormat="1" applyFont="1" applyFill="1" applyBorder="1" applyAlignment="1" applyProtection="1">
      <alignment vertical="center"/>
    </xf>
    <xf numFmtId="37" fontId="5" fillId="4" borderId="3" xfId="0" applyNumberFormat="1" applyFont="1" applyFill="1" applyBorder="1" applyAlignment="1" applyProtection="1">
      <alignment horizontal="left" vertical="center"/>
    </xf>
    <xf numFmtId="164" fontId="5" fillId="4" borderId="3" xfId="0" applyNumberFormat="1" applyFont="1" applyFill="1" applyBorder="1" applyAlignment="1" applyProtection="1">
      <alignment horizontal="center" vertical="center"/>
    </xf>
    <xf numFmtId="164" fontId="5" fillId="4" borderId="10" xfId="0" applyNumberFormat="1" applyFont="1" applyFill="1" applyBorder="1" applyAlignment="1" applyProtection="1">
      <alignment horizontal="center" vertical="center"/>
    </xf>
    <xf numFmtId="37" fontId="5" fillId="4" borderId="16" xfId="0" applyNumberFormat="1" applyFont="1" applyFill="1" applyBorder="1" applyAlignment="1" applyProtection="1">
      <alignment horizontal="left" vertical="center"/>
    </xf>
    <xf numFmtId="0" fontId="7" fillId="4" borderId="0" xfId="26" applyFont="1" applyFill="1" applyAlignment="1" applyProtection="1">
      <alignment horizontal="center" vertical="center"/>
    </xf>
    <xf numFmtId="3" fontId="5" fillId="4" borderId="0" xfId="26" applyNumberFormat="1" applyFont="1" applyFill="1" applyAlignment="1" applyProtection="1">
      <alignment vertical="center"/>
    </xf>
    <xf numFmtId="3" fontId="5" fillId="4" borderId="2" xfId="26" applyNumberFormat="1" applyFont="1" applyFill="1" applyBorder="1" applyAlignment="1" applyProtection="1">
      <alignment vertical="center"/>
    </xf>
    <xf numFmtId="3" fontId="5" fillId="4" borderId="0" xfId="26" applyNumberFormat="1" applyFont="1" applyFill="1" applyBorder="1" applyAlignment="1" applyProtection="1">
      <alignment vertical="center"/>
    </xf>
    <xf numFmtId="0" fontId="5" fillId="13" borderId="0" xfId="26" applyFont="1" applyFill="1" applyAlignment="1" applyProtection="1">
      <alignment vertical="center"/>
    </xf>
    <xf numFmtId="0" fontId="5" fillId="4" borderId="0" xfId="26" quotePrefix="1" applyFont="1" applyFill="1" applyAlignment="1" applyProtection="1">
      <alignment vertical="center"/>
    </xf>
    <xf numFmtId="3" fontId="5" fillId="4" borderId="31" xfId="26" applyNumberFormat="1" applyFont="1" applyFill="1" applyBorder="1" applyAlignment="1" applyProtection="1">
      <alignment vertical="center"/>
    </xf>
    <xf numFmtId="0" fontId="5" fillId="4" borderId="0" xfId="26" quotePrefix="1" applyFont="1" applyFill="1" applyAlignment="1" applyProtection="1">
      <alignment horizontal="left" vertical="center"/>
    </xf>
    <xf numFmtId="10" fontId="5" fillId="4" borderId="2" xfId="26" applyNumberFormat="1" applyFont="1" applyFill="1" applyBorder="1" applyAlignment="1" applyProtection="1">
      <alignment vertical="center"/>
    </xf>
    <xf numFmtId="10" fontId="5" fillId="4" borderId="0" xfId="26" applyNumberFormat="1" applyFont="1" applyFill="1" applyBorder="1" applyAlignment="1" applyProtection="1">
      <alignment vertical="center"/>
    </xf>
    <xf numFmtId="0" fontId="7" fillId="4" borderId="0" xfId="26" applyFont="1" applyFill="1" applyAlignment="1" applyProtection="1">
      <alignment horizontal="left" vertical="center"/>
    </xf>
    <xf numFmtId="0" fontId="5" fillId="7" borderId="1" xfId="26" applyFont="1" applyFill="1" applyBorder="1" applyAlignment="1">
      <alignment horizontal="left" vertical="center" shrinkToFit="1"/>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39" fillId="13" borderId="1" xfId="160" applyFont="1" applyFill="1" applyBorder="1" applyAlignment="1">
      <alignment horizontal="left" vertical="center"/>
    </xf>
    <xf numFmtId="0" fontId="63" fillId="14" borderId="0" xfId="369" applyFill="1" applyBorder="1"/>
    <xf numFmtId="0" fontId="63" fillId="14" borderId="0" xfId="369" applyFill="1" applyBorder="1" applyAlignment="1">
      <alignment horizontal="left" vertical="center"/>
    </xf>
    <xf numFmtId="0" fontId="63" fillId="14" borderId="0" xfId="369" applyFill="1" applyBorder="1" applyAlignment="1">
      <alignment horizontal="center" vertical="center"/>
    </xf>
    <xf numFmtId="0" fontId="62" fillId="0" borderId="0" xfId="26" applyFont="1"/>
    <xf numFmtId="0" fontId="63" fillId="14" borderId="0" xfId="369" applyFill="1"/>
    <xf numFmtId="0" fontId="64" fillId="14" borderId="0" xfId="369" applyFont="1" applyFill="1" applyBorder="1"/>
    <xf numFmtId="0" fontId="64" fillId="14" borderId="23" xfId="369" applyFont="1" applyFill="1" applyBorder="1"/>
    <xf numFmtId="0" fontId="64" fillId="14" borderId="27" xfId="369" applyFont="1" applyFill="1" applyBorder="1"/>
    <xf numFmtId="0" fontId="64" fillId="14" borderId="24" xfId="369" applyFont="1" applyFill="1" applyBorder="1"/>
    <xf numFmtId="0" fontId="64" fillId="14" borderId="25" xfId="369" applyFont="1" applyFill="1" applyBorder="1"/>
    <xf numFmtId="0" fontId="64" fillId="14" borderId="0" xfId="369" applyFont="1" applyFill="1" applyBorder="1" applyAlignment="1">
      <alignment horizontal="center"/>
    </xf>
    <xf numFmtId="0" fontId="64" fillId="14" borderId="0" xfId="369" applyFont="1" applyFill="1" applyBorder="1" applyAlignment="1">
      <alignment horizontal="right"/>
    </xf>
    <xf numFmtId="0" fontId="64" fillId="14" borderId="26" xfId="369" applyFont="1" applyFill="1" applyBorder="1"/>
    <xf numFmtId="3" fontId="64" fillId="14" borderId="2" xfId="369" applyNumberFormat="1" applyFont="1" applyFill="1" applyBorder="1"/>
    <xf numFmtId="3" fontId="64" fillId="14" borderId="3" xfId="369" applyNumberFormat="1" applyFont="1" applyFill="1" applyBorder="1"/>
    <xf numFmtId="0" fontId="64" fillId="14" borderId="2" xfId="369" applyFont="1" applyFill="1" applyBorder="1" applyAlignment="1" applyProtection="1">
      <alignment horizontal="center"/>
      <protection locked="0"/>
    </xf>
    <xf numFmtId="0" fontId="64" fillId="14" borderId="32" xfId="369" applyFont="1" applyFill="1" applyBorder="1" applyAlignment="1" applyProtection="1">
      <alignment horizontal="center"/>
      <protection locked="0"/>
    </xf>
    <xf numFmtId="0" fontId="5" fillId="0" borderId="0" xfId="26" applyFont="1" applyAlignment="1">
      <alignment vertical="center"/>
    </xf>
    <xf numFmtId="0" fontId="11" fillId="3" borderId="2" xfId="13" applyFill="1" applyBorder="1" applyAlignment="1" applyProtection="1">
      <alignment vertical="center"/>
      <protection locked="0"/>
    </xf>
    <xf numFmtId="37" fontId="5" fillId="5" borderId="0" xfId="0" applyNumberFormat="1" applyFont="1" applyFill="1" applyBorder="1" applyAlignment="1" applyProtection="1">
      <alignment horizontal="center" vertical="center" wrapText="1"/>
    </xf>
    <xf numFmtId="0" fontId="0" fillId="5" borderId="2" xfId="0" applyFill="1" applyBorder="1" applyAlignment="1">
      <alignment vertical="center" wrapText="1"/>
    </xf>
    <xf numFmtId="37" fontId="15" fillId="4" borderId="0" xfId="0" applyNumberFormat="1" applyFont="1" applyFill="1" applyAlignment="1" applyProtection="1">
      <alignment horizontal="center" vertical="center"/>
    </xf>
    <xf numFmtId="0" fontId="16" fillId="0" borderId="0" xfId="0" applyFont="1" applyAlignment="1">
      <alignment horizontal="center" vertical="center"/>
    </xf>
    <xf numFmtId="0" fontId="5" fillId="4"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0" fontId="4" fillId="9" borderId="0" xfId="0" applyFont="1" applyFill="1" applyBorder="1" applyAlignment="1">
      <alignment horizontal="center"/>
    </xf>
    <xf numFmtId="0" fontId="17" fillId="9" borderId="0" xfId="0" applyFont="1" applyFill="1" applyBorder="1" applyAlignment="1">
      <alignment horizontal="center"/>
    </xf>
    <xf numFmtId="0" fontId="14" fillId="4" borderId="0" xfId="0" applyFont="1" applyFill="1" applyBorder="1" applyAlignment="1"/>
    <xf numFmtId="0" fontId="18" fillId="0" borderId="0" xfId="0" applyFont="1" applyAlignment="1"/>
    <xf numFmtId="37" fontId="5" fillId="10" borderId="0" xfId="0" applyNumberFormat="1" applyFont="1" applyFill="1" applyBorder="1" applyAlignment="1" applyProtection="1">
      <alignment horizontal="left" wrapText="1"/>
    </xf>
    <xf numFmtId="0" fontId="0" fillId="0" borderId="0" xfId="0" applyAlignment="1">
      <alignment wrapText="1"/>
    </xf>
    <xf numFmtId="37" fontId="15" fillId="4" borderId="0" xfId="0" applyNumberFormat="1" applyFont="1" applyFill="1" applyAlignment="1" applyProtection="1">
      <alignment horizontal="center" vertical="justify"/>
    </xf>
    <xf numFmtId="0" fontId="16" fillId="0" borderId="0" xfId="0" applyFont="1" applyAlignment="1">
      <alignment horizontal="center" vertical="justify"/>
    </xf>
    <xf numFmtId="37" fontId="16" fillId="4" borderId="0" xfId="0" applyNumberFormat="1" applyFont="1" applyFill="1" applyBorder="1" applyAlignment="1" applyProtection="1">
      <alignment horizontal="center"/>
    </xf>
    <xf numFmtId="0" fontId="5" fillId="0" borderId="0" xfId="0" applyFont="1" applyAlignment="1">
      <alignment horizontal="center"/>
    </xf>
    <xf numFmtId="0" fontId="4" fillId="9" borderId="0" xfId="0" applyFont="1" applyFill="1" applyAlignment="1" applyProtection="1">
      <alignment horizontal="center"/>
    </xf>
    <xf numFmtId="0" fontId="0" fillId="0" borderId="0" xfId="0" applyAlignment="1">
      <alignment horizontal="center"/>
    </xf>
    <xf numFmtId="0" fontId="5" fillId="7" borderId="17" xfId="0" applyFont="1" applyFill="1" applyBorder="1" applyAlignment="1" applyProtection="1">
      <alignment wrapText="1"/>
    </xf>
    <xf numFmtId="0" fontId="0" fillId="0" borderId="17" xfId="0" applyBorder="1" applyAlignment="1">
      <alignment wrapText="1"/>
    </xf>
    <xf numFmtId="0" fontId="5" fillId="0" borderId="0" xfId="0" applyFont="1" applyAlignment="1">
      <alignment horizontal="left" vertical="center" wrapText="1"/>
    </xf>
    <xf numFmtId="0" fontId="0" fillId="0" borderId="0" xfId="0" applyAlignment="1">
      <alignment horizontal="left" vertical="center" wrapText="1"/>
    </xf>
    <xf numFmtId="0" fontId="16" fillId="0" borderId="0" xfId="0" applyFont="1" applyAlignment="1">
      <alignment horizontal="left" vertical="center"/>
    </xf>
    <xf numFmtId="37" fontId="5" fillId="4" borderId="0" xfId="0" applyNumberFormat="1" applyFont="1" applyFill="1" applyBorder="1" applyAlignment="1" applyProtection="1">
      <alignment horizontal="center" vertical="center"/>
    </xf>
    <xf numFmtId="0" fontId="0" fillId="0" borderId="0" xfId="0" applyAlignment="1">
      <alignment vertical="center"/>
    </xf>
    <xf numFmtId="3" fontId="5" fillId="6" borderId="9" xfId="0" applyNumberFormat="1" applyFont="1" applyFill="1" applyBorder="1" applyAlignment="1" applyProtection="1">
      <alignment horizontal="right" vertical="center"/>
      <protection locked="0"/>
    </xf>
    <xf numFmtId="0" fontId="0" fillId="6" borderId="4" xfId="0" applyFill="1" applyBorder="1" applyAlignment="1">
      <alignment horizontal="right" vertical="center"/>
    </xf>
    <xf numFmtId="3" fontId="5" fillId="3" borderId="9" xfId="0" applyNumberFormat="1" applyFont="1" applyFill="1" applyBorder="1" applyAlignment="1" applyProtection="1">
      <alignment horizontal="right" vertical="center"/>
      <protection locked="0"/>
    </xf>
    <xf numFmtId="0" fontId="0" fillId="0" borderId="4" xfId="0" applyBorder="1" applyAlignment="1" applyProtection="1">
      <alignment horizontal="right" vertical="center"/>
      <protection locked="0"/>
    </xf>
    <xf numFmtId="0" fontId="5" fillId="4" borderId="0" xfId="0" applyFont="1" applyFill="1" applyBorder="1" applyAlignment="1" applyProtection="1">
      <alignment vertical="center"/>
    </xf>
    <xf numFmtId="0" fontId="9" fillId="9" borderId="18" xfId="0" applyFont="1" applyFill="1" applyBorder="1" applyAlignment="1" applyProtection="1">
      <alignment horizontal="center" vertical="center"/>
    </xf>
    <xf numFmtId="0" fontId="0" fillId="0" borderId="11" xfId="0" applyBorder="1" applyAlignment="1" applyProtection="1">
      <alignment vertical="center"/>
    </xf>
    <xf numFmtId="3" fontId="0" fillId="0" borderId="4" xfId="0" applyNumberFormat="1" applyBorder="1" applyAlignment="1" applyProtection="1">
      <alignment horizontal="right" vertical="center"/>
      <protection locked="0"/>
    </xf>
    <xf numFmtId="0" fontId="9" fillId="9" borderId="12" xfId="0" applyFont="1" applyFill="1" applyBorder="1" applyAlignment="1" applyProtection="1">
      <alignment horizontal="center" vertical="center"/>
    </xf>
    <xf numFmtId="0" fontId="0" fillId="0" borderId="5" xfId="0" applyBorder="1" applyAlignment="1">
      <alignment vertical="center"/>
    </xf>
    <xf numFmtId="37" fontId="5" fillId="4" borderId="0" xfId="0" applyNumberFormat="1" applyFont="1" applyFill="1" applyAlignment="1" applyProtection="1">
      <alignment horizontal="center" vertical="center"/>
    </xf>
    <xf numFmtId="0" fontId="0" fillId="0" borderId="0" xfId="0" applyAlignment="1">
      <alignment horizontal="center" vertical="center"/>
    </xf>
    <xf numFmtId="37" fontId="16" fillId="4" borderId="0" xfId="0" applyNumberFormat="1" applyFont="1" applyFill="1" applyAlignment="1" applyProtection="1">
      <alignment horizontal="center" vertical="center"/>
    </xf>
    <xf numFmtId="0" fontId="4" fillId="4" borderId="0" xfId="0" applyFont="1" applyFill="1" applyAlignment="1" applyProtection="1">
      <alignment horizontal="center" vertical="center"/>
    </xf>
    <xf numFmtId="37" fontId="5" fillId="4" borderId="6" xfId="0" applyNumberFormat="1" applyFont="1" applyFill="1" applyBorder="1" applyAlignment="1" applyProtection="1">
      <alignment horizontal="center" vertical="center" wrapText="1"/>
    </xf>
    <xf numFmtId="0" fontId="0" fillId="0" borderId="8" xfId="0" applyBorder="1" applyAlignment="1" applyProtection="1">
      <alignment horizontal="center" vertical="center" wrapText="1"/>
    </xf>
    <xf numFmtId="0" fontId="0" fillId="0" borderId="7" xfId="0" applyBorder="1" applyAlignment="1" applyProtection="1">
      <alignment horizontal="center" vertical="center" wrapText="1"/>
    </xf>
    <xf numFmtId="37" fontId="5" fillId="4" borderId="9" xfId="0" applyNumberFormat="1" applyFont="1" applyFill="1" applyBorder="1" applyAlignment="1" applyProtection="1">
      <alignment horizontal="center" vertical="center"/>
    </xf>
    <xf numFmtId="0" fontId="0" fillId="0" borderId="3" xfId="0" applyBorder="1" applyAlignment="1" applyProtection="1">
      <alignment vertical="center"/>
    </xf>
    <xf numFmtId="0" fontId="0" fillId="0" borderId="4" xfId="0" applyBorder="1" applyAlignment="1" applyProtection="1">
      <alignment vertical="center"/>
    </xf>
    <xf numFmtId="0" fontId="5" fillId="4" borderId="0" xfId="0" applyFont="1" applyFill="1" applyAlignment="1" applyProtection="1">
      <alignment horizontal="center" vertical="center"/>
    </xf>
    <xf numFmtId="0" fontId="0" fillId="0" borderId="0" xfId="0" applyAlignment="1" applyProtection="1">
      <alignment vertical="center"/>
    </xf>
    <xf numFmtId="0" fontId="0" fillId="0" borderId="0" xfId="0" applyAlignment="1" applyProtection="1">
      <alignment horizontal="center" vertical="center"/>
    </xf>
    <xf numFmtId="37" fontId="4" fillId="4" borderId="0" xfId="0" applyNumberFormat="1" applyFont="1" applyFill="1" applyAlignment="1" applyProtection="1">
      <alignment horizontal="center" vertical="center"/>
    </xf>
    <xf numFmtId="0" fontId="5" fillId="4" borderId="0" xfId="26" applyFont="1" applyFill="1" applyAlignment="1">
      <alignment horizontal="center" vertical="center"/>
    </xf>
    <xf numFmtId="0" fontId="5" fillId="4" borderId="0" xfId="26" applyFont="1" applyFill="1" applyAlignment="1" applyProtection="1">
      <alignment horizontal="center" vertical="center"/>
    </xf>
    <xf numFmtId="37" fontId="4" fillId="4" borderId="0" xfId="0" applyNumberFormat="1" applyFont="1" applyFill="1" applyBorder="1" applyAlignment="1" applyProtection="1">
      <alignment horizontal="center" vertical="center"/>
    </xf>
    <xf numFmtId="0" fontId="1" fillId="0" borderId="0" xfId="0" applyFont="1" applyAlignment="1">
      <alignment horizontal="center" vertical="center"/>
    </xf>
    <xf numFmtId="37" fontId="9" fillId="4" borderId="6" xfId="0" applyNumberFormat="1" applyFont="1" applyFill="1" applyBorder="1" applyAlignment="1" applyProtection="1">
      <alignment horizontal="center" vertical="center" wrapText="1"/>
    </xf>
    <xf numFmtId="0" fontId="10" fillId="0" borderId="7" xfId="0" applyFont="1" applyBorder="1" applyAlignment="1" applyProtection="1">
      <alignment horizontal="center" vertical="center" wrapText="1"/>
    </xf>
    <xf numFmtId="37" fontId="4" fillId="4" borderId="9" xfId="0" applyNumberFormat="1" applyFont="1" applyFill="1" applyBorder="1" applyAlignment="1" applyProtection="1">
      <alignment horizontal="center" vertical="center"/>
    </xf>
    <xf numFmtId="0" fontId="43" fillId="0" borderId="3" xfId="0" applyFont="1" applyBorder="1" applyAlignment="1">
      <alignment vertical="center"/>
    </xf>
    <xf numFmtId="0" fontId="43" fillId="0" borderId="4" xfId="0" applyFont="1" applyBorder="1" applyAlignment="1">
      <alignment vertical="center"/>
    </xf>
    <xf numFmtId="0" fontId="4" fillId="4" borderId="0" xfId="493" applyFont="1" applyFill="1" applyAlignment="1" applyProtection="1">
      <alignment horizontal="center" vertical="center"/>
    </xf>
    <xf numFmtId="0" fontId="16" fillId="4" borderId="0" xfId="479" applyFont="1" applyFill="1" applyAlignment="1">
      <alignment horizontal="center"/>
    </xf>
    <xf numFmtId="0" fontId="3" fillId="4" borderId="0" xfId="31" applyFill="1" applyAlignment="1">
      <alignment horizontal="center"/>
    </xf>
    <xf numFmtId="0" fontId="4" fillId="4" borderId="0" xfId="31" applyFont="1" applyFill="1" applyAlignment="1">
      <alignment horizontal="center" vertical="center"/>
    </xf>
    <xf numFmtId="0" fontId="16" fillId="4" borderId="0" xfId="31" applyFont="1" applyFill="1" applyAlignment="1">
      <alignment horizontal="center" vertical="center"/>
    </xf>
    <xf numFmtId="0" fontId="5" fillId="4" borderId="0" xfId="31" applyFont="1" applyFill="1" applyAlignment="1">
      <alignment vertical="center" wrapText="1"/>
    </xf>
    <xf numFmtId="173" fontId="38" fillId="4" borderId="16" xfId="0" applyNumberFormat="1" applyFont="1" applyFill="1" applyBorder="1" applyAlignment="1" applyProtection="1">
      <alignment horizontal="center"/>
    </xf>
    <xf numFmtId="0" fontId="31" fillId="0" borderId="17" xfId="0" applyFont="1" applyBorder="1" applyAlignment="1"/>
    <xf numFmtId="0" fontId="31" fillId="0" borderId="10" xfId="0" applyFont="1" applyBorder="1" applyAlignment="1"/>
    <xf numFmtId="3" fontId="5" fillId="4" borderId="17" xfId="50" applyNumberFormat="1" applyFont="1" applyFill="1" applyBorder="1" applyAlignment="1" applyProtection="1">
      <alignment horizontal="right" vertical="center"/>
    </xf>
    <xf numFmtId="0" fontId="3" fillId="0" borderId="10" xfId="50" applyBorder="1" applyAlignment="1">
      <alignment horizontal="right" vertical="center"/>
    </xf>
    <xf numFmtId="0" fontId="5" fillId="4" borderId="0" xfId="50" applyFont="1" applyFill="1" applyAlignment="1" applyProtection="1">
      <alignment horizontal="right" vertical="center"/>
    </xf>
    <xf numFmtId="0" fontId="5" fillId="0" borderId="11" xfId="50" applyFont="1" applyBorder="1" applyAlignment="1">
      <alignment horizontal="right" vertical="center"/>
    </xf>
    <xf numFmtId="0" fontId="5" fillId="4" borderId="0" xfId="13" applyNumberFormat="1" applyFont="1" applyFill="1" applyBorder="1" applyAlignment="1" applyProtection="1">
      <alignment horizontal="right" vertical="center"/>
    </xf>
    <xf numFmtId="0" fontId="5" fillId="0" borderId="0" xfId="13" applyFont="1" applyAlignment="1" applyProtection="1">
      <alignment horizontal="right" vertical="center"/>
    </xf>
    <xf numFmtId="0" fontId="38" fillId="4" borderId="16" xfId="0" applyFont="1" applyFill="1" applyBorder="1" applyAlignment="1" applyProtection="1">
      <alignment horizontal="center" vertical="center"/>
    </xf>
    <xf numFmtId="0" fontId="0" fillId="0" borderId="17" xfId="0" applyBorder="1" applyAlignment="1">
      <alignment vertical="center"/>
    </xf>
    <xf numFmtId="0" fontId="0" fillId="0" borderId="10" xfId="0" applyBorder="1" applyAlignment="1">
      <alignment vertical="center"/>
    </xf>
    <xf numFmtId="0" fontId="5" fillId="4" borderId="0" xfId="14" applyNumberFormat="1" applyFont="1" applyFill="1" applyBorder="1" applyAlignment="1" applyProtection="1">
      <alignment horizontal="right" vertical="center"/>
    </xf>
    <xf numFmtId="0" fontId="5" fillId="0" borderId="0" xfId="14" applyFont="1" applyAlignment="1" applyProtection="1">
      <alignment horizontal="right" vertical="center"/>
    </xf>
    <xf numFmtId="173" fontId="38" fillId="4" borderId="16" xfId="26" applyNumberFormat="1" applyFont="1" applyFill="1" applyBorder="1" applyAlignment="1" applyProtection="1">
      <alignment horizontal="center"/>
    </xf>
    <xf numFmtId="0" fontId="31" fillId="0" borderId="17" xfId="26" applyFont="1" applyBorder="1" applyAlignment="1"/>
    <xf numFmtId="0" fontId="31" fillId="0" borderId="10" xfId="26" applyFont="1" applyBorder="1" applyAlignment="1"/>
    <xf numFmtId="0" fontId="38" fillId="4" borderId="16" xfId="26" applyFont="1" applyFill="1" applyBorder="1" applyAlignment="1" applyProtection="1">
      <alignment horizontal="center" vertical="center"/>
    </xf>
    <xf numFmtId="0" fontId="3" fillId="0" borderId="17" xfId="26" applyBorder="1" applyAlignment="1">
      <alignment vertical="center"/>
    </xf>
    <xf numFmtId="0" fontId="3" fillId="0" borderId="10" xfId="26" applyBorder="1" applyAlignment="1">
      <alignment vertical="center"/>
    </xf>
    <xf numFmtId="0" fontId="3" fillId="0" borderId="17" xfId="26" applyBorder="1" applyAlignment="1">
      <alignment horizontal="center" vertical="center"/>
    </xf>
    <xf numFmtId="0" fontId="3" fillId="0" borderId="10" xfId="26" applyBorder="1" applyAlignment="1"/>
    <xf numFmtId="0" fontId="44" fillId="0" borderId="17" xfId="26" applyFont="1" applyBorder="1" applyAlignment="1">
      <alignment horizontal="center" vertical="center"/>
    </xf>
    <xf numFmtId="0" fontId="14" fillId="4" borderId="18" xfId="0" applyFont="1" applyFill="1" applyBorder="1" applyAlignment="1" applyProtection="1">
      <alignment vertical="center" wrapText="1"/>
    </xf>
    <xf numFmtId="0" fontId="0" fillId="0" borderId="18" xfId="0" applyBorder="1" applyAlignment="1">
      <alignment vertical="center" wrapText="1"/>
    </xf>
    <xf numFmtId="0" fontId="4" fillId="4" borderId="9" xfId="0" applyFont="1" applyFill="1" applyBorder="1" applyAlignment="1">
      <alignment vertical="center"/>
    </xf>
    <xf numFmtId="0" fontId="4" fillId="4" borderId="4" xfId="0" applyFont="1" applyFill="1" applyBorder="1" applyAlignment="1">
      <alignment vertical="center"/>
    </xf>
    <xf numFmtId="37" fontId="4" fillId="4" borderId="9" xfId="0" applyNumberFormat="1" applyFont="1" applyFill="1" applyBorder="1" applyAlignment="1">
      <alignment vertical="center"/>
    </xf>
    <xf numFmtId="0" fontId="16" fillId="4" borderId="16" xfId="0" applyFont="1" applyFill="1" applyBorder="1" applyAlignment="1" applyProtection="1">
      <alignment horizontal="center"/>
    </xf>
    <xf numFmtId="0" fontId="0" fillId="0" borderId="17" xfId="0" applyBorder="1" applyAlignment="1" applyProtection="1">
      <alignment horizontal="center"/>
    </xf>
    <xf numFmtId="0" fontId="0" fillId="0" borderId="10" xfId="0" applyBorder="1" applyAlignment="1" applyProtection="1">
      <alignment horizontal="center"/>
    </xf>
    <xf numFmtId="0" fontId="16" fillId="4" borderId="17" xfId="0" applyFont="1" applyFill="1" applyBorder="1" applyAlignment="1" applyProtection="1">
      <alignment horizontal="center"/>
    </xf>
    <xf numFmtId="0" fontId="16" fillId="4" borderId="10" xfId="0" applyFont="1" applyFill="1" applyBorder="1" applyAlignment="1" applyProtection="1">
      <alignment horizontal="center"/>
    </xf>
    <xf numFmtId="0" fontId="0" fillId="0" borderId="17" xfId="0" applyBorder="1" applyAlignment="1">
      <alignment horizontal="center"/>
    </xf>
    <xf numFmtId="0" fontId="0" fillId="0" borderId="10" xfId="0" applyBorder="1" applyAlignment="1">
      <alignment horizontal="center"/>
    </xf>
    <xf numFmtId="37" fontId="5" fillId="4" borderId="2" xfId="0" applyNumberFormat="1" applyFont="1" applyFill="1" applyBorder="1" applyAlignment="1" applyProtection="1">
      <alignment horizontal="center" vertical="center"/>
      <protection locked="0"/>
    </xf>
    <xf numFmtId="37" fontId="5" fillId="4" borderId="17" xfId="0" applyNumberFormat="1" applyFont="1" applyFill="1" applyBorder="1" applyAlignment="1" applyProtection="1">
      <alignment horizontal="center" vertical="center"/>
    </xf>
    <xf numFmtId="0" fontId="0" fillId="0" borderId="17" xfId="0" applyBorder="1" applyAlignment="1">
      <alignment horizontal="center" vertical="center"/>
    </xf>
    <xf numFmtId="0" fontId="0" fillId="0" borderId="8" xfId="0" applyBorder="1" applyAlignment="1" applyProtection="1">
      <alignment horizontal="center" vertical="center"/>
    </xf>
    <xf numFmtId="0" fontId="0" fillId="0" borderId="7" xfId="0" applyBorder="1" applyAlignment="1" applyProtection="1">
      <alignment horizontal="center" vertical="center"/>
    </xf>
    <xf numFmtId="0" fontId="5" fillId="4" borderId="0" xfId="0" applyNumberFormat="1" applyFont="1" applyFill="1" applyAlignment="1" applyProtection="1">
      <alignment horizontal="center" vertical="center"/>
    </xf>
    <xf numFmtId="0" fontId="5" fillId="4" borderId="0" xfId="0" applyFont="1" applyFill="1" applyAlignment="1">
      <alignment horizontal="right" vertical="center"/>
    </xf>
    <xf numFmtId="0" fontId="0" fillId="0" borderId="0" xfId="0" applyAlignment="1">
      <alignment horizontal="right" vertical="center"/>
    </xf>
    <xf numFmtId="0" fontId="5" fillId="4" borderId="0" xfId="0" applyFont="1" applyFill="1" applyAlignment="1" applyProtection="1">
      <alignment horizontal="right" vertical="center"/>
    </xf>
    <xf numFmtId="0" fontId="64" fillId="14" borderId="24" xfId="369" applyFont="1" applyFill="1" applyBorder="1" applyAlignment="1">
      <alignment horizontal="left" vertical="top" wrapText="1"/>
    </xf>
    <xf numFmtId="0" fontId="64" fillId="14" borderId="25" xfId="369" applyFont="1" applyFill="1" applyBorder="1" applyAlignment="1">
      <alignment horizontal="left" vertical="top" wrapText="1"/>
    </xf>
    <xf numFmtId="0" fontId="64" fillId="14" borderId="26" xfId="369" applyFont="1" applyFill="1" applyBorder="1" applyAlignment="1">
      <alignment horizontal="left" vertical="top" wrapText="1"/>
    </xf>
    <xf numFmtId="0" fontId="65" fillId="14" borderId="33" xfId="369" applyFont="1" applyFill="1" applyBorder="1" applyAlignment="1">
      <alignment horizontal="center"/>
    </xf>
    <xf numFmtId="0" fontId="63" fillId="14" borderId="34" xfId="369" applyFill="1" applyBorder="1" applyAlignment="1">
      <alignment horizontal="center"/>
    </xf>
    <xf numFmtId="0" fontId="63" fillId="14" borderId="35" xfId="369" applyFill="1" applyBorder="1" applyAlignment="1">
      <alignment horizontal="center"/>
    </xf>
    <xf numFmtId="0" fontId="64" fillId="14" borderId="19" xfId="369" applyFont="1" applyFill="1" applyBorder="1" applyAlignment="1">
      <alignment horizontal="center"/>
    </xf>
    <xf numFmtId="0" fontId="64" fillId="14" borderId="20" xfId="369" applyFont="1" applyFill="1" applyBorder="1" applyAlignment="1">
      <alignment horizontal="center"/>
    </xf>
    <xf numFmtId="0" fontId="64" fillId="14" borderId="21" xfId="369" applyFont="1" applyFill="1" applyBorder="1" applyAlignment="1">
      <alignment horizontal="center"/>
    </xf>
    <xf numFmtId="0" fontId="65" fillId="0" borderId="33" xfId="369" applyFont="1" applyBorder="1" applyAlignment="1">
      <alignment horizontal="center"/>
    </xf>
    <xf numFmtId="0" fontId="65" fillId="0" borderId="34" xfId="369" applyFont="1" applyBorder="1" applyAlignment="1">
      <alignment horizontal="center"/>
    </xf>
    <xf numFmtId="0" fontId="65" fillId="0" borderId="35" xfId="369" applyFont="1" applyBorder="1" applyAlignment="1">
      <alignment horizontal="center"/>
    </xf>
    <xf numFmtId="0" fontId="64" fillId="14" borderId="27" xfId="369" applyFont="1" applyFill="1" applyBorder="1" applyAlignment="1">
      <alignment horizontal="center"/>
    </xf>
    <xf numFmtId="0" fontId="64" fillId="14" borderId="0" xfId="369" applyFont="1" applyFill="1" applyBorder="1" applyAlignment="1">
      <alignment horizontal="center"/>
    </xf>
    <xf numFmtId="0" fontId="64" fillId="14" borderId="23" xfId="369" applyFont="1" applyFill="1" applyBorder="1" applyAlignment="1">
      <alignment horizontal="center"/>
    </xf>
    <xf numFmtId="0" fontId="52" fillId="4" borderId="0" xfId="0" applyFont="1" applyFill="1" applyAlignment="1">
      <alignment horizontal="center" wrapText="1"/>
    </xf>
    <xf numFmtId="0" fontId="34" fillId="0" borderId="0" xfId="0" applyFont="1" applyAlignment="1">
      <alignment horizontal="center" wrapText="1"/>
    </xf>
    <xf numFmtId="0" fontId="52" fillId="4" borderId="0" xfId="0" applyFont="1" applyFill="1" applyAlignment="1">
      <alignment horizontal="center" vertical="center"/>
    </xf>
    <xf numFmtId="0" fontId="52" fillId="0" borderId="0" xfId="0" applyFont="1" applyAlignment="1">
      <alignment horizontal="center" vertical="center"/>
    </xf>
    <xf numFmtId="0" fontId="52" fillId="4" borderId="0" xfId="0" applyFont="1" applyFill="1" applyAlignment="1">
      <alignment horizontal="center"/>
    </xf>
    <xf numFmtId="0" fontId="34" fillId="4" borderId="0" xfId="0" applyFont="1" applyFill="1" applyAlignment="1">
      <alignment wrapText="1"/>
    </xf>
    <xf numFmtId="176" fontId="34" fillId="4" borderId="0" xfId="0" applyNumberFormat="1" applyFont="1" applyFill="1" applyAlignment="1">
      <alignment horizontal="center"/>
    </xf>
    <xf numFmtId="176" fontId="34" fillId="3" borderId="2" xfId="0" applyNumberFormat="1" applyFont="1" applyFill="1" applyBorder="1" applyAlignment="1" applyProtection="1">
      <alignment horizontal="center"/>
      <protection locked="0"/>
    </xf>
    <xf numFmtId="0" fontId="34" fillId="4" borderId="0" xfId="0" applyFont="1" applyFill="1" applyBorder="1" applyAlignment="1"/>
    <xf numFmtId="0" fontId="34" fillId="0" borderId="0" xfId="0" applyFont="1" applyBorder="1" applyAlignment="1"/>
    <xf numFmtId="0" fontId="34" fillId="4" borderId="25" xfId="0" applyFont="1" applyFill="1" applyBorder="1" applyAlignment="1"/>
    <xf numFmtId="0" fontId="34" fillId="4" borderId="26" xfId="0" applyFont="1" applyFill="1" applyBorder="1" applyAlignment="1"/>
    <xf numFmtId="176" fontId="34" fillId="4" borderId="0" xfId="0" applyNumberFormat="1" applyFont="1" applyFill="1" applyAlignment="1"/>
    <xf numFmtId="0" fontId="52" fillId="4" borderId="20" xfId="0" applyFont="1" applyFill="1" applyBorder="1" applyAlignment="1">
      <alignment horizontal="center" vertical="center"/>
    </xf>
    <xf numFmtId="0" fontId="34" fillId="0" borderId="0" xfId="0" applyFont="1" applyAlignment="1">
      <alignment wrapText="1"/>
    </xf>
    <xf numFmtId="5" fontId="34" fillId="4" borderId="2" xfId="0" applyNumberFormat="1" applyFont="1" applyFill="1" applyBorder="1" applyAlignment="1">
      <alignment horizontal="center"/>
    </xf>
    <xf numFmtId="0" fontId="34" fillId="0" borderId="20" xfId="0" applyFont="1" applyBorder="1" applyAlignment="1">
      <alignment horizontal="center" vertical="center"/>
    </xf>
    <xf numFmtId="0" fontId="52" fillId="4" borderId="0" xfId="0" applyFont="1" applyFill="1" applyBorder="1" applyAlignment="1">
      <alignment horizontal="center" wrapText="1"/>
    </xf>
    <xf numFmtId="0" fontId="52" fillId="0" borderId="0" xfId="0" applyFont="1" applyAlignment="1">
      <alignment horizontal="center" wrapText="1"/>
    </xf>
    <xf numFmtId="0" fontId="34" fillId="4" borderId="17" xfId="0" applyFont="1" applyFill="1" applyBorder="1" applyAlignment="1">
      <alignment horizontal="center"/>
    </xf>
    <xf numFmtId="176" fontId="34" fillId="4" borderId="0" xfId="0" applyNumberFormat="1" applyFont="1" applyFill="1" applyBorder="1" applyAlignment="1">
      <alignment horizontal="center"/>
    </xf>
    <xf numFmtId="0" fontId="34" fillId="4" borderId="0" xfId="0" applyFont="1" applyFill="1" applyBorder="1" applyAlignment="1">
      <alignment wrapText="1"/>
    </xf>
    <xf numFmtId="0" fontId="34" fillId="4" borderId="0" xfId="0" applyFont="1" applyFill="1" applyBorder="1" applyAlignment="1">
      <alignment horizontal="center"/>
    </xf>
    <xf numFmtId="0" fontId="34" fillId="4" borderId="27" xfId="0" applyFont="1" applyFill="1" applyBorder="1" applyAlignment="1">
      <alignment vertical="top" wrapText="1"/>
    </xf>
    <xf numFmtId="0" fontId="34" fillId="0" borderId="0" xfId="0" applyFont="1" applyAlignment="1">
      <alignment vertical="top" wrapText="1"/>
    </xf>
    <xf numFmtId="0" fontId="34" fillId="0" borderId="23" xfId="0" applyFont="1" applyBorder="1" applyAlignment="1">
      <alignment vertical="top" wrapText="1"/>
    </xf>
    <xf numFmtId="177" fontId="34" fillId="4" borderId="0" xfId="0" applyNumberFormat="1" applyFont="1" applyFill="1" applyBorder="1" applyAlignment="1">
      <alignment horizontal="center"/>
    </xf>
    <xf numFmtId="0" fontId="34" fillId="0" borderId="23" xfId="0" applyFont="1" applyBorder="1" applyAlignment="1">
      <alignment horizontal="center"/>
    </xf>
    <xf numFmtId="171" fontId="34" fillId="3" borderId="2" xfId="0" applyNumberFormat="1" applyFont="1" applyFill="1" applyBorder="1" applyAlignment="1" applyProtection="1">
      <alignment horizontal="center"/>
      <protection locked="0"/>
    </xf>
    <xf numFmtId="176" fontId="34" fillId="0" borderId="23" xfId="0" applyNumberFormat="1" applyFont="1" applyBorder="1" applyAlignment="1">
      <alignment horizontal="center"/>
    </xf>
  </cellXfs>
  <cellStyles count="494">
    <cellStyle name="Comma" xfId="1" builtinId="3"/>
    <cellStyle name="Comma 11 2" xfId="2"/>
    <cellStyle name="Comma 16" xfId="3"/>
    <cellStyle name="Comma 16 2" xfId="4"/>
    <cellStyle name="Comma 16 3" xfId="5"/>
    <cellStyle name="Comma 2 2" xfId="6"/>
    <cellStyle name="Comma 3 2" xfId="7"/>
    <cellStyle name="Comma 3 3" xfId="8"/>
    <cellStyle name="Comma 4 2" xfId="9"/>
    <cellStyle name="Comma 6 2" xfId="10"/>
    <cellStyle name="Comma 7 2" xfId="11"/>
    <cellStyle name="Comma 7 3" xfId="12"/>
    <cellStyle name="Hyperlink" xfId="13" builtinId="8"/>
    <cellStyle name="Hyperlink 2" xfId="14"/>
    <cellStyle name="Hyperlink 2 2" xfId="15"/>
    <cellStyle name="Hyperlink 2 3" xfId="16"/>
    <cellStyle name="Hyperlink 3 2" xfId="17"/>
    <cellStyle name="Hyperlink 3 3" xfId="18"/>
    <cellStyle name="Hyperlink 3 4" xfId="19"/>
    <cellStyle name="Hyperlink 4 2" xfId="20"/>
    <cellStyle name="Hyperlink 7 2" xfId="21"/>
    <cellStyle name="Hyperlink 7 3" xfId="22"/>
    <cellStyle name="Hyperlink 8 2" xfId="23"/>
    <cellStyle name="Normal" xfId="0" builtinId="0"/>
    <cellStyle name="Normal 10 2" xfId="24"/>
    <cellStyle name="Normal 10 2 2" xfId="25"/>
    <cellStyle name="Normal 10 2 2 2" xfId="26"/>
    <cellStyle name="Normal 10 2 2 3" xfId="27"/>
    <cellStyle name="Normal 10 2 3" xfId="28"/>
    <cellStyle name="Normal 10 3" xfId="29"/>
    <cellStyle name="Normal 10 4" xfId="30"/>
    <cellStyle name="Normal 10 5" xfId="31"/>
    <cellStyle name="Normal 10 5 2" xfId="32"/>
    <cellStyle name="Normal 10 5 3" xfId="33"/>
    <cellStyle name="Normal 10 6" xfId="34"/>
    <cellStyle name="Normal 10 7" xfId="35"/>
    <cellStyle name="Normal 11 2" xfId="36"/>
    <cellStyle name="Normal 11 2 2" xfId="37"/>
    <cellStyle name="Normal 11 2 3" xfId="38"/>
    <cellStyle name="Normal 11 3" xfId="39"/>
    <cellStyle name="Normal 11 4" xfId="40"/>
    <cellStyle name="Normal 11 5" xfId="41"/>
    <cellStyle name="Normal 11 5 2" xfId="42"/>
    <cellStyle name="Normal 11 5 3" xfId="43"/>
    <cellStyle name="Normal 11 6" xfId="44"/>
    <cellStyle name="Normal 12" xfId="45"/>
    <cellStyle name="Normal 12 10" xfId="46"/>
    <cellStyle name="Normal 12 11" xfId="47"/>
    <cellStyle name="Normal 12 12" xfId="48"/>
    <cellStyle name="Normal 12 13" xfId="49"/>
    <cellStyle name="Normal 12 2" xfId="50"/>
    <cellStyle name="Normal 12 2 2" xfId="51"/>
    <cellStyle name="Normal 12 3" xfId="52"/>
    <cellStyle name="Normal 12 4" xfId="53"/>
    <cellStyle name="Normal 12 5" xfId="54"/>
    <cellStyle name="Normal 12 6" xfId="55"/>
    <cellStyle name="Normal 12 7" xfId="56"/>
    <cellStyle name="Normal 12 8" xfId="57"/>
    <cellStyle name="Normal 12 9" xfId="58"/>
    <cellStyle name="Normal 13 10" xfId="59"/>
    <cellStyle name="Normal 13 11" xfId="60"/>
    <cellStyle name="Normal 13 12" xfId="61"/>
    <cellStyle name="Normal 13 13" xfId="62"/>
    <cellStyle name="Normal 13 2" xfId="63"/>
    <cellStyle name="Normal 13 2 2" xfId="64"/>
    <cellStyle name="Normal 13 3" xfId="65"/>
    <cellStyle name="Normal 13 4" xfId="66"/>
    <cellStyle name="Normal 13 5" xfId="67"/>
    <cellStyle name="Normal 13 6" xfId="68"/>
    <cellStyle name="Normal 13 7" xfId="69"/>
    <cellStyle name="Normal 13 8" xfId="70"/>
    <cellStyle name="Normal 13 9" xfId="71"/>
    <cellStyle name="Normal 14 2" xfId="72"/>
    <cellStyle name="Normal 14 3" xfId="73"/>
    <cellStyle name="Normal 14 4" xfId="74"/>
    <cellStyle name="Normal 14 5" xfId="75"/>
    <cellStyle name="Normal 14 6" xfId="76"/>
    <cellStyle name="Normal 14 7" xfId="77"/>
    <cellStyle name="Normal 15 2" xfId="78"/>
    <cellStyle name="Normal 15 3" xfId="79"/>
    <cellStyle name="Normal 15 4" xfId="80"/>
    <cellStyle name="Normal 15 5" xfId="81"/>
    <cellStyle name="Normal 16" xfId="82"/>
    <cellStyle name="Normal 16 2" xfId="83"/>
    <cellStyle name="Normal 16 3" xfId="84"/>
    <cellStyle name="Normal 16 4" xfId="85"/>
    <cellStyle name="Normal 16 5" xfId="86"/>
    <cellStyle name="Normal 17 2" xfId="87"/>
    <cellStyle name="Normal 17 3" xfId="88"/>
    <cellStyle name="Normal 17 4" xfId="89"/>
    <cellStyle name="Normal 17 5" xfId="90"/>
    <cellStyle name="Normal 18 2" xfId="91"/>
    <cellStyle name="Normal 18 2 2" xfId="92"/>
    <cellStyle name="Normal 18 2 3" xfId="93"/>
    <cellStyle name="Normal 18 3" xfId="94"/>
    <cellStyle name="Normal 18 4" xfId="95"/>
    <cellStyle name="Normal 18 5" xfId="96"/>
    <cellStyle name="Normal 18 6" xfId="97"/>
    <cellStyle name="Normal 18 7" xfId="98"/>
    <cellStyle name="Normal 18 8" xfId="99"/>
    <cellStyle name="Normal 18 9" xfId="100"/>
    <cellStyle name="Normal 19 2" xfId="101"/>
    <cellStyle name="Normal 19 2 2" xfId="102"/>
    <cellStyle name="Normal 19 2 3" xfId="103"/>
    <cellStyle name="Normal 19 3" xfId="104"/>
    <cellStyle name="Normal 19 4" xfId="105"/>
    <cellStyle name="Normal 19 5" xfId="106"/>
    <cellStyle name="Normal 19 6" xfId="107"/>
    <cellStyle name="Normal 19 7" xfId="108"/>
    <cellStyle name="Normal 19 8" xfId="109"/>
    <cellStyle name="Normal 2 10" xfId="110"/>
    <cellStyle name="Normal 2 10 10" xfId="111"/>
    <cellStyle name="Normal 2 10 11" xfId="112"/>
    <cellStyle name="Normal 2 10 11 2" xfId="113"/>
    <cellStyle name="Normal 2 10 11 2 2" xfId="114"/>
    <cellStyle name="Normal 2 10 11 2 2 2" xfId="115"/>
    <cellStyle name="Normal 2 10 11 3" xfId="116"/>
    <cellStyle name="Normal 2 10 11 4" xfId="117"/>
    <cellStyle name="Normal 2 10 11 5" xfId="118"/>
    <cellStyle name="Normal 2 10 12" xfId="119"/>
    <cellStyle name="Normal 2 10 2" xfId="120"/>
    <cellStyle name="Normal 2 10 2 2" xfId="121"/>
    <cellStyle name="Normal 2 10 3" xfId="122"/>
    <cellStyle name="Normal 2 10 3 2" xfId="123"/>
    <cellStyle name="Normal 2 10 4" xfId="124"/>
    <cellStyle name="Normal 2 10 4 2" xfId="125"/>
    <cellStyle name="Normal 2 10 5" xfId="126"/>
    <cellStyle name="Normal 2 10 5 2" xfId="127"/>
    <cellStyle name="Normal 2 10 6" xfId="128"/>
    <cellStyle name="Normal 2 10 6 2" xfId="129"/>
    <cellStyle name="Normal 2 10 7" xfId="130"/>
    <cellStyle name="Normal 2 10 7 2" xfId="131"/>
    <cellStyle name="Normal 2 10 8" xfId="132"/>
    <cellStyle name="Normal 2 10 8 2" xfId="133"/>
    <cellStyle name="Normal 2 10 9" xfId="134"/>
    <cellStyle name="Normal 2 11" xfId="135"/>
    <cellStyle name="Normal 2 11 10" xfId="136"/>
    <cellStyle name="Normal 2 11 11" xfId="137"/>
    <cellStyle name="Normal 2 11 2" xfId="138"/>
    <cellStyle name="Normal 2 11 2 2" xfId="139"/>
    <cellStyle name="Normal 2 11 3" xfId="140"/>
    <cellStyle name="Normal 2 11 3 2" xfId="141"/>
    <cellStyle name="Normal 2 11 4" xfId="142"/>
    <cellStyle name="Normal 2 11 4 2" xfId="143"/>
    <cellStyle name="Normal 2 11 5" xfId="144"/>
    <cellStyle name="Normal 2 11 5 2" xfId="145"/>
    <cellStyle name="Normal 2 11 6" xfId="146"/>
    <cellStyle name="Normal 2 11 6 2" xfId="147"/>
    <cellStyle name="Normal 2 11 7" xfId="148"/>
    <cellStyle name="Normal 2 11 7 2" xfId="149"/>
    <cellStyle name="Normal 2 11 8" xfId="150"/>
    <cellStyle name="Normal 2 11 8 2" xfId="151"/>
    <cellStyle name="Normal 2 11 9" xfId="152"/>
    <cellStyle name="Normal 2 12" xfId="153"/>
    <cellStyle name="Normal 2 13" xfId="154"/>
    <cellStyle name="Normal 2 14" xfId="155"/>
    <cellStyle name="Normal 2 15" xfId="156"/>
    <cellStyle name="Normal 2 16" xfId="157"/>
    <cellStyle name="Normal 2 17" xfId="158"/>
    <cellStyle name="Normal 2 17 2" xfId="159"/>
    <cellStyle name="Normal 2 17 3" xfId="160"/>
    <cellStyle name="Normal 2 17 4" xfId="161"/>
    <cellStyle name="Normal 2 2" xfId="162"/>
    <cellStyle name="Normal 2 2 10" xfId="163"/>
    <cellStyle name="Normal 2 2 10 2" xfId="164"/>
    <cellStyle name="Normal 2 2 11" xfId="165"/>
    <cellStyle name="Normal 2 2 11 2" xfId="166"/>
    <cellStyle name="Normal 2 2 12" xfId="167"/>
    <cellStyle name="Normal 2 2 12 2" xfId="168"/>
    <cellStyle name="Normal 2 2 12 2 2" xfId="169"/>
    <cellStyle name="Normal 2 2 12 2 3" xfId="170"/>
    <cellStyle name="Normal 2 2 12 2 4" xfId="171"/>
    <cellStyle name="Normal 2 2 12 3" xfId="172"/>
    <cellStyle name="Normal 2 2 12 4" xfId="173"/>
    <cellStyle name="Normal 2 2 13" xfId="174"/>
    <cellStyle name="Normal 2 2 13 2" xfId="175"/>
    <cellStyle name="Normal 2 2 13 2 2" xfId="176"/>
    <cellStyle name="Normal 2 2 13 2 3" xfId="177"/>
    <cellStyle name="Normal 2 2 13 2 4" xfId="178"/>
    <cellStyle name="Normal 2 2 13 3" xfId="179"/>
    <cellStyle name="Normal 2 2 13 4" xfId="180"/>
    <cellStyle name="Normal 2 2 14" xfId="181"/>
    <cellStyle name="Normal 2 2 14 2" xfId="182"/>
    <cellStyle name="Normal 2 2 15" xfId="183"/>
    <cellStyle name="Normal 2 2 15 2" xfId="184"/>
    <cellStyle name="Normal 2 2 16" xfId="185"/>
    <cellStyle name="Normal 2 2 16 2" xfId="186"/>
    <cellStyle name="Normal 2 2 16 3" xfId="187"/>
    <cellStyle name="Normal 2 2 17" xfId="188"/>
    <cellStyle name="Normal 2 2 18" xfId="189"/>
    <cellStyle name="Normal 2 2 19" xfId="190"/>
    <cellStyle name="Normal 2 2 2" xfId="191"/>
    <cellStyle name="Normal 2 2 2 2" xfId="192"/>
    <cellStyle name="Normal 2 2 2 2 2" xfId="193"/>
    <cellStyle name="Normal 2 2 2 2 3" xfId="194"/>
    <cellStyle name="Normal 2 2 2 2 3 2" xfId="195"/>
    <cellStyle name="Normal 2 2 2 2 3 3" xfId="196"/>
    <cellStyle name="Normal 2 2 2 3" xfId="197"/>
    <cellStyle name="Normal 2 2 2 3 2" xfId="198"/>
    <cellStyle name="Normal 2 2 2 3 3" xfId="199"/>
    <cellStyle name="Normal 2 2 2 3 4" xfId="200"/>
    <cellStyle name="Normal 2 2 2 4" xfId="201"/>
    <cellStyle name="Normal 2 2 2 4 2" xfId="202"/>
    <cellStyle name="Normal 2 2 2 5" xfId="203"/>
    <cellStyle name="Normal 2 2 2 5 2" xfId="204"/>
    <cellStyle name="Normal 2 2 2 5 3" xfId="205"/>
    <cellStyle name="Normal 2 2 2 5 4" xfId="206"/>
    <cellStyle name="Normal 2 2 2 6" xfId="207"/>
    <cellStyle name="Normal 2 2 2 6 2" xfId="208"/>
    <cellStyle name="Normal 2 2 2 7" xfId="209"/>
    <cellStyle name="Normal 2 2 2 7 2" xfId="210"/>
    <cellStyle name="Normal 2 2 2 7 3" xfId="211"/>
    <cellStyle name="Normal 2 2 2 8" xfId="212"/>
    <cellStyle name="Normal 2 2 20" xfId="213"/>
    <cellStyle name="Normal 2 2 21" xfId="214"/>
    <cellStyle name="Normal 2 2 22" xfId="215"/>
    <cellStyle name="Normal 2 2 3" xfId="216"/>
    <cellStyle name="Normal 2 2 3 2" xfId="217"/>
    <cellStyle name="Normal 2 2 4" xfId="218"/>
    <cellStyle name="Normal 2 2 4 2" xfId="219"/>
    <cellStyle name="Normal 2 2 5" xfId="220"/>
    <cellStyle name="Normal 2 2 5 2" xfId="221"/>
    <cellStyle name="Normal 2 2 6" xfId="222"/>
    <cellStyle name="Normal 2 2 6 2" xfId="223"/>
    <cellStyle name="Normal 2 2 7" xfId="224"/>
    <cellStyle name="Normal 2 2 7 2" xfId="225"/>
    <cellStyle name="Normal 2 2 8" xfId="226"/>
    <cellStyle name="Normal 2 2 8 2" xfId="227"/>
    <cellStyle name="Normal 2 2 9" xfId="228"/>
    <cellStyle name="Normal 2 2 9 2" xfId="229"/>
    <cellStyle name="Normal 2 3" xfId="230"/>
    <cellStyle name="Normal 2 3 10" xfId="231"/>
    <cellStyle name="Normal 2 3 11" xfId="232"/>
    <cellStyle name="Normal 2 3 12" xfId="233"/>
    <cellStyle name="Normal 2 3 13" xfId="234"/>
    <cellStyle name="Normal 2 3 14" xfId="235"/>
    <cellStyle name="Normal 2 3 15" xfId="236"/>
    <cellStyle name="Normal 2 3 2" xfId="237"/>
    <cellStyle name="Normal 2 3 2 2" xfId="238"/>
    <cellStyle name="Normal 2 3 2 2 2" xfId="239"/>
    <cellStyle name="Normal 2 3 2 2 3" xfId="240"/>
    <cellStyle name="Normal 2 3 2 3" xfId="241"/>
    <cellStyle name="Normal 2 3 2 4" xfId="242"/>
    <cellStyle name="Normal 2 3 2 5" xfId="243"/>
    <cellStyle name="Normal 2 3 3" xfId="244"/>
    <cellStyle name="Normal 2 3 3 2" xfId="245"/>
    <cellStyle name="Normal 2 3 3 3" xfId="246"/>
    <cellStyle name="Normal 2 3 4" xfId="247"/>
    <cellStyle name="Normal 2 3 5" xfId="248"/>
    <cellStyle name="Normal 2 3 6" xfId="249"/>
    <cellStyle name="Normal 2 3 7" xfId="250"/>
    <cellStyle name="Normal 2 3 8" xfId="251"/>
    <cellStyle name="Normal 2 3 9" xfId="252"/>
    <cellStyle name="Normal 2 4" xfId="253"/>
    <cellStyle name="Normal 2 4 10" xfId="254"/>
    <cellStyle name="Normal 2 4 11" xfId="255"/>
    <cellStyle name="Normal 2 4 12" xfId="256"/>
    <cellStyle name="Normal 2 4 12 2" xfId="257"/>
    <cellStyle name="Normal 2 4 12 3" xfId="258"/>
    <cellStyle name="Normal 2 4 13" xfId="259"/>
    <cellStyle name="Normal 2 4 13 2" xfId="260"/>
    <cellStyle name="Normal 2 4 13 3" xfId="261"/>
    <cellStyle name="Normal 2 4 2" xfId="262"/>
    <cellStyle name="Normal 2 4 2 2" xfId="263"/>
    <cellStyle name="Normal 2 4 2 2 2" xfId="264"/>
    <cellStyle name="Normal 2 4 2 2 3" xfId="265"/>
    <cellStyle name="Normal 2 4 2 3" xfId="266"/>
    <cellStyle name="Normal 2 4 2 4" xfId="267"/>
    <cellStyle name="Normal 2 4 2 5" xfId="268"/>
    <cellStyle name="Normal 2 4 3" xfId="269"/>
    <cellStyle name="Normal 2 4 3 2" xfId="270"/>
    <cellStyle name="Normal 2 4 3 3" xfId="271"/>
    <cellStyle name="Normal 2 4 4" xfId="272"/>
    <cellStyle name="Normal 2 4 5" xfId="273"/>
    <cellStyle name="Normal 2 4 6" xfId="274"/>
    <cellStyle name="Normal 2 4 7" xfId="275"/>
    <cellStyle name="Normal 2 4 8" xfId="276"/>
    <cellStyle name="Normal 2 4 9" xfId="277"/>
    <cellStyle name="Normal 2 5" xfId="278"/>
    <cellStyle name="Normal 2 5 10" xfId="279"/>
    <cellStyle name="Normal 2 5 11" xfId="280"/>
    <cellStyle name="Normal 2 5 12" xfId="281"/>
    <cellStyle name="Normal 2 5 12 2" xfId="282"/>
    <cellStyle name="Normal 2 5 12 3" xfId="283"/>
    <cellStyle name="Normal 2 5 2" xfId="284"/>
    <cellStyle name="Normal 2 5 2 2" xfId="285"/>
    <cellStyle name="Normal 2 5 3" xfId="286"/>
    <cellStyle name="Normal 2 5 3 2" xfId="287"/>
    <cellStyle name="Normal 2 5 4" xfId="288"/>
    <cellStyle name="Normal 2 5 5" xfId="289"/>
    <cellStyle name="Normal 2 5 6" xfId="290"/>
    <cellStyle name="Normal 2 5 7" xfId="291"/>
    <cellStyle name="Normal 2 5 8" xfId="292"/>
    <cellStyle name="Normal 2 5 9" xfId="293"/>
    <cellStyle name="Normal 2 6" xfId="294"/>
    <cellStyle name="Normal 2 6 10" xfId="295"/>
    <cellStyle name="Normal 2 6 11" xfId="296"/>
    <cellStyle name="Normal 2 6 12" xfId="297"/>
    <cellStyle name="Normal 2 6 2" xfId="298"/>
    <cellStyle name="Normal 2 6 2 2" xfId="299"/>
    <cellStyle name="Normal 2 6 3" xfId="300"/>
    <cellStyle name="Normal 2 6 3 2" xfId="301"/>
    <cellStyle name="Normal 2 6 4" xfId="302"/>
    <cellStyle name="Normal 2 6 5" xfId="303"/>
    <cellStyle name="Normal 2 6 6" xfId="304"/>
    <cellStyle name="Normal 2 6 7" xfId="305"/>
    <cellStyle name="Normal 2 6 8" xfId="306"/>
    <cellStyle name="Normal 2 6 9" xfId="307"/>
    <cellStyle name="Normal 2 7" xfId="308"/>
    <cellStyle name="Normal 2 7 10" xfId="309"/>
    <cellStyle name="Normal 2 7 11" xfId="310"/>
    <cellStyle name="Normal 2 7 11 2" xfId="311"/>
    <cellStyle name="Normal 2 7 2" xfId="312"/>
    <cellStyle name="Normal 2 7 2 2" xfId="313"/>
    <cellStyle name="Normal 2 7 2 3" xfId="314"/>
    <cellStyle name="Normal 2 7 3" xfId="315"/>
    <cellStyle name="Normal 2 7 3 2" xfId="316"/>
    <cellStyle name="Normal 2 7 4" xfId="317"/>
    <cellStyle name="Normal 2 7 4 2" xfId="318"/>
    <cellStyle name="Normal 2 7 5" xfId="319"/>
    <cellStyle name="Normal 2 7 5 2" xfId="320"/>
    <cellStyle name="Normal 2 7 6" xfId="321"/>
    <cellStyle name="Normal 2 7 6 2" xfId="322"/>
    <cellStyle name="Normal 2 7 7" xfId="323"/>
    <cellStyle name="Normal 2 7 7 2" xfId="324"/>
    <cellStyle name="Normal 2 7 8" xfId="325"/>
    <cellStyle name="Normal 2 7 8 2" xfId="326"/>
    <cellStyle name="Normal 2 7 9" xfId="327"/>
    <cellStyle name="Normal 2 8" xfId="328"/>
    <cellStyle name="Normal 2 8 10" xfId="329"/>
    <cellStyle name="Normal 2 8 11" xfId="330"/>
    <cellStyle name="Normal 2 8 2" xfId="331"/>
    <cellStyle name="Normal 2 8 2 2" xfId="332"/>
    <cellStyle name="Normal 2 8 3" xfId="333"/>
    <cellStyle name="Normal 2 8 3 2" xfId="334"/>
    <cellStyle name="Normal 2 8 4" xfId="335"/>
    <cellStyle name="Normal 2 8 4 2" xfId="336"/>
    <cellStyle name="Normal 2 8 5" xfId="337"/>
    <cellStyle name="Normal 2 8 5 2" xfId="338"/>
    <cellStyle name="Normal 2 8 6" xfId="339"/>
    <cellStyle name="Normal 2 8 6 2" xfId="340"/>
    <cellStyle name="Normal 2 8 7" xfId="341"/>
    <cellStyle name="Normal 2 8 7 2" xfId="342"/>
    <cellStyle name="Normal 2 8 8" xfId="343"/>
    <cellStyle name="Normal 2 8 8 2" xfId="344"/>
    <cellStyle name="Normal 2 8 9" xfId="345"/>
    <cellStyle name="Normal 2 9" xfId="346"/>
    <cellStyle name="Normal 2 9 10" xfId="347"/>
    <cellStyle name="Normal 2 9 11" xfId="348"/>
    <cellStyle name="Normal 2 9 2" xfId="349"/>
    <cellStyle name="Normal 2 9 2 2" xfId="350"/>
    <cellStyle name="Normal 2 9 3" xfId="351"/>
    <cellStyle name="Normal 2 9 3 2" xfId="352"/>
    <cellStyle name="Normal 2 9 4" xfId="353"/>
    <cellStyle name="Normal 2 9 4 2" xfId="354"/>
    <cellStyle name="Normal 2 9 5" xfId="355"/>
    <cellStyle name="Normal 2 9 5 2" xfId="356"/>
    <cellStyle name="Normal 2 9 6" xfId="357"/>
    <cellStyle name="Normal 2 9 6 2" xfId="358"/>
    <cellStyle name="Normal 2 9 7" xfId="359"/>
    <cellStyle name="Normal 2 9 7 2" xfId="360"/>
    <cellStyle name="Normal 2 9 8" xfId="361"/>
    <cellStyle name="Normal 2 9 8 2" xfId="362"/>
    <cellStyle name="Normal 2 9 9" xfId="363"/>
    <cellStyle name="Normal 20" xfId="364"/>
    <cellStyle name="Normal 20 2" xfId="365"/>
    <cellStyle name="Normal 20 3" xfId="366"/>
    <cellStyle name="Normal 21" xfId="367"/>
    <cellStyle name="Normal 21 2" xfId="368"/>
    <cellStyle name="Normal 21 2 2" xfId="369"/>
    <cellStyle name="Normal 21 2 3" xfId="370"/>
    <cellStyle name="Normal 21 3" xfId="371"/>
    <cellStyle name="Normal 21 4" xfId="372"/>
    <cellStyle name="Normal 21 5" xfId="373"/>
    <cellStyle name="Normal 22" xfId="374"/>
    <cellStyle name="Normal 22 2" xfId="375"/>
    <cellStyle name="Normal 22 3" xfId="376"/>
    <cellStyle name="Normal 23" xfId="377"/>
    <cellStyle name="Normal 23 2" xfId="378"/>
    <cellStyle name="Normal 23 3" xfId="379"/>
    <cellStyle name="Normal 24" xfId="380"/>
    <cellStyle name="Normal 24 2" xfId="381"/>
    <cellStyle name="Normal 24 3" xfId="382"/>
    <cellStyle name="Normal 25" xfId="383"/>
    <cellStyle name="Normal 25 2" xfId="384"/>
    <cellStyle name="Normal 25 3" xfId="385"/>
    <cellStyle name="Normal 26" xfId="386"/>
    <cellStyle name="Normal 27" xfId="387"/>
    <cellStyle name="Normal 3 10" xfId="388"/>
    <cellStyle name="Normal 3 10 2" xfId="389"/>
    <cellStyle name="Normal 3 11" xfId="390"/>
    <cellStyle name="Normal 3 12" xfId="391"/>
    <cellStyle name="Normal 3 13" xfId="392"/>
    <cellStyle name="Normal 3 14" xfId="393"/>
    <cellStyle name="Normal 3 15" xfId="394"/>
    <cellStyle name="Normal 3 2" xfId="395"/>
    <cellStyle name="Normal 3 2 2" xfId="396"/>
    <cellStyle name="Normal 3 2 2 2" xfId="397"/>
    <cellStyle name="Normal 3 2 2 3" xfId="398"/>
    <cellStyle name="Normal 3 2 3" xfId="399"/>
    <cellStyle name="Normal 3 2 4" xfId="400"/>
    <cellStyle name="Normal 3 2 5" xfId="401"/>
    <cellStyle name="Normal 3 3" xfId="402"/>
    <cellStyle name="Normal 3 3 2" xfId="403"/>
    <cellStyle name="Normal 3 3 2 2" xfId="404"/>
    <cellStyle name="Normal 3 3 2 3" xfId="405"/>
    <cellStyle name="Normal 3 3 3" xfId="406"/>
    <cellStyle name="Normal 3 3 4" xfId="407"/>
    <cellStyle name="Normal 3 4" xfId="408"/>
    <cellStyle name="Normal 3 5" xfId="409"/>
    <cellStyle name="Normal 3 6" xfId="410"/>
    <cellStyle name="Normal 3 7" xfId="411"/>
    <cellStyle name="Normal 3 7 2" xfId="412"/>
    <cellStyle name="Normal 3 7 3" xfId="413"/>
    <cellStyle name="Normal 3 8" xfId="414"/>
    <cellStyle name="Normal 3 8 2" xfId="415"/>
    <cellStyle name="Normal 3 8 3" xfId="416"/>
    <cellStyle name="Normal 3 9" xfId="417"/>
    <cellStyle name="Normal 3 9 2" xfId="418"/>
    <cellStyle name="Normal 3 9 3" xfId="419"/>
    <cellStyle name="Normal 4 10" xfId="420"/>
    <cellStyle name="Normal 4 11" xfId="421"/>
    <cellStyle name="Normal 4 12" xfId="422"/>
    <cellStyle name="Normal 4 13" xfId="423"/>
    <cellStyle name="Normal 4 2" xfId="424"/>
    <cellStyle name="Normal 4 2 2" xfId="425"/>
    <cellStyle name="Normal 4 2 2 2" xfId="426"/>
    <cellStyle name="Normal 4 2 2 3" xfId="427"/>
    <cellStyle name="Normal 4 2 2 3 2" xfId="428"/>
    <cellStyle name="Normal 4 2 3" xfId="429"/>
    <cellStyle name="Normal 4 2 4" xfId="430"/>
    <cellStyle name="Normal 4 2 5" xfId="431"/>
    <cellStyle name="Normal 4 3" xfId="432"/>
    <cellStyle name="Normal 4 3 2" xfId="433"/>
    <cellStyle name="Normal 4 3 3" xfId="434"/>
    <cellStyle name="Normal 4 4" xfId="435"/>
    <cellStyle name="Normal 4 5" xfId="436"/>
    <cellStyle name="Normal 4 5 2" xfId="437"/>
    <cellStyle name="Normal 4 5 3" xfId="438"/>
    <cellStyle name="Normal 4 6" xfId="439"/>
    <cellStyle name="Normal 4 6 2" xfId="440"/>
    <cellStyle name="Normal 4 6 3" xfId="441"/>
    <cellStyle name="Normal 4 7" xfId="442"/>
    <cellStyle name="Normal 4 8" xfId="443"/>
    <cellStyle name="Normal 4 9" xfId="444"/>
    <cellStyle name="Normal 5 2" xfId="445"/>
    <cellStyle name="Normal 5 3" xfId="446"/>
    <cellStyle name="Normal 5 3 2" xfId="447"/>
    <cellStyle name="Normal 5 3 3" xfId="448"/>
    <cellStyle name="Normal 5 4" xfId="449"/>
    <cellStyle name="Normal 5 5" xfId="450"/>
    <cellStyle name="Normal 5 5 2" xfId="451"/>
    <cellStyle name="Normal 5 5 3" xfId="452"/>
    <cellStyle name="Normal 5 6" xfId="453"/>
    <cellStyle name="Normal 5 6 2" xfId="454"/>
    <cellStyle name="Normal 6 2" xfId="455"/>
    <cellStyle name="Normal 6 3" xfId="456"/>
    <cellStyle name="Normal 6 4" xfId="457"/>
    <cellStyle name="Normal 6 5" xfId="458"/>
    <cellStyle name="Normal 7 2" xfId="459"/>
    <cellStyle name="Normal 7 2 2" xfId="460"/>
    <cellStyle name="Normal 7 2 2 2" xfId="461"/>
    <cellStyle name="Normal 7 2 2 3" xfId="462"/>
    <cellStyle name="Normal 7 2 3" xfId="463"/>
    <cellStyle name="Normal 7 2 4" xfId="464"/>
    <cellStyle name="Normal 7 2 4 2" xfId="465"/>
    <cellStyle name="Normal 7 2 4 3" xfId="466"/>
    <cellStyle name="Normal 7 2 5" xfId="467"/>
    <cellStyle name="Normal 7 3" xfId="468"/>
    <cellStyle name="Normal 7 4" xfId="469"/>
    <cellStyle name="Normal 7 4 2" xfId="470"/>
    <cellStyle name="Normal 7 4 3" xfId="471"/>
    <cellStyle name="Normal 7 5" xfId="472"/>
    <cellStyle name="Normal 7 5 2" xfId="473"/>
    <cellStyle name="Normal 7 5 3" xfId="474"/>
    <cellStyle name="Normal 7 5 4" xfId="475"/>
    <cellStyle name="Normal 7 5 5" xfId="476"/>
    <cellStyle name="Normal 7 6" xfId="477"/>
    <cellStyle name="Normal 7 7" xfId="478"/>
    <cellStyle name="Normal 8 2" xfId="479"/>
    <cellStyle name="Normal 8 3" xfId="480"/>
    <cellStyle name="Normal 9 2" xfId="481"/>
    <cellStyle name="Normal 9 2 2" xfId="482"/>
    <cellStyle name="Normal 9 2 3" xfId="483"/>
    <cellStyle name="Normal 9 3" xfId="484"/>
    <cellStyle name="Normal 9 4" xfId="485"/>
    <cellStyle name="Normal 9 5" xfId="486"/>
    <cellStyle name="Normal 9 5 2" xfId="487"/>
    <cellStyle name="Normal 9 5 3" xfId="488"/>
    <cellStyle name="Normal 9 6" xfId="489"/>
    <cellStyle name="Normal 9 6 2" xfId="490"/>
    <cellStyle name="Normal 9 6 3" xfId="491"/>
    <cellStyle name="Normal_debt" xfId="492"/>
    <cellStyle name="Normal_lpform" xfId="493"/>
  </cellStyles>
  <dxfs count="17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26"/>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228600</xdr:colOff>
      <xdr:row>50</xdr:row>
      <xdr:rowOff>49267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100505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228600</xdr:colOff>
      <xdr:row>50</xdr:row>
      <xdr:rowOff>49267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100505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admin.ks.gov/docs/default-source/municipal-services/budget-forms-2015/Township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PrYr"/>
      <sheetName val="inputOth"/>
      <sheetName val="inputBudSum"/>
      <sheetName val="cert"/>
      <sheetName val="computation"/>
      <sheetName val="mvalloc"/>
      <sheetName val="transfer"/>
      <sheetName val="TransferStatutes"/>
      <sheetName val="debt"/>
      <sheetName val="Library Grant"/>
      <sheetName val="gen"/>
      <sheetName val="DebtSvs-Library"/>
      <sheetName val="road"/>
      <sheetName val="levypage9"/>
      <sheetName val="levypage10"/>
      <sheetName val="levypage11"/>
      <sheetName val="levypage12"/>
      <sheetName val="nolevypage13"/>
      <sheetName val="nolevypage14"/>
      <sheetName val="nonbud"/>
      <sheetName val="NonBudFunds"/>
      <sheetName val="summ"/>
      <sheetName val="nhood"/>
      <sheetName val="Resolution"/>
      <sheetName val="Tab A"/>
      <sheetName val="Tab B"/>
      <sheetName val="Tab C"/>
      <sheetName val="Tab D"/>
      <sheetName val="Tab E"/>
      <sheetName val="Mill Rate Computation"/>
      <sheetName val="Helpful Links"/>
      <sheetName val="leg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36">
          <cell r="F36">
            <v>0</v>
          </cell>
          <cell r="I36">
            <v>0</v>
          </cell>
        </row>
      </sheetData>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peter.haxton@library.ks.gov"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tbridges@bucoks.com"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114"/>
  <sheetViews>
    <sheetView workbookViewId="0">
      <selection activeCell="L95" sqref="L95"/>
    </sheetView>
  </sheetViews>
  <sheetFormatPr defaultColWidth="8.796875" defaultRowHeight="15.75" x14ac:dyDescent="0.25"/>
  <cols>
    <col min="1" max="1" width="68.19921875" style="95" customWidth="1"/>
    <col min="2" max="16384" width="8.796875" style="95"/>
  </cols>
  <sheetData>
    <row r="1" spans="1:1" x14ac:dyDescent="0.25">
      <c r="A1" s="192" t="s">
        <v>309</v>
      </c>
    </row>
    <row r="3" spans="1:1" ht="34.5" customHeight="1" x14ac:dyDescent="0.25">
      <c r="A3" s="712" t="s">
        <v>908</v>
      </c>
    </row>
    <row r="4" spans="1:1" x14ac:dyDescent="0.25">
      <c r="A4" s="193"/>
    </row>
    <row r="5" spans="1:1" ht="52.5" customHeight="1" x14ac:dyDescent="0.25">
      <c r="A5" s="194" t="s">
        <v>310</v>
      </c>
    </row>
    <row r="6" spans="1:1" x14ac:dyDescent="0.25">
      <c r="A6" s="194"/>
    </row>
    <row r="7" spans="1:1" ht="51" customHeight="1" x14ac:dyDescent="0.25">
      <c r="A7" s="194" t="s">
        <v>834</v>
      </c>
    </row>
    <row r="8" spans="1:1" x14ac:dyDescent="0.25">
      <c r="A8" s="194"/>
    </row>
    <row r="9" spans="1:1" x14ac:dyDescent="0.25">
      <c r="A9" s="194" t="s">
        <v>104</v>
      </c>
    </row>
    <row r="12" spans="1:1" x14ac:dyDescent="0.25">
      <c r="A12" s="192" t="s">
        <v>160</v>
      </c>
    </row>
    <row r="14" spans="1:1" x14ac:dyDescent="0.25">
      <c r="A14" s="193" t="s">
        <v>161</v>
      </c>
    </row>
    <row r="17" spans="1:1" ht="38.25" customHeight="1" x14ac:dyDescent="0.25">
      <c r="A17" s="195" t="s">
        <v>285</v>
      </c>
    </row>
    <row r="18" spans="1:1" ht="9.75" customHeight="1" x14ac:dyDescent="0.25">
      <c r="A18" s="195"/>
    </row>
    <row r="21" spans="1:1" x14ac:dyDescent="0.25">
      <c r="A21" s="192" t="s">
        <v>105</v>
      </c>
    </row>
    <row r="23" spans="1:1" ht="34.5" customHeight="1" x14ac:dyDescent="0.25">
      <c r="A23" s="194" t="s">
        <v>162</v>
      </c>
    </row>
    <row r="24" spans="1:1" ht="9.75" customHeight="1" x14ac:dyDescent="0.25">
      <c r="A24" s="194"/>
    </row>
    <row r="25" spans="1:1" x14ac:dyDescent="0.25">
      <c r="A25" s="196" t="s">
        <v>106</v>
      </c>
    </row>
    <row r="26" spans="1:1" x14ac:dyDescent="0.25">
      <c r="A26" s="194"/>
    </row>
    <row r="27" spans="1:1" ht="17.25" customHeight="1" x14ac:dyDescent="0.25">
      <c r="A27" s="197" t="s">
        <v>107</v>
      </c>
    </row>
    <row r="28" spans="1:1" ht="17.25" customHeight="1" x14ac:dyDescent="0.25">
      <c r="A28" s="198"/>
    </row>
    <row r="29" spans="1:1" ht="87.75" customHeight="1" x14ac:dyDescent="0.25">
      <c r="A29" s="199" t="s">
        <v>141</v>
      </c>
    </row>
    <row r="31" spans="1:1" x14ac:dyDescent="0.25">
      <c r="A31" s="200" t="s">
        <v>108</v>
      </c>
    </row>
    <row r="33" spans="1:1" x14ac:dyDescent="0.25">
      <c r="A33" s="132" t="s">
        <v>163</v>
      </c>
    </row>
    <row r="35" spans="1:1" x14ac:dyDescent="0.25">
      <c r="A35" s="194" t="s">
        <v>109</v>
      </c>
    </row>
    <row r="36" spans="1:1" x14ac:dyDescent="0.25">
      <c r="A36" s="194"/>
    </row>
    <row r="37" spans="1:1" ht="72" customHeight="1" x14ac:dyDescent="0.25">
      <c r="A37" s="194" t="s">
        <v>370</v>
      </c>
    </row>
    <row r="39" spans="1:1" x14ac:dyDescent="0.25">
      <c r="A39" s="192" t="s">
        <v>110</v>
      </c>
    </row>
    <row r="41" spans="1:1" ht="70.5" customHeight="1" x14ac:dyDescent="0.25">
      <c r="A41" s="194" t="s">
        <v>738</v>
      </c>
    </row>
    <row r="42" spans="1:1" ht="52.5" customHeight="1" x14ac:dyDescent="0.25">
      <c r="A42" s="201" t="s">
        <v>111</v>
      </c>
    </row>
    <row r="43" spans="1:1" ht="33" customHeight="1" x14ac:dyDescent="0.25">
      <c r="A43" s="194" t="s">
        <v>140</v>
      </c>
    </row>
    <row r="44" spans="1:1" ht="106.5" customHeight="1" x14ac:dyDescent="0.25">
      <c r="A44" s="701" t="s">
        <v>835</v>
      </c>
    </row>
    <row r="45" spans="1:1" ht="10.5" customHeight="1" x14ac:dyDescent="0.25">
      <c r="A45" s="194"/>
    </row>
    <row r="46" spans="1:1" ht="108" customHeight="1" x14ac:dyDescent="0.25">
      <c r="A46" s="194" t="s">
        <v>739</v>
      </c>
    </row>
    <row r="47" spans="1:1" ht="59.25" customHeight="1" x14ac:dyDescent="0.25">
      <c r="A47" s="194" t="s">
        <v>112</v>
      </c>
    </row>
    <row r="48" spans="1:1" ht="101.25" customHeight="1" x14ac:dyDescent="0.25">
      <c r="A48" s="194" t="s">
        <v>200</v>
      </c>
    </row>
    <row r="49" spans="1:1" ht="74.25" customHeight="1" x14ac:dyDescent="0.25">
      <c r="A49" s="194" t="s">
        <v>371</v>
      </c>
    </row>
    <row r="50" spans="1:1" ht="69.75" customHeight="1" x14ac:dyDescent="0.25">
      <c r="A50" s="194" t="s">
        <v>375</v>
      </c>
    </row>
    <row r="51" spans="1:1" ht="58.5" customHeight="1" x14ac:dyDescent="0.25">
      <c r="A51" s="702" t="s">
        <v>836</v>
      </c>
    </row>
    <row r="52" spans="1:1" ht="12" customHeight="1" x14ac:dyDescent="0.25">
      <c r="A52" s="194"/>
    </row>
    <row r="53" spans="1:1" ht="81" customHeight="1" x14ac:dyDescent="0.25">
      <c r="A53" s="194" t="s">
        <v>372</v>
      </c>
    </row>
    <row r="54" spans="1:1" ht="81" customHeight="1" x14ac:dyDescent="0.25">
      <c r="A54" s="194" t="s">
        <v>912</v>
      </c>
    </row>
    <row r="55" spans="1:1" ht="87" customHeight="1" x14ac:dyDescent="0.25">
      <c r="A55" s="703" t="s">
        <v>913</v>
      </c>
    </row>
    <row r="56" spans="1:1" ht="48" customHeight="1" x14ac:dyDescent="0.25">
      <c r="A56" s="702" t="s">
        <v>837</v>
      </c>
    </row>
    <row r="57" spans="1:1" ht="84.75" customHeight="1" x14ac:dyDescent="0.25">
      <c r="A57" s="703" t="s">
        <v>957</v>
      </c>
    </row>
    <row r="58" spans="1:1" ht="11.25" customHeight="1" x14ac:dyDescent="0.25"/>
    <row r="59" spans="1:1" ht="73.5" customHeight="1" x14ac:dyDescent="0.25">
      <c r="A59" s="703" t="s">
        <v>914</v>
      </c>
    </row>
    <row r="60" spans="1:1" ht="134.25" customHeight="1" x14ac:dyDescent="0.25">
      <c r="A60" s="703" t="s">
        <v>915</v>
      </c>
    </row>
    <row r="61" spans="1:1" ht="36" customHeight="1" x14ac:dyDescent="0.25">
      <c r="A61" s="703" t="s">
        <v>916</v>
      </c>
    </row>
    <row r="62" spans="1:1" ht="14.25" customHeight="1" x14ac:dyDescent="0.25">
      <c r="A62" s="194"/>
    </row>
    <row r="63" spans="1:1" ht="68.25" customHeight="1" x14ac:dyDescent="0.25">
      <c r="A63" s="703" t="s">
        <v>838</v>
      </c>
    </row>
    <row r="64" spans="1:1" ht="12.75" customHeight="1" x14ac:dyDescent="0.25">
      <c r="A64" s="194"/>
    </row>
    <row r="65" spans="1:1" ht="41.25" customHeight="1" x14ac:dyDescent="0.25">
      <c r="A65" s="194" t="s">
        <v>373</v>
      </c>
    </row>
    <row r="66" spans="1:1" ht="24" customHeight="1" x14ac:dyDescent="0.25">
      <c r="A66" s="194" t="s">
        <v>592</v>
      </c>
    </row>
    <row r="67" spans="1:1" ht="72" customHeight="1" x14ac:dyDescent="0.25">
      <c r="A67" s="194" t="s">
        <v>593</v>
      </c>
    </row>
    <row r="68" spans="1:1" ht="56.25" customHeight="1" x14ac:dyDescent="0.25">
      <c r="A68" s="194" t="s">
        <v>590</v>
      </c>
    </row>
    <row r="69" spans="1:1" x14ac:dyDescent="0.25">
      <c r="A69" s="194" t="s">
        <v>591</v>
      </c>
    </row>
    <row r="70" spans="1:1" ht="15.75" customHeight="1" x14ac:dyDescent="0.25">
      <c r="A70" s="194"/>
    </row>
    <row r="71" spans="1:1" ht="68.25" customHeight="1" x14ac:dyDescent="0.25">
      <c r="A71" s="194" t="s">
        <v>374</v>
      </c>
    </row>
    <row r="72" spans="1:1" s="194" customFormat="1" ht="14.25" customHeight="1" x14ac:dyDescent="0.25">
      <c r="A72" s="95"/>
    </row>
    <row r="73" spans="1:1" ht="87.75" customHeight="1" x14ac:dyDescent="0.25">
      <c r="A73" s="194" t="s">
        <v>376</v>
      </c>
    </row>
    <row r="74" spans="1:1" ht="12" customHeight="1" x14ac:dyDescent="0.25">
      <c r="A74" s="194"/>
    </row>
    <row r="75" spans="1:1" ht="141" customHeight="1" x14ac:dyDescent="0.25">
      <c r="A75" s="703" t="s">
        <v>839</v>
      </c>
    </row>
    <row r="76" spans="1:1" ht="12" customHeight="1" x14ac:dyDescent="0.25"/>
    <row r="77" spans="1:1" ht="78.75" customHeight="1" x14ac:dyDescent="0.25">
      <c r="A77" s="194" t="s">
        <v>841</v>
      </c>
    </row>
    <row r="78" spans="1:1" ht="78.75" customHeight="1" x14ac:dyDescent="0.25">
      <c r="A78" s="703" t="s">
        <v>840</v>
      </c>
    </row>
    <row r="79" spans="1:1" ht="86.25" customHeight="1" x14ac:dyDescent="0.25">
      <c r="A79" s="511" t="s">
        <v>842</v>
      </c>
    </row>
    <row r="80" spans="1:1" ht="78.75" customHeight="1" x14ac:dyDescent="0.25">
      <c r="A80" s="511" t="s">
        <v>843</v>
      </c>
    </row>
    <row r="81" spans="1:1" ht="78.75" customHeight="1" x14ac:dyDescent="0.25">
      <c r="A81" s="511" t="s">
        <v>844</v>
      </c>
    </row>
    <row r="82" spans="1:1" ht="73.5" customHeight="1" x14ac:dyDescent="0.25">
      <c r="A82" s="194" t="s">
        <v>845</v>
      </c>
    </row>
    <row r="83" spans="1:1" ht="120.75" customHeight="1" x14ac:dyDescent="0.25">
      <c r="A83" s="194" t="s">
        <v>846</v>
      </c>
    </row>
    <row r="84" spans="1:1" ht="72.75" customHeight="1" x14ac:dyDescent="0.25">
      <c r="A84" s="194" t="s">
        <v>847</v>
      </c>
    </row>
    <row r="85" spans="1:1" ht="100.5" customHeight="1" x14ac:dyDescent="0.25">
      <c r="A85" s="194" t="s">
        <v>848</v>
      </c>
    </row>
    <row r="86" spans="1:1" ht="110.25" customHeight="1" x14ac:dyDescent="0.25">
      <c r="A86" s="194" t="s">
        <v>849</v>
      </c>
    </row>
    <row r="87" spans="1:1" ht="100.5" customHeight="1" x14ac:dyDescent="0.25">
      <c r="A87" s="202" t="s">
        <v>850</v>
      </c>
    </row>
    <row r="88" spans="1:1" ht="61.5" customHeight="1" x14ac:dyDescent="0.25">
      <c r="A88" s="332" t="s">
        <v>851</v>
      </c>
    </row>
    <row r="89" spans="1:1" ht="120.75" customHeight="1" x14ac:dyDescent="0.25">
      <c r="A89" s="194" t="s">
        <v>902</v>
      </c>
    </row>
    <row r="90" spans="1:1" ht="86.25" customHeight="1" x14ac:dyDescent="0.25">
      <c r="A90" s="202" t="s">
        <v>852</v>
      </c>
    </row>
    <row r="91" spans="1:1" ht="101.25" customHeight="1" x14ac:dyDescent="0.25">
      <c r="A91" s="202" t="s">
        <v>901</v>
      </c>
    </row>
    <row r="92" spans="1:1" ht="133.5" customHeight="1" x14ac:dyDescent="0.25">
      <c r="A92" s="194" t="s">
        <v>853</v>
      </c>
    </row>
    <row r="93" spans="1:1" ht="137.25" customHeight="1" x14ac:dyDescent="0.25">
      <c r="A93" s="194" t="s">
        <v>854</v>
      </c>
    </row>
    <row r="94" spans="1:1" ht="101.25" customHeight="1" x14ac:dyDescent="0.25">
      <c r="A94" s="194" t="s">
        <v>855</v>
      </c>
    </row>
    <row r="95" spans="1:1" ht="9.75" customHeight="1" x14ac:dyDescent="0.25">
      <c r="A95" s="202"/>
    </row>
    <row r="96" spans="1:1" ht="119.25" customHeight="1" x14ac:dyDescent="0.25">
      <c r="A96" s="194" t="s">
        <v>856</v>
      </c>
    </row>
    <row r="97" spans="1:1" ht="117" customHeight="1" x14ac:dyDescent="0.25">
      <c r="A97" s="202" t="s">
        <v>857</v>
      </c>
    </row>
    <row r="98" spans="1:1" ht="58.5" customHeight="1" x14ac:dyDescent="0.25">
      <c r="A98" s="202" t="s">
        <v>858</v>
      </c>
    </row>
    <row r="99" spans="1:1" ht="21" customHeight="1" x14ac:dyDescent="0.25">
      <c r="A99" s="194" t="s">
        <v>859</v>
      </c>
    </row>
    <row r="100" spans="1:1" ht="3.75" customHeight="1" x14ac:dyDescent="0.25"/>
    <row r="101" spans="1:1" ht="64.5" customHeight="1" x14ac:dyDescent="0.25">
      <c r="A101" s="194" t="s">
        <v>860</v>
      </c>
    </row>
    <row r="102" spans="1:1" ht="22.5" customHeight="1" x14ac:dyDescent="0.25">
      <c r="A102" s="194" t="s">
        <v>861</v>
      </c>
    </row>
    <row r="103" spans="1:1" ht="40.5" customHeight="1" x14ac:dyDescent="0.25">
      <c r="A103" s="511" t="s">
        <v>862</v>
      </c>
    </row>
    <row r="104" spans="1:1" ht="115.5" customHeight="1" x14ac:dyDescent="0.25">
      <c r="A104" s="511" t="s">
        <v>863</v>
      </c>
    </row>
    <row r="105" spans="1:1" ht="116.25" customHeight="1" x14ac:dyDescent="0.25">
      <c r="A105" s="511" t="s">
        <v>864</v>
      </c>
    </row>
    <row r="106" spans="1:1" ht="90" customHeight="1" x14ac:dyDescent="0.25">
      <c r="A106" s="194" t="s">
        <v>865</v>
      </c>
    </row>
    <row r="107" spans="1:1" ht="74.25" customHeight="1" x14ac:dyDescent="0.25">
      <c r="A107" s="704" t="s">
        <v>866</v>
      </c>
    </row>
    <row r="108" spans="1:1" ht="61.5" customHeight="1" x14ac:dyDescent="0.25">
      <c r="A108" s="194" t="s">
        <v>867</v>
      </c>
    </row>
    <row r="109" spans="1:1" ht="9" customHeight="1" x14ac:dyDescent="0.25"/>
    <row r="110" spans="1:1" ht="78.75" customHeight="1" x14ac:dyDescent="0.25">
      <c r="A110" s="194" t="s">
        <v>868</v>
      </c>
    </row>
    <row r="112" spans="1:1" ht="73.5" customHeight="1" x14ac:dyDescent="0.25">
      <c r="A112" s="511" t="s">
        <v>869</v>
      </c>
    </row>
    <row r="113" spans="1:1" ht="108" customHeight="1" x14ac:dyDescent="0.25">
      <c r="A113" s="511" t="s">
        <v>870</v>
      </c>
    </row>
    <row r="114" spans="1:1" ht="96" customHeight="1" x14ac:dyDescent="0.25">
      <c r="A114" s="511" t="s">
        <v>871</v>
      </c>
    </row>
  </sheetData>
  <sheetProtection sheet="1"/>
  <phoneticPr fontId="0" type="noConversion"/>
  <pageMargins left="0.5" right="0.5" top="0.5" bottom="0.5" header="0.5" footer="0.25"/>
  <pageSetup fitToHeight="4"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7"/>
  <sheetViews>
    <sheetView workbookViewId="0">
      <selection activeCell="B2" sqref="B2"/>
    </sheetView>
  </sheetViews>
  <sheetFormatPr defaultColWidth="8.796875" defaultRowHeight="15.75" x14ac:dyDescent="0.25"/>
  <cols>
    <col min="1" max="1" width="70.09765625" style="91" customWidth="1"/>
    <col min="2" max="16384" width="8.796875" style="91"/>
  </cols>
  <sheetData>
    <row r="1" spans="1:1" ht="18.75" x14ac:dyDescent="0.25">
      <c r="A1" s="336" t="s">
        <v>306</v>
      </c>
    </row>
    <row r="2" spans="1:1" x14ac:dyDescent="0.25">
      <c r="A2" s="95"/>
    </row>
    <row r="3" spans="1:1" x14ac:dyDescent="0.25">
      <c r="A3" s="95"/>
    </row>
    <row r="4" spans="1:1" ht="52.5" customHeight="1" x14ac:dyDescent="0.25">
      <c r="A4" s="196" t="s">
        <v>343</v>
      </c>
    </row>
    <row r="5" spans="1:1" x14ac:dyDescent="0.25">
      <c r="A5" s="95"/>
    </row>
    <row r="6" spans="1:1" x14ac:dyDescent="0.25">
      <c r="A6" s="95"/>
    </row>
    <row r="7" spans="1:1" ht="70.5" customHeight="1" x14ac:dyDescent="0.25">
      <c r="A7" s="196" t="s">
        <v>344</v>
      </c>
    </row>
    <row r="8" spans="1:1" x14ac:dyDescent="0.25">
      <c r="A8" s="331"/>
    </row>
    <row r="9" spans="1:1" x14ac:dyDescent="0.25">
      <c r="A9" s="95"/>
    </row>
    <row r="10" spans="1:1" ht="56.25" customHeight="1" x14ac:dyDescent="0.25">
      <c r="A10" s="196" t="s">
        <v>345</v>
      </c>
    </row>
    <row r="11" spans="1:1" x14ac:dyDescent="0.25">
      <c r="A11" s="331"/>
    </row>
    <row r="12" spans="1:1" x14ac:dyDescent="0.25">
      <c r="A12" s="331"/>
    </row>
    <row r="13" spans="1:1" ht="57.75" customHeight="1" x14ac:dyDescent="0.25">
      <c r="A13" s="196" t="s">
        <v>346</v>
      </c>
    </row>
    <row r="14" spans="1:1" x14ac:dyDescent="0.25">
      <c r="A14" s="331"/>
    </row>
    <row r="15" spans="1:1" x14ac:dyDescent="0.25">
      <c r="A15" s="331"/>
    </row>
    <row r="16" spans="1:1" ht="87.75" customHeight="1" x14ac:dyDescent="0.25">
      <c r="A16" s="196" t="s">
        <v>347</v>
      </c>
    </row>
    <row r="17" spans="1:1" x14ac:dyDescent="0.25">
      <c r="A17" s="331"/>
    </row>
    <row r="18" spans="1:1" x14ac:dyDescent="0.25">
      <c r="A18" s="95"/>
    </row>
    <row r="19" spans="1:1" ht="54.75" customHeight="1" x14ac:dyDescent="0.25">
      <c r="A19" s="196" t="s">
        <v>348</v>
      </c>
    </row>
    <row r="20" spans="1:1" x14ac:dyDescent="0.25">
      <c r="A20" s="95"/>
    </row>
    <row r="21" spans="1:1" x14ac:dyDescent="0.25">
      <c r="A21" s="95"/>
    </row>
    <row r="22" spans="1:1" ht="69" customHeight="1" x14ac:dyDescent="0.25">
      <c r="A22" s="196" t="s">
        <v>349</v>
      </c>
    </row>
    <row r="23" spans="1:1" x14ac:dyDescent="0.25">
      <c r="A23" s="95"/>
    </row>
    <row r="24" spans="1:1" x14ac:dyDescent="0.25">
      <c r="A24" s="333"/>
    </row>
    <row r="25" spans="1:1" ht="47.25" customHeight="1" x14ac:dyDescent="0.25">
      <c r="A25" s="334" t="s">
        <v>350</v>
      </c>
    </row>
    <row r="26" spans="1:1" x14ac:dyDescent="0.25">
      <c r="A26" s="335"/>
    </row>
    <row r="27" spans="1:1" x14ac:dyDescent="0.25">
      <c r="A27" s="333"/>
    </row>
  </sheetData>
  <sheetProtection sheet="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Y39"/>
  <sheetViews>
    <sheetView topLeftCell="A7" workbookViewId="0">
      <selection activeCell="B25" sqref="B25"/>
    </sheetView>
  </sheetViews>
  <sheetFormatPr defaultColWidth="8.796875" defaultRowHeight="15.75" x14ac:dyDescent="0.25"/>
  <cols>
    <col min="1" max="1" width="1.3984375" style="249" customWidth="1"/>
    <col min="2" max="2" width="18.69921875" style="249" customWidth="1"/>
    <col min="3" max="3" width="8.796875" style="249"/>
    <col min="4" max="4" width="7.8984375" style="249" customWidth="1"/>
    <col min="5" max="5" width="8.796875" style="249"/>
    <col min="6" max="6" width="16.19921875" style="249" customWidth="1"/>
    <col min="7" max="16384" width="8.796875" style="249"/>
  </cols>
  <sheetData>
    <row r="1" spans="1:12" x14ac:dyDescent="0.25">
      <c r="A1" s="272"/>
      <c r="B1" s="247" t="str">
        <f>inputPrYr!$D$3</f>
        <v>Milton Township</v>
      </c>
      <c r="C1" s="248"/>
      <c r="D1" s="248"/>
      <c r="E1" s="248"/>
      <c r="F1" s="248"/>
      <c r="G1" s="248"/>
      <c r="H1" s="248"/>
      <c r="I1" s="248"/>
      <c r="J1" s="48"/>
      <c r="K1" s="48"/>
      <c r="L1" s="204">
        <f>inputPrYr!D9</f>
        <v>2015</v>
      </c>
    </row>
    <row r="2" spans="1:12" x14ac:dyDescent="0.25">
      <c r="A2" s="272"/>
      <c r="B2" s="247" t="str">
        <f>inputPrYr!$D$4</f>
        <v>Butler County</v>
      </c>
      <c r="C2" s="248"/>
      <c r="D2" s="248"/>
      <c r="E2" s="248"/>
      <c r="F2" s="248"/>
      <c r="G2" s="248"/>
      <c r="H2" s="248"/>
      <c r="I2" s="248"/>
      <c r="J2" s="48"/>
      <c r="K2" s="48"/>
      <c r="L2" s="190"/>
    </row>
    <row r="3" spans="1:12" x14ac:dyDescent="0.25">
      <c r="A3" s="272"/>
      <c r="B3" s="843" t="s">
        <v>26</v>
      </c>
      <c r="C3" s="821"/>
      <c r="D3" s="821"/>
      <c r="E3" s="821"/>
      <c r="F3" s="821"/>
      <c r="G3" s="821"/>
      <c r="H3" s="821"/>
      <c r="I3" s="821"/>
      <c r="J3" s="821"/>
      <c r="K3" s="821"/>
      <c r="L3" s="821"/>
    </row>
    <row r="4" spans="1:12" x14ac:dyDescent="0.25">
      <c r="A4" s="272"/>
      <c r="B4" s="248"/>
      <c r="C4" s="248"/>
      <c r="D4" s="248"/>
      <c r="E4" s="248"/>
      <c r="F4" s="248"/>
      <c r="G4" s="248"/>
      <c r="H4" s="248"/>
      <c r="I4" s="248"/>
      <c r="J4" s="248"/>
      <c r="K4" s="248"/>
      <c r="L4" s="248"/>
    </row>
    <row r="5" spans="1:12" x14ac:dyDescent="0.25">
      <c r="A5" s="272"/>
      <c r="B5" s="208" t="s">
        <v>751</v>
      </c>
      <c r="C5" s="208" t="s">
        <v>6</v>
      </c>
      <c r="D5" s="208" t="s">
        <v>13</v>
      </c>
      <c r="E5" s="208"/>
      <c r="F5" s="208" t="s">
        <v>243</v>
      </c>
      <c r="G5" s="250"/>
      <c r="H5" s="251"/>
      <c r="I5" s="250" t="s">
        <v>7</v>
      </c>
      <c r="J5" s="251"/>
      <c r="K5" s="250" t="s">
        <v>7</v>
      </c>
      <c r="L5" s="251"/>
    </row>
    <row r="6" spans="1:12" x14ac:dyDescent="0.25">
      <c r="A6" s="272"/>
      <c r="B6" s="252" t="s">
        <v>8</v>
      </c>
      <c r="C6" s="252" t="s">
        <v>8</v>
      </c>
      <c r="D6" s="252" t="s">
        <v>242</v>
      </c>
      <c r="E6" s="252" t="s">
        <v>243</v>
      </c>
      <c r="F6" s="252" t="s">
        <v>64</v>
      </c>
      <c r="G6" s="253" t="s">
        <v>9</v>
      </c>
      <c r="H6" s="254"/>
      <c r="I6" s="253">
        <f>L1-1</f>
        <v>2014</v>
      </c>
      <c r="J6" s="254"/>
      <c r="K6" s="253">
        <f>L1</f>
        <v>2015</v>
      </c>
      <c r="L6" s="254"/>
    </row>
    <row r="7" spans="1:12" x14ac:dyDescent="0.25">
      <c r="A7" s="272"/>
      <c r="B7" s="210" t="s">
        <v>752</v>
      </c>
      <c r="C7" s="210" t="s">
        <v>10</v>
      </c>
      <c r="D7" s="210" t="s">
        <v>268</v>
      </c>
      <c r="E7" s="210" t="s">
        <v>11</v>
      </c>
      <c r="F7" s="255" t="str">
        <f>CONCATENATE("Jan 1,",L1-1,"")</f>
        <v>Jan 1,2014</v>
      </c>
      <c r="G7" s="71" t="s">
        <v>13</v>
      </c>
      <c r="H7" s="71" t="s">
        <v>14</v>
      </c>
      <c r="I7" s="71" t="s">
        <v>13</v>
      </c>
      <c r="J7" s="71" t="s">
        <v>14</v>
      </c>
      <c r="K7" s="71" t="s">
        <v>13</v>
      </c>
      <c r="L7" s="71" t="s">
        <v>14</v>
      </c>
    </row>
    <row r="8" spans="1:12" x14ac:dyDescent="0.25">
      <c r="A8" s="272"/>
      <c r="B8" s="256" t="s">
        <v>3</v>
      </c>
      <c r="C8" s="257"/>
      <c r="D8" s="256"/>
      <c r="E8" s="256"/>
      <c r="F8" s="256"/>
      <c r="G8" s="258"/>
      <c r="H8" s="258"/>
      <c r="I8" s="256"/>
      <c r="J8" s="256"/>
      <c r="K8" s="256"/>
      <c r="L8" s="256"/>
    </row>
    <row r="9" spans="1:12" x14ac:dyDescent="0.25">
      <c r="A9" s="272"/>
      <c r="B9" s="259" t="s">
        <v>981</v>
      </c>
      <c r="C9" s="358"/>
      <c r="D9" s="261"/>
      <c r="E9" s="151"/>
      <c r="F9" s="262"/>
      <c r="G9" s="263"/>
      <c r="H9" s="263"/>
      <c r="I9" s="262"/>
      <c r="J9" s="262"/>
      <c r="K9" s="262"/>
      <c r="L9" s="262"/>
    </row>
    <row r="10" spans="1:12" x14ac:dyDescent="0.25">
      <c r="A10" s="272"/>
      <c r="B10" s="259"/>
      <c r="C10" s="358"/>
      <c r="D10" s="261"/>
      <c r="E10" s="151"/>
      <c r="F10" s="262"/>
      <c r="G10" s="263"/>
      <c r="H10" s="263"/>
      <c r="I10" s="262"/>
      <c r="J10" s="262"/>
      <c r="K10" s="262"/>
      <c r="L10" s="262"/>
    </row>
    <row r="11" spans="1:12" x14ac:dyDescent="0.25">
      <c r="A11" s="272"/>
      <c r="B11" s="186" t="s">
        <v>84</v>
      </c>
      <c r="C11" s="264"/>
      <c r="D11" s="265"/>
      <c r="E11" s="239"/>
      <c r="F11" s="157">
        <f>SUM(F9:F10)</f>
        <v>0</v>
      </c>
      <c r="G11" s="266"/>
      <c r="H11" s="266"/>
      <c r="I11" s="157">
        <f>SUM(I9:I10)</f>
        <v>0</v>
      </c>
      <c r="J11" s="157">
        <f>SUM(J9:J10)</f>
        <v>0</v>
      </c>
      <c r="K11" s="157">
        <f>SUM(K9:K10)</f>
        <v>0</v>
      </c>
      <c r="L11" s="157">
        <f>SUM(L9:L10)</f>
        <v>0</v>
      </c>
    </row>
    <row r="12" spans="1:12" x14ac:dyDescent="0.25">
      <c r="A12" s="272"/>
      <c r="B12" s="186" t="s">
        <v>260</v>
      </c>
      <c r="C12" s="264"/>
      <c r="D12" s="265"/>
      <c r="E12" s="239"/>
      <c r="F12" s="73"/>
      <c r="G12" s="267"/>
      <c r="H12" s="267"/>
      <c r="I12" s="73"/>
      <c r="J12" s="73"/>
      <c r="K12" s="73"/>
      <c r="L12" s="73"/>
    </row>
    <row r="13" spans="1:12" x14ac:dyDescent="0.25">
      <c r="A13" s="272"/>
      <c r="B13" s="259"/>
      <c r="C13" s="358"/>
      <c r="D13" s="261"/>
      <c r="E13" s="151"/>
      <c r="F13" s="262"/>
      <c r="G13" s="263"/>
      <c r="H13" s="263"/>
      <c r="I13" s="262"/>
      <c r="J13" s="262"/>
      <c r="K13" s="262"/>
      <c r="L13" s="262"/>
    </row>
    <row r="14" spans="1:12" x14ac:dyDescent="0.25">
      <c r="A14" s="272"/>
      <c r="B14" s="259"/>
      <c r="C14" s="358"/>
      <c r="D14" s="261"/>
      <c r="E14" s="151"/>
      <c r="F14" s="262"/>
      <c r="G14" s="263"/>
      <c r="H14" s="263"/>
      <c r="I14" s="262"/>
      <c r="J14" s="262"/>
      <c r="K14" s="262"/>
      <c r="L14" s="262"/>
    </row>
    <row r="15" spans="1:12" x14ac:dyDescent="0.25">
      <c r="A15" s="272"/>
      <c r="B15" s="186" t="s">
        <v>85</v>
      </c>
      <c r="C15" s="264"/>
      <c r="D15" s="265"/>
      <c r="E15" s="239"/>
      <c r="F15" s="157">
        <f>SUM(F13:F14)</f>
        <v>0</v>
      </c>
      <c r="G15" s="267"/>
      <c r="H15" s="267"/>
      <c r="I15" s="157">
        <f>SUM(I13:I14)</f>
        <v>0</v>
      </c>
      <c r="J15" s="157">
        <f>SUM(J13:J14)</f>
        <v>0</v>
      </c>
      <c r="K15" s="157">
        <f>SUM(K13:K14)</f>
        <v>0</v>
      </c>
      <c r="L15" s="157">
        <f>SUM(L13:L14)</f>
        <v>0</v>
      </c>
    </row>
    <row r="16" spans="1:12" x14ac:dyDescent="0.25">
      <c r="A16" s="272"/>
      <c r="B16" s="268" t="s">
        <v>28</v>
      </c>
      <c r="C16" s="532"/>
      <c r="D16" s="533"/>
      <c r="E16" s="534"/>
      <c r="F16" s="270">
        <f>SUM(F11+F15)</f>
        <v>0</v>
      </c>
      <c r="G16" s="532"/>
      <c r="H16" s="535"/>
      <c r="I16" s="270">
        <f>SUM(I11+I15)</f>
        <v>0</v>
      </c>
      <c r="J16" s="270">
        <f>SUM(J11+J15)</f>
        <v>0</v>
      </c>
      <c r="K16" s="270">
        <f>SUM(K11+K15)</f>
        <v>0</v>
      </c>
      <c r="L16" s="270">
        <f>SUM(L11+L15)</f>
        <v>0</v>
      </c>
    </row>
    <row r="17" spans="1:25" x14ac:dyDescent="0.25">
      <c r="A17" s="272"/>
      <c r="B17" s="48"/>
      <c r="C17" s="48"/>
      <c r="D17" s="54"/>
      <c r="E17" s="54"/>
      <c r="F17" s="54"/>
      <c r="G17" s="54"/>
      <c r="H17" s="54"/>
      <c r="I17" s="54"/>
      <c r="J17" s="54"/>
      <c r="K17" s="54"/>
      <c r="L17" s="54"/>
      <c r="M17" s="95"/>
      <c r="N17" s="95"/>
      <c r="O17" s="95"/>
      <c r="P17" s="95"/>
      <c r="Q17" s="95"/>
      <c r="R17" s="95"/>
      <c r="S17" s="95"/>
      <c r="T17" s="95"/>
      <c r="U17" s="95"/>
      <c r="V17" s="95"/>
      <c r="W17" s="95"/>
      <c r="X17" s="95"/>
      <c r="Y17" s="95"/>
    </row>
    <row r="18" spans="1:25" s="273" customFormat="1" x14ac:dyDescent="0.25">
      <c r="A18" s="272"/>
      <c r="B18" s="843" t="s">
        <v>25</v>
      </c>
      <c r="C18" s="821"/>
      <c r="D18" s="821"/>
      <c r="E18" s="821"/>
      <c r="F18" s="821"/>
      <c r="G18" s="821"/>
      <c r="H18" s="821"/>
      <c r="I18" s="821"/>
      <c r="J18" s="271"/>
      <c r="K18" s="271"/>
      <c r="L18" s="272"/>
    </row>
    <row r="19" spans="1:25" s="273" customFormat="1" x14ac:dyDescent="0.25">
      <c r="A19" s="272"/>
      <c r="B19" s="54"/>
      <c r="C19" s="274"/>
      <c r="D19" s="274"/>
      <c r="E19" s="274"/>
      <c r="F19" s="274"/>
      <c r="G19" s="274"/>
      <c r="H19" s="274"/>
      <c r="I19" s="274"/>
      <c r="J19" s="275"/>
      <c r="K19" s="275"/>
      <c r="L19" s="272"/>
    </row>
    <row r="20" spans="1:25" s="273" customFormat="1" x14ac:dyDescent="0.25">
      <c r="A20" s="272"/>
      <c r="B20" s="185"/>
      <c r="C20" s="185"/>
      <c r="D20" s="208" t="s">
        <v>12</v>
      </c>
      <c r="E20" s="185"/>
      <c r="F20" s="208" t="s">
        <v>220</v>
      </c>
      <c r="G20" s="185"/>
      <c r="H20" s="185"/>
      <c r="I20" s="185"/>
      <c r="J20" s="276"/>
      <c r="K20" s="277"/>
      <c r="L20" s="272"/>
    </row>
    <row r="21" spans="1:25" s="273" customFormat="1" x14ac:dyDescent="0.25">
      <c r="A21" s="272"/>
      <c r="B21" s="58"/>
      <c r="C21" s="252"/>
      <c r="D21" s="252" t="s">
        <v>8</v>
      </c>
      <c r="E21" s="252" t="s">
        <v>13</v>
      </c>
      <c r="F21" s="252" t="s">
        <v>243</v>
      </c>
      <c r="G21" s="252" t="s">
        <v>14</v>
      </c>
      <c r="H21" s="252" t="s">
        <v>15</v>
      </c>
      <c r="I21" s="252" t="s">
        <v>15</v>
      </c>
      <c r="J21" s="272"/>
      <c r="K21" s="272"/>
      <c r="L21" s="272"/>
    </row>
    <row r="22" spans="1:25" s="273" customFormat="1" x14ac:dyDescent="0.25">
      <c r="A22" s="272"/>
      <c r="B22" s="252" t="s">
        <v>753</v>
      </c>
      <c r="C22" s="252" t="s">
        <v>16</v>
      </c>
      <c r="D22" s="252" t="s">
        <v>17</v>
      </c>
      <c r="E22" s="252" t="s">
        <v>242</v>
      </c>
      <c r="F22" s="252" t="s">
        <v>18</v>
      </c>
      <c r="G22" s="252" t="s">
        <v>57</v>
      </c>
      <c r="H22" s="252" t="s">
        <v>19</v>
      </c>
      <c r="I22" s="252" t="s">
        <v>19</v>
      </c>
      <c r="J22" s="272"/>
      <c r="K22" s="272"/>
      <c r="L22" s="272"/>
    </row>
    <row r="23" spans="1:25" s="273" customFormat="1" x14ac:dyDescent="0.25">
      <c r="A23" s="272"/>
      <c r="B23" s="210" t="s">
        <v>754</v>
      </c>
      <c r="C23" s="210" t="s">
        <v>6</v>
      </c>
      <c r="D23" s="278" t="s">
        <v>20</v>
      </c>
      <c r="E23" s="210" t="s">
        <v>268</v>
      </c>
      <c r="F23" s="278" t="s">
        <v>65</v>
      </c>
      <c r="G23" s="255" t="str">
        <f>CONCATENATE("Jan 1,",L1-1,"")</f>
        <v>Jan 1,2014</v>
      </c>
      <c r="H23" s="210">
        <f>L1-1</f>
        <v>2014</v>
      </c>
      <c r="I23" s="210">
        <f>L1</f>
        <v>2015</v>
      </c>
      <c r="J23" s="272"/>
      <c r="K23" s="272"/>
      <c r="L23" s="272"/>
    </row>
    <row r="24" spans="1:25" s="273" customFormat="1" x14ac:dyDescent="0.25">
      <c r="A24" s="272"/>
      <c r="B24" s="259" t="s">
        <v>981</v>
      </c>
      <c r="C24" s="260"/>
      <c r="D24" s="279"/>
      <c r="E24" s="261"/>
      <c r="F24" s="151"/>
      <c r="G24" s="151"/>
      <c r="H24" s="151"/>
      <c r="I24" s="151"/>
      <c r="J24" s="272"/>
      <c r="K24" s="272"/>
      <c r="L24" s="272"/>
    </row>
    <row r="25" spans="1:25" s="273" customFormat="1" x14ac:dyDescent="0.25">
      <c r="A25" s="272"/>
      <c r="B25" s="259"/>
      <c r="C25" s="260"/>
      <c r="D25" s="279"/>
      <c r="E25" s="261"/>
      <c r="F25" s="151"/>
      <c r="G25" s="151"/>
      <c r="H25" s="151"/>
      <c r="I25" s="151"/>
      <c r="J25" s="272"/>
      <c r="K25" s="272"/>
      <c r="L25" s="272"/>
    </row>
    <row r="26" spans="1:25" s="273" customFormat="1" x14ac:dyDescent="0.25">
      <c r="A26" s="272"/>
      <c r="B26" s="259"/>
      <c r="C26" s="260"/>
      <c r="D26" s="279"/>
      <c r="E26" s="261"/>
      <c r="F26" s="151"/>
      <c r="G26" s="151"/>
      <c r="H26" s="151"/>
      <c r="I26" s="151"/>
      <c r="J26" s="272"/>
      <c r="K26" s="272"/>
      <c r="L26" s="272"/>
    </row>
    <row r="27" spans="1:25" s="273" customFormat="1" x14ac:dyDescent="0.25">
      <c r="A27" s="272"/>
      <c r="B27" s="259"/>
      <c r="C27" s="260"/>
      <c r="D27" s="279"/>
      <c r="E27" s="261"/>
      <c r="F27" s="151"/>
      <c r="G27" s="151"/>
      <c r="H27" s="151"/>
      <c r="I27" s="151"/>
      <c r="J27" s="272"/>
      <c r="K27" s="272"/>
      <c r="L27" s="272"/>
    </row>
    <row r="28" spans="1:25" s="273" customFormat="1" x14ac:dyDescent="0.25">
      <c r="A28" s="272"/>
      <c r="B28" s="259"/>
      <c r="C28" s="260"/>
      <c r="D28" s="279"/>
      <c r="E28" s="261"/>
      <c r="F28" s="151"/>
      <c r="G28" s="151"/>
      <c r="H28" s="151"/>
      <c r="I28" s="151"/>
      <c r="J28" s="272"/>
      <c r="K28" s="272"/>
      <c r="L28" s="272"/>
    </row>
    <row r="29" spans="1:25" s="273" customFormat="1" x14ac:dyDescent="0.25">
      <c r="A29" s="272"/>
      <c r="B29" s="259"/>
      <c r="C29" s="260"/>
      <c r="D29" s="279"/>
      <c r="E29" s="261"/>
      <c r="F29" s="151"/>
      <c r="G29" s="151"/>
      <c r="H29" s="151"/>
      <c r="I29" s="151"/>
      <c r="J29" s="272"/>
      <c r="K29" s="272"/>
      <c r="L29" s="272"/>
    </row>
    <row r="30" spans="1:25" s="273" customFormat="1" x14ac:dyDescent="0.25">
      <c r="A30" s="272"/>
      <c r="B30" s="259"/>
      <c r="C30" s="260"/>
      <c r="D30" s="279"/>
      <c r="E30" s="261"/>
      <c r="F30" s="151"/>
      <c r="G30" s="151"/>
      <c r="H30" s="151"/>
      <c r="I30" s="151"/>
      <c r="J30" s="272"/>
      <c r="K30" s="272"/>
      <c r="L30" s="272"/>
    </row>
    <row r="31" spans="1:25" s="273" customFormat="1" x14ac:dyDescent="0.25">
      <c r="A31" s="272"/>
      <c r="B31" s="259"/>
      <c r="C31" s="260"/>
      <c r="D31" s="279"/>
      <c r="E31" s="261"/>
      <c r="F31" s="151"/>
      <c r="G31" s="151"/>
      <c r="H31" s="151"/>
      <c r="I31" s="151"/>
      <c r="J31" s="272"/>
      <c r="K31" s="272"/>
      <c r="L31" s="272"/>
    </row>
    <row r="32" spans="1:25" s="273" customFormat="1" x14ac:dyDescent="0.25">
      <c r="A32" s="272"/>
      <c r="B32" s="259"/>
      <c r="C32" s="260"/>
      <c r="D32" s="279"/>
      <c r="E32" s="261"/>
      <c r="F32" s="151"/>
      <c r="G32" s="151"/>
      <c r="H32" s="151"/>
      <c r="I32" s="151"/>
      <c r="J32" s="272"/>
      <c r="K32" s="272"/>
      <c r="L32" s="272"/>
    </row>
    <row r="33" spans="1:12" s="273" customFormat="1" x14ac:dyDescent="0.25">
      <c r="A33" s="272"/>
      <c r="B33" s="259"/>
      <c r="C33" s="260"/>
      <c r="D33" s="279"/>
      <c r="E33" s="261"/>
      <c r="F33" s="151"/>
      <c r="G33" s="151"/>
      <c r="H33" s="151"/>
      <c r="I33" s="151"/>
      <c r="J33" s="272"/>
      <c r="K33" s="272"/>
      <c r="L33" s="272"/>
    </row>
    <row r="34" spans="1:12" s="273" customFormat="1" x14ac:dyDescent="0.25">
      <c r="A34" s="272"/>
      <c r="B34" s="259"/>
      <c r="C34" s="260"/>
      <c r="D34" s="279"/>
      <c r="E34" s="261"/>
      <c r="F34" s="151"/>
      <c r="G34" s="151"/>
      <c r="H34" s="151"/>
      <c r="I34" s="151"/>
      <c r="J34" s="272"/>
      <c r="K34" s="272"/>
      <c r="L34" s="272"/>
    </row>
    <row r="35" spans="1:12" s="273" customFormat="1" x14ac:dyDescent="0.25">
      <c r="A35" s="272"/>
      <c r="B35" s="259"/>
      <c r="C35" s="260"/>
      <c r="D35" s="279"/>
      <c r="E35" s="261"/>
      <c r="F35" s="151"/>
      <c r="G35" s="151"/>
      <c r="H35" s="151"/>
      <c r="I35" s="151"/>
      <c r="J35" s="272"/>
      <c r="K35" s="272"/>
      <c r="L35" s="272"/>
    </row>
    <row r="36" spans="1:12" x14ac:dyDescent="0.25">
      <c r="A36" s="272"/>
      <c r="B36" s="272"/>
      <c r="C36" s="269"/>
      <c r="D36" s="269"/>
      <c r="E36" s="280"/>
      <c r="F36" s="536" t="s">
        <v>28</v>
      </c>
      <c r="G36" s="270">
        <f>SUM(G24:G35)</f>
        <v>0</v>
      </c>
      <c r="H36" s="270">
        <f>SUM(H24:H35)</f>
        <v>0</v>
      </c>
      <c r="I36" s="270">
        <f>SUM(I24:I35)</f>
        <v>0</v>
      </c>
      <c r="J36" s="248"/>
      <c r="K36" s="248"/>
      <c r="L36" s="281"/>
    </row>
    <row r="37" spans="1:12" x14ac:dyDescent="0.25">
      <c r="A37" s="272"/>
      <c r="B37" s="248"/>
      <c r="C37" s="248"/>
      <c r="D37" s="248"/>
      <c r="E37" s="248"/>
      <c r="F37" s="248"/>
      <c r="G37" s="248"/>
      <c r="H37" s="248"/>
      <c r="I37" s="248"/>
      <c r="J37" s="248"/>
      <c r="K37" s="248"/>
      <c r="L37" s="248"/>
    </row>
    <row r="38" spans="1:12" x14ac:dyDescent="0.25">
      <c r="A38" s="272"/>
      <c r="B38" s="282" t="s">
        <v>166</v>
      </c>
      <c r="C38" s="282"/>
      <c r="D38" s="282"/>
      <c r="E38" s="282"/>
      <c r="F38" s="282"/>
      <c r="G38" s="282"/>
      <c r="H38" s="282"/>
      <c r="I38" s="248"/>
      <c r="J38" s="248"/>
      <c r="K38" s="248"/>
      <c r="L38" s="248"/>
    </row>
    <row r="39" spans="1:12" x14ac:dyDescent="0.25">
      <c r="B39" s="283"/>
    </row>
  </sheetData>
  <sheetProtection sheet="1"/>
  <mergeCells count="2">
    <mergeCell ref="B18:I18"/>
    <mergeCell ref="B3:L3"/>
  </mergeCells>
  <phoneticPr fontId="0" type="noConversion"/>
  <pageMargins left="0.5" right="0.5" top="1" bottom="0.5" header="0.5" footer="0.5"/>
  <pageSetup scale="87" orientation="landscape" blackAndWhite="1" horizontalDpi="120" verticalDpi="144" r:id="rId1"/>
  <headerFooter alignWithMargins="0">
    <oddHeader xml:space="preserve">&amp;RState of Kansas
Township
</oddHeader>
    <oddFooter>&amp;CPage No. 5</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I108"/>
  <sheetViews>
    <sheetView workbookViewId="0">
      <selection activeCell="T114" sqref="T114"/>
    </sheetView>
  </sheetViews>
  <sheetFormatPr defaultColWidth="8.796875" defaultRowHeight="15" x14ac:dyDescent="0.2"/>
  <cols>
    <col min="1" max="1" width="2.296875" style="556" customWidth="1"/>
    <col min="2" max="4" width="8.796875" style="556"/>
    <col min="5" max="5" width="8.69921875" style="556" customWidth="1"/>
    <col min="6" max="6" width="8.796875" style="556"/>
    <col min="7" max="7" width="8.69921875" style="556" customWidth="1"/>
    <col min="8" max="16384" width="8.796875" style="556"/>
  </cols>
  <sheetData>
    <row r="1" spans="2:9" ht="15.75" x14ac:dyDescent="0.25">
      <c r="B1" s="555"/>
      <c r="C1" s="555"/>
      <c r="D1" s="555"/>
      <c r="E1" s="555"/>
      <c r="F1" s="555"/>
      <c r="G1" s="555"/>
      <c r="H1" s="555"/>
      <c r="I1" s="555"/>
    </row>
    <row r="2" spans="2:9" ht="15.75" x14ac:dyDescent="0.2">
      <c r="B2" s="846" t="s">
        <v>775</v>
      </c>
      <c r="C2" s="846"/>
      <c r="D2" s="846"/>
      <c r="E2" s="846"/>
      <c r="F2" s="846"/>
      <c r="G2" s="846"/>
      <c r="H2" s="846"/>
      <c r="I2" s="846"/>
    </row>
    <row r="3" spans="2:9" ht="15.75" x14ac:dyDescent="0.2">
      <c r="B3" s="846" t="s">
        <v>776</v>
      </c>
      <c r="C3" s="846"/>
      <c r="D3" s="846"/>
      <c r="E3" s="846"/>
      <c r="F3" s="846"/>
      <c r="G3" s="846"/>
      <c r="H3" s="846"/>
      <c r="I3" s="846"/>
    </row>
    <row r="4" spans="2:9" ht="15.75" x14ac:dyDescent="0.2">
      <c r="B4" s="557"/>
      <c r="C4" s="557"/>
      <c r="D4" s="557"/>
      <c r="E4" s="557"/>
      <c r="F4" s="557"/>
      <c r="G4" s="557"/>
      <c r="H4" s="557"/>
      <c r="I4" s="557"/>
    </row>
    <row r="5" spans="2:9" ht="15.75" x14ac:dyDescent="0.2">
      <c r="B5" s="847" t="str">
        <f>CONCATENATE("Budgeted Year: ",inputPrYr!D9,"")</f>
        <v>Budgeted Year: 2015</v>
      </c>
      <c r="C5" s="847"/>
      <c r="D5" s="847"/>
      <c r="E5" s="847"/>
      <c r="F5" s="847"/>
      <c r="G5" s="847"/>
      <c r="H5" s="847"/>
      <c r="I5" s="847"/>
    </row>
    <row r="6" spans="2:9" ht="15.75" x14ac:dyDescent="0.2">
      <c r="B6" s="558"/>
      <c r="C6" s="557"/>
      <c r="D6" s="557"/>
      <c r="E6" s="557"/>
      <c r="F6" s="557"/>
      <c r="G6" s="557"/>
      <c r="H6" s="557"/>
      <c r="I6" s="557"/>
    </row>
    <row r="7" spans="2:9" ht="15.75" x14ac:dyDescent="0.2">
      <c r="B7" s="558" t="str">
        <f>CONCATENATE("Library found in: ",inputPrYr!D3,"")</f>
        <v>Library found in: Milton Township</v>
      </c>
      <c r="C7" s="557"/>
      <c r="D7" s="557"/>
      <c r="E7" s="557"/>
      <c r="F7" s="557"/>
      <c r="G7" s="557"/>
      <c r="H7" s="557"/>
      <c r="I7" s="557"/>
    </row>
    <row r="8" spans="2:9" ht="15.75" x14ac:dyDescent="0.2">
      <c r="B8" s="558" t="str">
        <f>inputPrYr!D4</f>
        <v>Butler County</v>
      </c>
      <c r="C8" s="557"/>
      <c r="D8" s="557"/>
      <c r="E8" s="557"/>
      <c r="F8" s="557"/>
      <c r="G8" s="557"/>
      <c r="H8" s="557"/>
      <c r="I8" s="557"/>
    </row>
    <row r="9" spans="2:9" ht="15.75" x14ac:dyDescent="0.2">
      <c r="B9" s="557"/>
      <c r="C9" s="557"/>
      <c r="D9" s="557"/>
      <c r="E9" s="557"/>
      <c r="F9" s="557"/>
      <c r="G9" s="557"/>
      <c r="H9" s="557"/>
      <c r="I9" s="557"/>
    </row>
    <row r="10" spans="2:9" ht="39" customHeight="1" x14ac:dyDescent="0.2">
      <c r="B10" s="848" t="s">
        <v>777</v>
      </c>
      <c r="C10" s="848"/>
      <c r="D10" s="848"/>
      <c r="E10" s="848"/>
      <c r="F10" s="848"/>
      <c r="G10" s="848"/>
      <c r="H10" s="848"/>
      <c r="I10" s="848"/>
    </row>
    <row r="11" spans="2:9" ht="15.75" x14ac:dyDescent="0.2">
      <c r="B11" s="557"/>
      <c r="C11" s="557"/>
      <c r="D11" s="557"/>
      <c r="E11" s="557"/>
      <c r="F11" s="557"/>
      <c r="G11" s="557"/>
      <c r="H11" s="557"/>
      <c r="I11" s="557"/>
    </row>
    <row r="12" spans="2:9" ht="15.75" x14ac:dyDescent="0.2">
      <c r="B12" s="559" t="s">
        <v>778</v>
      </c>
      <c r="C12" s="557"/>
      <c r="D12" s="557"/>
      <c r="E12" s="557"/>
      <c r="F12" s="557"/>
      <c r="G12" s="557"/>
      <c r="H12" s="557"/>
      <c r="I12" s="557"/>
    </row>
    <row r="13" spans="2:9" ht="15.75" x14ac:dyDescent="0.2">
      <c r="B13" s="557"/>
      <c r="C13" s="557"/>
      <c r="D13" s="557"/>
      <c r="E13" s="560" t="s">
        <v>251</v>
      </c>
      <c r="F13" s="557"/>
      <c r="G13" s="560" t="s">
        <v>779</v>
      </c>
      <c r="H13" s="557"/>
      <c r="I13" s="557"/>
    </row>
    <row r="14" spans="2:9" ht="15.75" x14ac:dyDescent="0.2">
      <c r="B14" s="557"/>
      <c r="C14" s="557"/>
      <c r="D14" s="557"/>
      <c r="E14" s="561">
        <f>inputPrYr!D9-1</f>
        <v>2014</v>
      </c>
      <c r="F14" s="557"/>
      <c r="G14" s="561">
        <f>inputPrYr!D9</f>
        <v>2015</v>
      </c>
      <c r="H14" s="557"/>
      <c r="I14" s="557"/>
    </row>
    <row r="15" spans="2:9" ht="15.75" x14ac:dyDescent="0.2">
      <c r="B15" s="558" t="str">
        <f>'DebtSvs-Library'!B48</f>
        <v>Ad Valorem Tax</v>
      </c>
      <c r="C15" s="557"/>
      <c r="D15" s="557"/>
      <c r="E15" s="562">
        <f>'DebtSvs-Library'!D48</f>
        <v>0</v>
      </c>
      <c r="F15" s="557"/>
      <c r="G15" s="562">
        <f>'DebtSvs-Library'!E80</f>
        <v>0</v>
      </c>
      <c r="H15" s="557"/>
      <c r="I15" s="557"/>
    </row>
    <row r="16" spans="2:9" ht="15.75" x14ac:dyDescent="0.2">
      <c r="B16" s="558" t="str">
        <f>'DebtSvs-Library'!B49</f>
        <v>Delinquent Tax</v>
      </c>
      <c r="C16" s="557"/>
      <c r="D16" s="557"/>
      <c r="E16" s="562">
        <f>'DebtSvs-Library'!D49</f>
        <v>0</v>
      </c>
      <c r="F16" s="557"/>
      <c r="G16" s="562">
        <f>'DebtSvs-Library'!E49</f>
        <v>0</v>
      </c>
      <c r="H16" s="557"/>
      <c r="I16" s="557"/>
    </row>
    <row r="17" spans="2:9" ht="15.75" x14ac:dyDescent="0.2">
      <c r="B17" s="558" t="str">
        <f>'DebtSvs-Library'!B50</f>
        <v>Motor Vehicle Tax</v>
      </c>
      <c r="C17" s="557"/>
      <c r="D17" s="557"/>
      <c r="E17" s="562">
        <f>'DebtSvs-Library'!D50</f>
        <v>0</v>
      </c>
      <c r="F17" s="557"/>
      <c r="G17" s="562">
        <f>'DebtSvs-Library'!E50</f>
        <v>0</v>
      </c>
      <c r="H17" s="557"/>
      <c r="I17" s="557"/>
    </row>
    <row r="18" spans="2:9" ht="15.75" x14ac:dyDescent="0.2">
      <c r="B18" s="558" t="str">
        <f>'DebtSvs-Library'!B51</f>
        <v>Recreational Vehicle Tax</v>
      </c>
      <c r="C18" s="557"/>
      <c r="D18" s="557"/>
      <c r="E18" s="562">
        <f>'DebtSvs-Library'!D51</f>
        <v>0</v>
      </c>
      <c r="F18" s="557"/>
      <c r="G18" s="562">
        <f>'DebtSvs-Library'!E51</f>
        <v>0</v>
      </c>
      <c r="H18" s="557"/>
      <c r="I18" s="557"/>
    </row>
    <row r="19" spans="2:9" ht="15.75" x14ac:dyDescent="0.2">
      <c r="B19" s="558" t="str">
        <f>'DebtSvs-Library'!B52</f>
        <v>16/20M Vehicle Tax</v>
      </c>
      <c r="C19" s="557"/>
      <c r="D19" s="557"/>
      <c r="E19" s="562">
        <f>'DebtSvs-Library'!D52</f>
        <v>0</v>
      </c>
      <c r="F19" s="557"/>
      <c r="G19" s="562">
        <f>'DebtSvs-Library'!E52</f>
        <v>0</v>
      </c>
      <c r="H19" s="557"/>
      <c r="I19" s="557"/>
    </row>
    <row r="20" spans="2:9" ht="15.75" x14ac:dyDescent="0.2">
      <c r="B20" s="557" t="s">
        <v>89</v>
      </c>
      <c r="C20" s="557"/>
      <c r="D20" s="557"/>
      <c r="E20" s="562">
        <v>0</v>
      </c>
      <c r="F20" s="557"/>
      <c r="G20" s="562">
        <v>0</v>
      </c>
      <c r="H20" s="557"/>
      <c r="I20" s="557"/>
    </row>
    <row r="21" spans="2:9" ht="15.75" x14ac:dyDescent="0.2">
      <c r="B21" s="557"/>
      <c r="C21" s="557"/>
      <c r="D21" s="557"/>
      <c r="E21" s="562">
        <v>0</v>
      </c>
      <c r="F21" s="557"/>
      <c r="G21" s="562">
        <v>0</v>
      </c>
      <c r="H21" s="557"/>
      <c r="I21" s="557"/>
    </row>
    <row r="22" spans="2:9" ht="15.75" x14ac:dyDescent="0.2">
      <c r="B22" s="557" t="s">
        <v>780</v>
      </c>
      <c r="C22" s="557"/>
      <c r="D22" s="557"/>
      <c r="E22" s="563">
        <f>SUM(E15:E21)</f>
        <v>0</v>
      </c>
      <c r="F22" s="557"/>
      <c r="G22" s="563">
        <f>SUM(G15:G21)</f>
        <v>0</v>
      </c>
      <c r="H22" s="557"/>
      <c r="I22" s="557"/>
    </row>
    <row r="23" spans="2:9" ht="15.75" x14ac:dyDescent="0.2">
      <c r="B23" s="557" t="s">
        <v>781</v>
      </c>
      <c r="C23" s="557"/>
      <c r="D23" s="557"/>
      <c r="E23" s="564">
        <f>G22-E22</f>
        <v>0</v>
      </c>
      <c r="F23" s="557"/>
      <c r="G23" s="565"/>
      <c r="H23" s="557"/>
      <c r="I23" s="557"/>
    </row>
    <row r="24" spans="2:9" ht="15.75" x14ac:dyDescent="0.2">
      <c r="B24" s="557" t="s">
        <v>782</v>
      </c>
      <c r="C24" s="557"/>
      <c r="D24" s="566" t="str">
        <f>IF((G22-E22)&gt;0,"Qualify","Not Qualify")</f>
        <v>Not Qualify</v>
      </c>
      <c r="E24" s="557"/>
      <c r="F24" s="557"/>
      <c r="G24" s="557"/>
      <c r="H24" s="557"/>
      <c r="I24" s="557"/>
    </row>
    <row r="25" spans="2:9" ht="15.75" x14ac:dyDescent="0.2">
      <c r="B25" s="557"/>
      <c r="C25" s="557"/>
      <c r="D25" s="557"/>
      <c r="E25" s="557"/>
      <c r="F25" s="557"/>
      <c r="G25" s="557"/>
      <c r="H25" s="557"/>
      <c r="I25" s="557"/>
    </row>
    <row r="26" spans="2:9" ht="15.75" x14ac:dyDescent="0.2">
      <c r="B26" s="559" t="s">
        <v>783</v>
      </c>
      <c r="C26" s="557"/>
      <c r="D26" s="557"/>
      <c r="E26" s="557"/>
      <c r="F26" s="557"/>
      <c r="G26" s="557"/>
      <c r="H26" s="557"/>
      <c r="I26" s="557"/>
    </row>
    <row r="27" spans="2:9" ht="15.75" x14ac:dyDescent="0.2">
      <c r="B27" s="557" t="s">
        <v>784</v>
      </c>
      <c r="C27" s="557"/>
      <c r="D27" s="557"/>
      <c r="E27" s="562">
        <f>summ!D40</f>
        <v>7885028</v>
      </c>
      <c r="F27" s="557"/>
      <c r="G27" s="562">
        <f>summ!F40</f>
        <v>8115954</v>
      </c>
      <c r="H27" s="557"/>
      <c r="I27" s="557"/>
    </row>
    <row r="28" spans="2:9" ht="15.75" x14ac:dyDescent="0.2">
      <c r="B28" s="557" t="s">
        <v>785</v>
      </c>
      <c r="C28" s="557"/>
      <c r="D28" s="557"/>
      <c r="E28" s="567" t="str">
        <f>IF(G27-E27&gt;=0,"No","Yes")</f>
        <v>No</v>
      </c>
      <c r="F28" s="557"/>
      <c r="G28" s="557"/>
      <c r="H28" s="557"/>
      <c r="I28" s="557"/>
    </row>
    <row r="29" spans="2:9" ht="15.75" x14ac:dyDescent="0.2">
      <c r="B29" s="557" t="s">
        <v>786</v>
      </c>
      <c r="C29" s="557"/>
      <c r="D29" s="557"/>
      <c r="E29" s="568" t="str">
        <f>summ!E20</f>
        <v xml:space="preserve">  </v>
      </c>
      <c r="F29" s="557"/>
      <c r="G29" s="568">
        <f>summ!H36</f>
        <v>12.68</v>
      </c>
      <c r="H29" s="557"/>
      <c r="I29" s="557"/>
    </row>
    <row r="30" spans="2:9" ht="15.75" x14ac:dyDescent="0.2">
      <c r="B30" s="557" t="s">
        <v>787</v>
      </c>
      <c r="C30" s="557"/>
      <c r="D30" s="557"/>
      <c r="E30" s="569" t="e">
        <f>G29-E29</f>
        <v>#VALUE!</v>
      </c>
      <c r="F30" s="557"/>
      <c r="G30" s="557"/>
      <c r="H30" s="557"/>
      <c r="I30" s="557"/>
    </row>
    <row r="31" spans="2:9" ht="15.75" x14ac:dyDescent="0.2">
      <c r="B31" s="557" t="s">
        <v>782</v>
      </c>
      <c r="C31" s="557"/>
      <c r="D31" s="570" t="e">
        <f>IF(E30&gt;=0,"Qualify","Not Qualify")</f>
        <v>#VALUE!</v>
      </c>
      <c r="E31" s="557"/>
      <c r="F31" s="557"/>
      <c r="G31" s="557"/>
      <c r="H31" s="557"/>
      <c r="I31" s="557"/>
    </row>
    <row r="32" spans="2:9" ht="15.75" x14ac:dyDescent="0.2">
      <c r="B32" s="557"/>
      <c r="C32" s="557"/>
      <c r="D32" s="557"/>
      <c r="E32" s="557"/>
      <c r="F32" s="557"/>
      <c r="G32" s="557"/>
      <c r="H32" s="557"/>
      <c r="I32" s="557"/>
    </row>
    <row r="33" spans="2:9" ht="15.75" x14ac:dyDescent="0.2">
      <c r="B33" s="557" t="s">
        <v>788</v>
      </c>
      <c r="C33" s="557"/>
      <c r="D33" s="557"/>
      <c r="E33" s="557"/>
      <c r="F33" s="571" t="e">
        <f>IF(D24="Not Qualify",IF(D31="Not Qualify",IF(D31="Not Qualify","Not Qualify","Qualify"),"Qualify"),"Qualify")</f>
        <v>#VALUE!</v>
      </c>
      <c r="G33" s="557"/>
      <c r="H33" s="557"/>
      <c r="I33" s="557"/>
    </row>
    <row r="34" spans="2:9" ht="15.75" x14ac:dyDescent="0.2">
      <c r="B34" s="557"/>
      <c r="C34" s="557"/>
      <c r="D34" s="557"/>
      <c r="E34" s="557"/>
      <c r="F34" s="557"/>
      <c r="G34" s="557"/>
      <c r="H34" s="557"/>
      <c r="I34" s="557"/>
    </row>
    <row r="35" spans="2:9" ht="15.75" x14ac:dyDescent="0.2">
      <c r="B35" s="557"/>
      <c r="C35" s="557"/>
      <c r="D35" s="557"/>
      <c r="E35" s="557"/>
      <c r="F35" s="557"/>
      <c r="G35" s="557"/>
      <c r="H35" s="557"/>
      <c r="I35" s="557"/>
    </row>
    <row r="36" spans="2:9" ht="37.5" customHeight="1" x14ac:dyDescent="0.2">
      <c r="B36" s="848" t="s">
        <v>789</v>
      </c>
      <c r="C36" s="848"/>
      <c r="D36" s="848"/>
      <c r="E36" s="848"/>
      <c r="F36" s="848"/>
      <c r="G36" s="848"/>
      <c r="H36" s="848"/>
      <c r="I36" s="848"/>
    </row>
    <row r="37" spans="2:9" ht="15.75" x14ac:dyDescent="0.2">
      <c r="B37" s="557"/>
      <c r="C37" s="557"/>
      <c r="D37" s="557"/>
      <c r="E37" s="557"/>
      <c r="F37" s="557"/>
      <c r="G37" s="557"/>
      <c r="H37" s="557"/>
      <c r="I37" s="557"/>
    </row>
    <row r="38" spans="2:9" ht="15.75" x14ac:dyDescent="0.2">
      <c r="B38" s="557"/>
      <c r="C38" s="557"/>
      <c r="D38" s="557"/>
      <c r="E38" s="557"/>
      <c r="F38" s="557"/>
      <c r="G38" s="557"/>
      <c r="H38" s="557"/>
      <c r="I38" s="557"/>
    </row>
    <row r="39" spans="2:9" ht="15.75" x14ac:dyDescent="0.2">
      <c r="B39" s="557"/>
      <c r="C39" s="557"/>
      <c r="D39" s="557"/>
      <c r="E39" s="557"/>
      <c r="F39" s="557"/>
      <c r="G39" s="557"/>
      <c r="H39" s="557"/>
      <c r="I39" s="557"/>
    </row>
    <row r="40" spans="2:9" ht="15.75" x14ac:dyDescent="0.2">
      <c r="B40" s="557"/>
      <c r="C40" s="557"/>
      <c r="D40" s="557"/>
      <c r="E40" s="572" t="s">
        <v>790</v>
      </c>
      <c r="F40" s="573">
        <v>6</v>
      </c>
      <c r="G40" s="557"/>
      <c r="H40" s="557"/>
      <c r="I40" s="557"/>
    </row>
    <row r="41" spans="2:9" ht="15.75" x14ac:dyDescent="0.2">
      <c r="B41" s="557"/>
      <c r="C41" s="557"/>
      <c r="D41" s="557"/>
      <c r="E41" s="557"/>
      <c r="F41" s="557"/>
      <c r="G41" s="557"/>
      <c r="H41" s="557"/>
      <c r="I41" s="557"/>
    </row>
    <row r="42" spans="2:9" ht="15.75" x14ac:dyDescent="0.2">
      <c r="B42" s="557"/>
      <c r="C42" s="557"/>
      <c r="D42" s="557"/>
      <c r="E42" s="557"/>
      <c r="F42" s="557"/>
      <c r="G42" s="557"/>
      <c r="H42" s="557"/>
      <c r="I42" s="557"/>
    </row>
    <row r="43" spans="2:9" ht="15.75" x14ac:dyDescent="0.25">
      <c r="B43" s="844" t="s">
        <v>791</v>
      </c>
      <c r="C43" s="845"/>
      <c r="D43" s="845"/>
      <c r="E43" s="845"/>
      <c r="F43" s="845"/>
      <c r="G43" s="845"/>
      <c r="H43" s="845"/>
      <c r="I43" s="845"/>
    </row>
    <row r="44" spans="2:9" ht="15.75" x14ac:dyDescent="0.2">
      <c r="B44" s="557"/>
      <c r="C44" s="557"/>
      <c r="D44" s="557"/>
      <c r="E44" s="557"/>
      <c r="F44" s="557"/>
      <c r="G44" s="557"/>
      <c r="H44" s="557"/>
      <c r="I44" s="557"/>
    </row>
    <row r="45" spans="2:9" ht="15.75" x14ac:dyDescent="0.25">
      <c r="B45" s="574" t="s">
        <v>792</v>
      </c>
      <c r="C45" s="557"/>
      <c r="D45" s="557"/>
      <c r="E45" s="557"/>
      <c r="F45" s="557"/>
      <c r="G45" s="557"/>
      <c r="H45" s="557"/>
      <c r="I45" s="557"/>
    </row>
    <row r="46" spans="2:9" ht="15.75" x14ac:dyDescent="0.25">
      <c r="B46" s="574" t="str">
        <f>CONCATENATE("sources in your ",G14," library fund is not equal to or greater than the amount from the same")</f>
        <v>sources in your 2015 library fund is not equal to or greater than the amount from the same</v>
      </c>
      <c r="C46" s="557"/>
      <c r="D46" s="557"/>
      <c r="E46" s="557"/>
      <c r="F46" s="557"/>
      <c r="G46" s="557"/>
      <c r="H46" s="557"/>
      <c r="I46" s="557"/>
    </row>
    <row r="47" spans="2:9" ht="15.75" x14ac:dyDescent="0.25">
      <c r="B47" s="574" t="str">
        <f>CONCATENATE("sources in ",E14,".")</f>
        <v>sources in 2014.</v>
      </c>
      <c r="C47" s="555"/>
      <c r="D47" s="555"/>
      <c r="E47" s="555"/>
      <c r="F47" s="555"/>
      <c r="G47" s="555"/>
      <c r="H47" s="555"/>
      <c r="I47" s="555"/>
    </row>
    <row r="48" spans="2:9" ht="15.75" x14ac:dyDescent="0.25">
      <c r="B48" s="555"/>
      <c r="C48" s="555"/>
      <c r="D48" s="555"/>
      <c r="E48" s="555"/>
      <c r="F48" s="555"/>
      <c r="G48" s="555"/>
      <c r="H48" s="555"/>
      <c r="I48" s="555"/>
    </row>
    <row r="49" spans="2:9" ht="15.75" x14ac:dyDescent="0.25">
      <c r="B49" s="574" t="s">
        <v>793</v>
      </c>
      <c r="C49" s="574"/>
      <c r="D49" s="575"/>
      <c r="E49" s="575"/>
      <c r="F49" s="575"/>
      <c r="G49" s="575"/>
      <c r="H49" s="575"/>
      <c r="I49" s="575"/>
    </row>
    <row r="50" spans="2:9" ht="15.75" x14ac:dyDescent="0.25">
      <c r="B50" s="574" t="s">
        <v>794</v>
      </c>
      <c r="C50" s="574"/>
      <c r="D50" s="575"/>
      <c r="E50" s="575"/>
      <c r="F50" s="575"/>
      <c r="G50" s="575"/>
      <c r="H50" s="575"/>
      <c r="I50" s="575"/>
    </row>
    <row r="51" spans="2:9" ht="15.75" x14ac:dyDescent="0.25">
      <c r="B51" s="574" t="s">
        <v>795</v>
      </c>
      <c r="C51" s="574"/>
      <c r="D51" s="575"/>
      <c r="E51" s="575"/>
      <c r="F51" s="575"/>
      <c r="G51" s="575"/>
      <c r="H51" s="575"/>
      <c r="I51" s="575"/>
    </row>
    <row r="52" spans="2:9" x14ac:dyDescent="0.2">
      <c r="B52" s="575"/>
      <c r="C52" s="575"/>
      <c r="D52" s="575"/>
      <c r="E52" s="575"/>
      <c r="F52" s="575"/>
      <c r="G52" s="575"/>
      <c r="H52" s="575"/>
      <c r="I52" s="575"/>
    </row>
    <row r="53" spans="2:9" ht="15.75" x14ac:dyDescent="0.25">
      <c r="B53" s="576" t="s">
        <v>796</v>
      </c>
      <c r="C53" s="575"/>
      <c r="D53" s="575"/>
      <c r="E53" s="575"/>
      <c r="F53" s="575"/>
      <c r="G53" s="575"/>
      <c r="H53" s="575"/>
      <c r="I53" s="575"/>
    </row>
    <row r="54" spans="2:9" x14ac:dyDescent="0.2">
      <c r="B54" s="575"/>
      <c r="C54" s="575"/>
      <c r="D54" s="575"/>
      <c r="E54" s="575"/>
      <c r="F54" s="575"/>
      <c r="G54" s="575"/>
      <c r="H54" s="575"/>
      <c r="I54" s="575"/>
    </row>
    <row r="55" spans="2:9" ht="15.75" x14ac:dyDescent="0.25">
      <c r="B55" s="574" t="s">
        <v>797</v>
      </c>
      <c r="C55" s="575"/>
      <c r="D55" s="575"/>
      <c r="E55" s="575"/>
      <c r="F55" s="575"/>
      <c r="G55" s="575"/>
      <c r="H55" s="575"/>
      <c r="I55" s="575"/>
    </row>
    <row r="56" spans="2:9" ht="15.75" x14ac:dyDescent="0.25">
      <c r="B56" s="574" t="s">
        <v>798</v>
      </c>
      <c r="C56" s="575"/>
      <c r="D56" s="575"/>
      <c r="E56" s="575"/>
      <c r="F56" s="575"/>
      <c r="G56" s="575"/>
      <c r="H56" s="575"/>
      <c r="I56" s="575"/>
    </row>
    <row r="57" spans="2:9" x14ac:dyDescent="0.2">
      <c r="B57" s="575"/>
      <c r="C57" s="575"/>
      <c r="D57" s="575"/>
      <c r="E57" s="575"/>
      <c r="F57" s="575"/>
      <c r="G57" s="575"/>
      <c r="H57" s="575"/>
      <c r="I57" s="575"/>
    </row>
    <row r="58" spans="2:9" ht="15.75" x14ac:dyDescent="0.25">
      <c r="B58" s="576" t="s">
        <v>799</v>
      </c>
      <c r="C58" s="574"/>
      <c r="D58" s="574"/>
      <c r="E58" s="574"/>
      <c r="F58" s="574"/>
      <c r="G58" s="575"/>
      <c r="H58" s="575"/>
      <c r="I58" s="575"/>
    </row>
    <row r="59" spans="2:9" ht="15.75" x14ac:dyDescent="0.25">
      <c r="B59" s="574"/>
      <c r="C59" s="574"/>
      <c r="D59" s="574"/>
      <c r="E59" s="574"/>
      <c r="F59" s="574"/>
      <c r="G59" s="575"/>
      <c r="H59" s="575"/>
      <c r="I59" s="575"/>
    </row>
    <row r="60" spans="2:9" ht="15.75" x14ac:dyDescent="0.25">
      <c r="B60" s="574" t="s">
        <v>800</v>
      </c>
      <c r="C60" s="574"/>
      <c r="D60" s="574"/>
      <c r="E60" s="574"/>
      <c r="F60" s="574"/>
      <c r="G60" s="575"/>
      <c r="H60" s="575"/>
      <c r="I60" s="575"/>
    </row>
    <row r="61" spans="2:9" ht="15.75" x14ac:dyDescent="0.25">
      <c r="B61" s="574" t="s">
        <v>801</v>
      </c>
      <c r="C61" s="574"/>
      <c r="D61" s="574"/>
      <c r="E61" s="574"/>
      <c r="F61" s="574"/>
      <c r="G61" s="575"/>
      <c r="H61" s="575"/>
      <c r="I61" s="575"/>
    </row>
    <row r="62" spans="2:9" ht="15.75" x14ac:dyDescent="0.25">
      <c r="B62" s="574" t="s">
        <v>802</v>
      </c>
      <c r="C62" s="574"/>
      <c r="D62" s="574"/>
      <c r="E62" s="574"/>
      <c r="F62" s="574"/>
      <c r="G62" s="575"/>
      <c r="H62" s="575"/>
      <c r="I62" s="575"/>
    </row>
    <row r="63" spans="2:9" ht="15.75" x14ac:dyDescent="0.25">
      <c r="B63" s="574" t="s">
        <v>803</v>
      </c>
      <c r="C63" s="574"/>
      <c r="D63" s="574"/>
      <c r="E63" s="574"/>
      <c r="F63" s="574"/>
      <c r="G63" s="575"/>
      <c r="H63" s="575"/>
      <c r="I63" s="575"/>
    </row>
    <row r="64" spans="2:9" x14ac:dyDescent="0.2">
      <c r="B64" s="577"/>
      <c r="C64" s="577"/>
      <c r="D64" s="577"/>
      <c r="E64" s="577"/>
      <c r="F64" s="577"/>
      <c r="G64" s="575"/>
      <c r="H64" s="575"/>
      <c r="I64" s="575"/>
    </row>
    <row r="65" spans="2:9" ht="15.75" x14ac:dyDescent="0.25">
      <c r="B65" s="574" t="s">
        <v>804</v>
      </c>
      <c r="C65" s="577"/>
      <c r="D65" s="577"/>
      <c r="E65" s="577"/>
      <c r="F65" s="577"/>
      <c r="G65" s="575"/>
      <c r="H65" s="575"/>
      <c r="I65" s="575"/>
    </row>
    <row r="66" spans="2:9" ht="15.75" x14ac:dyDescent="0.25">
      <c r="B66" s="574" t="s">
        <v>805</v>
      </c>
      <c r="C66" s="577"/>
      <c r="D66" s="577"/>
      <c r="E66" s="577"/>
      <c r="F66" s="577"/>
      <c r="G66" s="575"/>
      <c r="H66" s="575"/>
      <c r="I66" s="575"/>
    </row>
    <row r="67" spans="2:9" x14ac:dyDescent="0.2">
      <c r="B67" s="577"/>
      <c r="C67" s="577"/>
      <c r="D67" s="577"/>
      <c r="E67" s="577"/>
      <c r="F67" s="577"/>
      <c r="G67" s="575"/>
      <c r="H67" s="575"/>
      <c r="I67" s="575"/>
    </row>
    <row r="68" spans="2:9" ht="15.75" x14ac:dyDescent="0.25">
      <c r="B68" s="574" t="s">
        <v>806</v>
      </c>
      <c r="C68" s="577"/>
      <c r="D68" s="577"/>
      <c r="E68" s="577"/>
      <c r="F68" s="577"/>
      <c r="G68" s="575"/>
      <c r="H68" s="575"/>
      <c r="I68" s="575"/>
    </row>
    <row r="69" spans="2:9" ht="15.75" x14ac:dyDescent="0.25">
      <c r="B69" s="574" t="s">
        <v>807</v>
      </c>
      <c r="C69" s="577"/>
      <c r="D69" s="577"/>
      <c r="E69" s="577"/>
      <c r="F69" s="577"/>
      <c r="G69" s="575"/>
      <c r="H69" s="575"/>
      <c r="I69" s="575"/>
    </row>
    <row r="70" spans="2:9" x14ac:dyDescent="0.2">
      <c r="B70" s="577"/>
      <c r="C70" s="577"/>
      <c r="D70" s="577"/>
      <c r="E70" s="577"/>
      <c r="F70" s="577"/>
      <c r="G70" s="575"/>
      <c r="H70" s="575"/>
      <c r="I70" s="575"/>
    </row>
    <row r="71" spans="2:9" ht="15.75" x14ac:dyDescent="0.25">
      <c r="B71" s="576" t="s">
        <v>808</v>
      </c>
      <c r="C71" s="577"/>
      <c r="D71" s="577"/>
      <c r="E71" s="577"/>
      <c r="F71" s="577"/>
      <c r="G71" s="575"/>
      <c r="H71" s="575"/>
      <c r="I71" s="575"/>
    </row>
    <row r="72" spans="2:9" x14ac:dyDescent="0.2">
      <c r="B72" s="577"/>
      <c r="C72" s="577"/>
      <c r="D72" s="577"/>
      <c r="E72" s="577"/>
      <c r="F72" s="577"/>
      <c r="G72" s="575"/>
      <c r="H72" s="575"/>
      <c r="I72" s="575"/>
    </row>
    <row r="73" spans="2:9" ht="15.75" x14ac:dyDescent="0.25">
      <c r="B73" s="574" t="s">
        <v>809</v>
      </c>
      <c r="C73" s="577"/>
      <c r="D73" s="577"/>
      <c r="E73" s="577"/>
      <c r="F73" s="577"/>
      <c r="G73" s="575"/>
      <c r="H73" s="575"/>
      <c r="I73" s="575"/>
    </row>
    <row r="74" spans="2:9" ht="15.75" x14ac:dyDescent="0.25">
      <c r="B74" s="574" t="s">
        <v>810</v>
      </c>
      <c r="C74" s="577"/>
      <c r="D74" s="577"/>
      <c r="E74" s="577"/>
      <c r="F74" s="577"/>
      <c r="G74" s="575"/>
      <c r="H74" s="575"/>
      <c r="I74" s="575"/>
    </row>
    <row r="75" spans="2:9" x14ac:dyDescent="0.2">
      <c r="B75" s="577"/>
      <c r="C75" s="577"/>
      <c r="D75" s="577"/>
      <c r="E75" s="577"/>
      <c r="F75" s="577"/>
      <c r="G75" s="575"/>
      <c r="H75" s="575"/>
      <c r="I75" s="575"/>
    </row>
    <row r="76" spans="2:9" ht="15.75" x14ac:dyDescent="0.25">
      <c r="B76" s="576" t="s">
        <v>811</v>
      </c>
      <c r="C76" s="577"/>
      <c r="D76" s="577"/>
      <c r="E76" s="577"/>
      <c r="F76" s="577"/>
      <c r="G76" s="575"/>
      <c r="H76" s="575"/>
      <c r="I76" s="575"/>
    </row>
    <row r="77" spans="2:9" x14ac:dyDescent="0.2">
      <c r="B77" s="577"/>
      <c r="C77" s="577"/>
      <c r="D77" s="577"/>
      <c r="E77" s="577"/>
      <c r="F77" s="577"/>
      <c r="G77" s="575"/>
      <c r="H77" s="575"/>
      <c r="I77" s="575"/>
    </row>
    <row r="78" spans="2:9" ht="15.75" x14ac:dyDescent="0.25">
      <c r="B78" s="574" t="str">
        <f>CONCATENATE("If the ",G14," municipal budget has not been published and has not been submitted to the County")</f>
        <v>If the 2015 municipal budget has not been published and has not been submitted to the County</v>
      </c>
      <c r="C78" s="577"/>
      <c r="D78" s="577"/>
      <c r="E78" s="577"/>
      <c r="F78" s="577"/>
      <c r="G78" s="575"/>
      <c r="H78" s="575"/>
      <c r="I78" s="575"/>
    </row>
    <row r="79" spans="2:9" ht="15.75" x14ac:dyDescent="0.25">
      <c r="B79" s="574" t="s">
        <v>812</v>
      </c>
      <c r="C79" s="577"/>
      <c r="D79" s="577"/>
      <c r="E79" s="577"/>
      <c r="F79" s="577"/>
      <c r="G79" s="575"/>
      <c r="H79" s="575"/>
      <c r="I79" s="575"/>
    </row>
    <row r="80" spans="2:9" x14ac:dyDescent="0.2">
      <c r="B80" s="577"/>
      <c r="C80" s="577"/>
      <c r="D80" s="577"/>
      <c r="E80" s="577"/>
      <c r="F80" s="577"/>
      <c r="G80" s="575"/>
      <c r="H80" s="575"/>
      <c r="I80" s="575"/>
    </row>
    <row r="81" spans="2:9" ht="15.75" x14ac:dyDescent="0.25">
      <c r="B81" s="576" t="s">
        <v>391</v>
      </c>
      <c r="C81" s="577"/>
      <c r="D81" s="577"/>
      <c r="E81" s="577"/>
      <c r="F81" s="577"/>
      <c r="G81" s="575"/>
      <c r="H81" s="575"/>
      <c r="I81" s="575"/>
    </row>
    <row r="82" spans="2:9" x14ac:dyDescent="0.2">
      <c r="B82" s="577"/>
      <c r="C82" s="577"/>
      <c r="D82" s="577"/>
      <c r="E82" s="577"/>
      <c r="F82" s="577"/>
      <c r="G82" s="575"/>
      <c r="H82" s="575"/>
      <c r="I82" s="575"/>
    </row>
    <row r="83" spans="2:9" ht="15.75" x14ac:dyDescent="0.25">
      <c r="B83" s="574" t="s">
        <v>813</v>
      </c>
      <c r="C83" s="577"/>
      <c r="D83" s="577"/>
      <c r="E83" s="577"/>
      <c r="F83" s="577"/>
      <c r="G83" s="575"/>
      <c r="H83" s="575"/>
      <c r="I83" s="575"/>
    </row>
    <row r="84" spans="2:9" ht="15.75" x14ac:dyDescent="0.25">
      <c r="B84" s="574" t="str">
        <f>CONCATENATE("Budget Year ",G14," is equal to or greater than that for Current Year Estimate ",E14,".")</f>
        <v>Budget Year 2015 is equal to or greater than that for Current Year Estimate 2014.</v>
      </c>
      <c r="C84" s="577"/>
      <c r="D84" s="577"/>
      <c r="E84" s="577"/>
      <c r="F84" s="577"/>
      <c r="G84" s="575"/>
      <c r="H84" s="575"/>
      <c r="I84" s="575"/>
    </row>
    <row r="85" spans="2:9" x14ac:dyDescent="0.2">
      <c r="B85" s="577"/>
      <c r="C85" s="577"/>
      <c r="D85" s="577"/>
      <c r="E85" s="577"/>
      <c r="F85" s="577"/>
      <c r="G85" s="575"/>
      <c r="H85" s="575"/>
      <c r="I85" s="575"/>
    </row>
    <row r="86" spans="2:9" ht="15.75" x14ac:dyDescent="0.25">
      <c r="B86" s="574" t="s">
        <v>814</v>
      </c>
      <c r="C86" s="577"/>
      <c r="D86" s="577"/>
      <c r="E86" s="577"/>
      <c r="F86" s="577"/>
      <c r="G86" s="575"/>
      <c r="H86" s="575"/>
      <c r="I86" s="575"/>
    </row>
    <row r="87" spans="2:9" ht="15.75" x14ac:dyDescent="0.25">
      <c r="B87" s="574" t="s">
        <v>815</v>
      </c>
      <c r="C87" s="577"/>
      <c r="D87" s="577"/>
      <c r="E87" s="577"/>
      <c r="F87" s="577"/>
      <c r="G87" s="575"/>
      <c r="H87" s="575"/>
      <c r="I87" s="575"/>
    </row>
    <row r="88" spans="2:9" ht="15.75" x14ac:dyDescent="0.25">
      <c r="B88" s="574" t="s">
        <v>816</v>
      </c>
      <c r="C88" s="577"/>
      <c r="D88" s="577"/>
      <c r="E88" s="577"/>
      <c r="F88" s="577"/>
      <c r="G88" s="575"/>
      <c r="H88" s="575"/>
      <c r="I88" s="575"/>
    </row>
    <row r="89" spans="2:9" ht="15.75" x14ac:dyDescent="0.25">
      <c r="B89" s="574" t="str">
        <f>CONCATENATE("purpose for the previous (",E14,") year.")</f>
        <v>purpose for the previous (2014) year.</v>
      </c>
      <c r="C89" s="577"/>
      <c r="D89" s="577"/>
      <c r="E89" s="577"/>
      <c r="F89" s="577"/>
      <c r="G89" s="575"/>
      <c r="H89" s="575"/>
      <c r="I89" s="575"/>
    </row>
    <row r="90" spans="2:9" x14ac:dyDescent="0.2">
      <c r="B90" s="577"/>
      <c r="C90" s="577"/>
      <c r="D90" s="577"/>
      <c r="E90" s="577"/>
      <c r="F90" s="577"/>
      <c r="G90" s="575"/>
      <c r="H90" s="575"/>
      <c r="I90" s="575"/>
    </row>
    <row r="91" spans="2:9" ht="15.75" x14ac:dyDescent="0.25">
      <c r="B91" s="574" t="str">
        <f>CONCATENATE("Next, look to see if delinquent tax for ",G14," is budgeted. Often this line is budgeted at $0 or left")</f>
        <v>Next, look to see if delinquent tax for 2015 is budgeted. Often this line is budgeted at $0 or left</v>
      </c>
      <c r="C91" s="577"/>
      <c r="D91" s="577"/>
      <c r="E91" s="577"/>
      <c r="F91" s="577"/>
      <c r="G91" s="575"/>
      <c r="H91" s="575"/>
      <c r="I91" s="575"/>
    </row>
    <row r="92" spans="2:9" ht="15.75" x14ac:dyDescent="0.25">
      <c r="B92" s="574" t="s">
        <v>817</v>
      </c>
      <c r="C92" s="577"/>
      <c r="D92" s="577"/>
      <c r="E92" s="577"/>
      <c r="F92" s="577"/>
      <c r="G92" s="575"/>
      <c r="H92" s="575"/>
      <c r="I92" s="575"/>
    </row>
    <row r="93" spans="2:9" ht="15.75" x14ac:dyDescent="0.25">
      <c r="B93" s="574" t="s">
        <v>818</v>
      </c>
      <c r="C93" s="577"/>
      <c r="D93" s="577"/>
      <c r="E93" s="577"/>
      <c r="F93" s="577"/>
      <c r="G93" s="575"/>
      <c r="H93" s="575"/>
      <c r="I93" s="575"/>
    </row>
    <row r="94" spans="2:9" ht="15.75" x14ac:dyDescent="0.25">
      <c r="B94" s="574" t="s">
        <v>819</v>
      </c>
      <c r="C94" s="577"/>
      <c r="D94" s="577"/>
      <c r="E94" s="577"/>
      <c r="F94" s="577"/>
      <c r="G94" s="575"/>
      <c r="H94" s="575"/>
      <c r="I94" s="575"/>
    </row>
    <row r="95" spans="2:9" x14ac:dyDescent="0.2">
      <c r="B95" s="577"/>
      <c r="C95" s="577"/>
      <c r="D95" s="577"/>
      <c r="E95" s="577"/>
      <c r="F95" s="577"/>
      <c r="G95" s="575"/>
      <c r="H95" s="575"/>
      <c r="I95" s="575"/>
    </row>
    <row r="96" spans="2:9" ht="15.75" x14ac:dyDescent="0.25">
      <c r="B96" s="576" t="s">
        <v>820</v>
      </c>
      <c r="C96" s="577"/>
      <c r="D96" s="577"/>
      <c r="E96" s="577"/>
      <c r="F96" s="577"/>
      <c r="G96" s="575"/>
      <c r="H96" s="575"/>
      <c r="I96" s="575"/>
    </row>
    <row r="97" spans="2:9" x14ac:dyDescent="0.2">
      <c r="B97" s="577"/>
      <c r="C97" s="577"/>
      <c r="D97" s="577"/>
      <c r="E97" s="577"/>
      <c r="F97" s="577"/>
      <c r="G97" s="575"/>
      <c r="H97" s="575"/>
      <c r="I97" s="575"/>
    </row>
    <row r="98" spans="2:9" ht="15.75" x14ac:dyDescent="0.25">
      <c r="B98" s="574" t="s">
        <v>821</v>
      </c>
      <c r="C98" s="577"/>
      <c r="D98" s="577"/>
      <c r="E98" s="577"/>
      <c r="F98" s="577"/>
      <c r="G98" s="575"/>
      <c r="H98" s="575"/>
      <c r="I98" s="575"/>
    </row>
    <row r="99" spans="2:9" ht="15.75" x14ac:dyDescent="0.25">
      <c r="B99" s="574" t="s">
        <v>822</v>
      </c>
      <c r="C99" s="577"/>
      <c r="D99" s="577"/>
      <c r="E99" s="577"/>
      <c r="F99" s="577"/>
      <c r="G99" s="575"/>
      <c r="H99" s="575"/>
      <c r="I99" s="575"/>
    </row>
    <row r="100" spans="2:9" x14ac:dyDescent="0.2">
      <c r="B100" s="577"/>
      <c r="C100" s="577"/>
      <c r="D100" s="577"/>
      <c r="E100" s="577"/>
      <c r="F100" s="577"/>
      <c r="G100" s="575"/>
      <c r="H100" s="575"/>
      <c r="I100" s="575"/>
    </row>
    <row r="101" spans="2:9" ht="15.75" x14ac:dyDescent="0.25">
      <c r="B101" s="574" t="s">
        <v>823</v>
      </c>
      <c r="C101" s="577"/>
      <c r="D101" s="577"/>
      <c r="E101" s="577"/>
      <c r="F101" s="577"/>
      <c r="G101" s="575"/>
      <c r="H101" s="575"/>
      <c r="I101" s="575"/>
    </row>
    <row r="102" spans="2:9" ht="15.75" x14ac:dyDescent="0.25">
      <c r="B102" s="574" t="s">
        <v>824</v>
      </c>
      <c r="C102" s="577"/>
      <c r="D102" s="577"/>
      <c r="E102" s="577"/>
      <c r="F102" s="577"/>
      <c r="G102" s="575"/>
      <c r="H102" s="575"/>
      <c r="I102" s="575"/>
    </row>
    <row r="103" spans="2:9" ht="15.75" x14ac:dyDescent="0.25">
      <c r="B103" s="574" t="s">
        <v>825</v>
      </c>
      <c r="C103" s="577"/>
      <c r="D103" s="577"/>
      <c r="E103" s="577"/>
      <c r="F103" s="577"/>
      <c r="G103" s="575"/>
      <c r="H103" s="575"/>
      <c r="I103" s="575"/>
    </row>
    <row r="104" spans="2:9" ht="15.75" x14ac:dyDescent="0.25">
      <c r="B104" s="574" t="s">
        <v>826</v>
      </c>
      <c r="C104" s="577"/>
      <c r="D104" s="577"/>
      <c r="E104" s="577"/>
      <c r="F104" s="577"/>
      <c r="G104" s="575"/>
      <c r="H104" s="575"/>
      <c r="I104" s="575"/>
    </row>
    <row r="105" spans="2:9" ht="15.75" x14ac:dyDescent="0.25">
      <c r="B105" s="706" t="s">
        <v>903</v>
      </c>
      <c r="C105" s="707"/>
      <c r="D105" s="707"/>
      <c r="E105" s="707"/>
      <c r="F105" s="707"/>
      <c r="G105" s="575"/>
      <c r="H105" s="575"/>
      <c r="I105" s="575"/>
    </row>
    <row r="108" spans="2:9" x14ac:dyDescent="0.2">
      <c r="G108" s="578"/>
    </row>
  </sheetData>
  <sheetProtection sheet="1"/>
  <mergeCells count="6">
    <mergeCell ref="B43:I43"/>
    <mergeCell ref="B2:I2"/>
    <mergeCell ref="B3:I3"/>
    <mergeCell ref="B5:I5"/>
    <mergeCell ref="B10:I10"/>
    <mergeCell ref="B36:I36"/>
  </mergeCells>
  <hyperlinks>
    <hyperlink ref="B105" r:id="rId1" display="mailto:peter.haxton@library.ks.gov"/>
  </hyperlinks>
  <pageMargins left="0.7" right="0.7" top="0.75" bottom="0.75" header="0.25" footer="0.25"/>
  <pageSetup scale="80" orientation="portrait" blackAndWhite="1" r:id="rId2"/>
  <headerFooter>
    <oddHeader>&amp;RState of Kansas
City</oddHeader>
  </headerFooter>
  <rowBreaks count="1" manualBreakCount="1">
    <brk id="40"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B1:K75"/>
  <sheetViews>
    <sheetView workbookViewId="0">
      <selection activeCell="E6" sqref="E6"/>
    </sheetView>
  </sheetViews>
  <sheetFormatPr defaultColWidth="8.796875" defaultRowHeight="15.75" x14ac:dyDescent="0.25"/>
  <cols>
    <col min="1" max="1" width="2.3984375" style="137" customWidth="1"/>
    <col min="2" max="2" width="31" style="137" customWidth="1"/>
    <col min="3" max="4" width="15.69921875" style="137" customWidth="1"/>
    <col min="5" max="5" width="13.69921875" style="137" customWidth="1"/>
    <col min="6" max="6" width="8.796875" style="137"/>
    <col min="7" max="7" width="7" style="137" customWidth="1"/>
    <col min="8" max="8" width="8.796875" style="137"/>
    <col min="9" max="9" width="4.8984375" style="137" customWidth="1"/>
    <col min="10" max="10" width="7.69921875" style="137" customWidth="1"/>
    <col min="11" max="16384" width="8.796875" style="137"/>
  </cols>
  <sheetData>
    <row r="1" spans="2:5" x14ac:dyDescent="0.25">
      <c r="B1" s="203" t="str">
        <f>inputPrYr!D3</f>
        <v>Milton Township</v>
      </c>
      <c r="C1" s="48"/>
      <c r="D1" s="48"/>
      <c r="E1" s="204">
        <f>inputPrYr!D9</f>
        <v>2015</v>
      </c>
    </row>
    <row r="2" spans="2:5" x14ac:dyDescent="0.25">
      <c r="B2" s="513" t="s">
        <v>737</v>
      </c>
      <c r="C2" s="48"/>
      <c r="D2" s="48"/>
      <c r="E2" s="284"/>
    </row>
    <row r="3" spans="2:5" x14ac:dyDescent="0.25">
      <c r="B3" s="48"/>
      <c r="C3" s="61"/>
      <c r="D3" s="61"/>
      <c r="E3" s="285"/>
    </row>
    <row r="4" spans="2:5" x14ac:dyDescent="0.25">
      <c r="B4" s="55" t="s">
        <v>249</v>
      </c>
      <c r="C4" s="359" t="s">
        <v>250</v>
      </c>
      <c r="D4" s="362" t="s">
        <v>251</v>
      </c>
      <c r="E4" s="57" t="s">
        <v>252</v>
      </c>
    </row>
    <row r="5" spans="2:5" x14ac:dyDescent="0.25">
      <c r="B5" s="455" t="str">
        <f>inputPrYr!B20</f>
        <v>General</v>
      </c>
      <c r="C5" s="360" t="str">
        <f>CONCATENATE("Actual for ",$E$1-2,"")</f>
        <v>Actual for 2013</v>
      </c>
      <c r="D5" s="360" t="str">
        <f>CONCATENATE("Estimate for ",$E$1-1,"")</f>
        <v>Estimate for 2014</v>
      </c>
      <c r="E5" s="62" t="str">
        <f>CONCATENATE("Year for ",$E$1,"")</f>
        <v>Year for 2015</v>
      </c>
    </row>
    <row r="6" spans="2:5" x14ac:dyDescent="0.25">
      <c r="B6" s="63" t="s">
        <v>60</v>
      </c>
      <c r="C6" s="286">
        <v>3458</v>
      </c>
      <c r="D6" s="361">
        <f>C51</f>
        <v>311</v>
      </c>
      <c r="E6" s="239">
        <f>D51</f>
        <v>0</v>
      </c>
    </row>
    <row r="7" spans="2:5" x14ac:dyDescent="0.25">
      <c r="B7" s="63" t="s">
        <v>62</v>
      </c>
      <c r="C7" s="361"/>
      <c r="D7" s="361"/>
      <c r="E7" s="288"/>
    </row>
    <row r="8" spans="2:5" x14ac:dyDescent="0.25">
      <c r="B8" s="63" t="s">
        <v>255</v>
      </c>
      <c r="C8" s="286">
        <v>33066</v>
      </c>
      <c r="D8" s="361">
        <f>IF(inputPrYr!H19&gt;0,inputPrYr!G20,inputPrYr!E20)</f>
        <v>41529</v>
      </c>
      <c r="E8" s="288" t="s">
        <v>234</v>
      </c>
    </row>
    <row r="9" spans="2:5" x14ac:dyDescent="0.25">
      <c r="B9" s="63" t="s">
        <v>256</v>
      </c>
      <c r="C9" s="286">
        <v>802</v>
      </c>
      <c r="D9" s="286"/>
      <c r="E9" s="151"/>
    </row>
    <row r="10" spans="2:5" x14ac:dyDescent="0.25">
      <c r="B10" s="63" t="s">
        <v>257</v>
      </c>
      <c r="C10" s="286">
        <v>4556</v>
      </c>
      <c r="D10" s="286">
        <v>4164</v>
      </c>
      <c r="E10" s="239">
        <f>mvalloc!G11</f>
        <v>4957</v>
      </c>
    </row>
    <row r="11" spans="2:5" x14ac:dyDescent="0.25">
      <c r="B11" s="63" t="s">
        <v>258</v>
      </c>
      <c r="C11" s="286">
        <v>70</v>
      </c>
      <c r="D11" s="286">
        <v>73</v>
      </c>
      <c r="E11" s="239">
        <f>mvalloc!I11</f>
        <v>91</v>
      </c>
    </row>
    <row r="12" spans="2:5" x14ac:dyDescent="0.25">
      <c r="B12" s="289" t="s">
        <v>21</v>
      </c>
      <c r="C12" s="286">
        <v>53</v>
      </c>
      <c r="D12" s="286">
        <v>59</v>
      </c>
      <c r="E12" s="239">
        <f>mvalloc!J11</f>
        <v>49</v>
      </c>
    </row>
    <row r="13" spans="2:5" x14ac:dyDescent="0.25">
      <c r="B13" s="289" t="s">
        <v>89</v>
      </c>
      <c r="C13" s="286"/>
      <c r="D13" s="286"/>
      <c r="E13" s="239">
        <f>inputOth!E71</f>
        <v>0</v>
      </c>
    </row>
    <row r="14" spans="2:5" x14ac:dyDescent="0.25">
      <c r="B14" s="63" t="s">
        <v>259</v>
      </c>
      <c r="C14" s="286"/>
      <c r="D14" s="286"/>
      <c r="E14" s="239">
        <f>inputOth!E32</f>
        <v>0</v>
      </c>
    </row>
    <row r="15" spans="2:5" x14ac:dyDescent="0.25">
      <c r="B15" s="291" t="s">
        <v>980</v>
      </c>
      <c r="C15" s="286">
        <v>75</v>
      </c>
      <c r="D15" s="286"/>
      <c r="E15" s="151"/>
    </row>
    <row r="16" spans="2:5" x14ac:dyDescent="0.25">
      <c r="B16" s="290" t="s">
        <v>982</v>
      </c>
      <c r="C16" s="286"/>
      <c r="D16" s="286"/>
      <c r="E16" s="151">
        <v>84</v>
      </c>
    </row>
    <row r="17" spans="2:5" x14ac:dyDescent="0.25">
      <c r="B17" s="290"/>
      <c r="C17" s="286"/>
      <c r="D17" s="286"/>
      <c r="E17" s="151"/>
    </row>
    <row r="18" spans="2:5" x14ac:dyDescent="0.25">
      <c r="B18" s="291"/>
      <c r="C18" s="286"/>
      <c r="D18" s="286"/>
      <c r="E18" s="151"/>
    </row>
    <row r="19" spans="2:5" x14ac:dyDescent="0.25">
      <c r="B19" s="291"/>
      <c r="C19" s="286"/>
      <c r="D19" s="286"/>
      <c r="E19" s="151"/>
    </row>
    <row r="20" spans="2:5" x14ac:dyDescent="0.25">
      <c r="B20" s="291"/>
      <c r="C20" s="286"/>
      <c r="D20" s="286"/>
      <c r="E20" s="151"/>
    </row>
    <row r="21" spans="2:5" x14ac:dyDescent="0.25">
      <c r="B21" s="291"/>
      <c r="C21" s="286"/>
      <c r="D21" s="286"/>
      <c r="E21" s="151"/>
    </row>
    <row r="22" spans="2:5" x14ac:dyDescent="0.25">
      <c r="B22" s="290"/>
      <c r="C22" s="286"/>
      <c r="D22" s="286"/>
      <c r="E22" s="151"/>
    </row>
    <row r="23" spans="2:5" x14ac:dyDescent="0.25">
      <c r="B23" s="291" t="s">
        <v>261</v>
      </c>
      <c r="C23" s="286"/>
      <c r="D23" s="286"/>
      <c r="E23" s="151"/>
    </row>
    <row r="24" spans="2:5" x14ac:dyDescent="0.25">
      <c r="B24" s="292" t="s">
        <v>207</v>
      </c>
      <c r="C24" s="286"/>
      <c r="D24" s="286"/>
      <c r="E24" s="151"/>
    </row>
    <row r="25" spans="2:5" x14ac:dyDescent="0.25">
      <c r="B25" s="292" t="s">
        <v>208</v>
      </c>
      <c r="C25" s="363" t="str">
        <f>IF(C26*0.1&lt;C24,"Exceed 10% Rule","")</f>
        <v/>
      </c>
      <c r="D25" s="363" t="str">
        <f>IF(D26*0.1&lt;D24,"Exceed 10% Rule","")</f>
        <v/>
      </c>
      <c r="E25" s="296" t="str">
        <f>IF(E26*0.1+E57&lt;E24,"Exceed 10% Rule","")</f>
        <v/>
      </c>
    </row>
    <row r="26" spans="2:5" x14ac:dyDescent="0.25">
      <c r="B26" s="294" t="s">
        <v>262</v>
      </c>
      <c r="C26" s="364">
        <f>SUM(C8:C24)</f>
        <v>38622</v>
      </c>
      <c r="D26" s="364">
        <f>SUM(D8:D24)</f>
        <v>45825</v>
      </c>
      <c r="E26" s="295">
        <f>SUM(E8:E24)</f>
        <v>5181</v>
      </c>
    </row>
    <row r="27" spans="2:5" x14ac:dyDescent="0.25">
      <c r="B27" s="81" t="s">
        <v>263</v>
      </c>
      <c r="C27" s="364">
        <f>C26+C6</f>
        <v>42080</v>
      </c>
      <c r="D27" s="364">
        <f>D26+D6</f>
        <v>46136</v>
      </c>
      <c r="E27" s="295">
        <f>E26+E6</f>
        <v>5181</v>
      </c>
    </row>
    <row r="28" spans="2:5" x14ac:dyDescent="0.25">
      <c r="B28" s="63" t="s">
        <v>264</v>
      </c>
      <c r="C28" s="361"/>
      <c r="D28" s="361"/>
      <c r="E28" s="239"/>
    </row>
    <row r="29" spans="2:5" x14ac:dyDescent="0.25">
      <c r="B29" s="290" t="s">
        <v>968</v>
      </c>
      <c r="C29" s="286">
        <v>1840</v>
      </c>
      <c r="D29" s="286">
        <v>1700</v>
      </c>
      <c r="E29" s="286">
        <v>1700</v>
      </c>
    </row>
    <row r="30" spans="2:5" x14ac:dyDescent="0.25">
      <c r="B30" s="291" t="s">
        <v>53</v>
      </c>
      <c r="C30" s="286">
        <v>2909</v>
      </c>
      <c r="D30" s="286">
        <v>1000</v>
      </c>
      <c r="E30" s="286">
        <v>1000</v>
      </c>
    </row>
    <row r="31" spans="2:5" x14ac:dyDescent="0.25">
      <c r="B31" s="291" t="s">
        <v>67</v>
      </c>
      <c r="C31" s="286">
        <v>4784</v>
      </c>
      <c r="D31" s="286">
        <v>1000</v>
      </c>
      <c r="E31" s="286">
        <v>1000</v>
      </c>
    </row>
    <row r="32" spans="2:5" x14ac:dyDescent="0.25">
      <c r="B32" s="291" t="s">
        <v>54</v>
      </c>
      <c r="C32" s="286">
        <v>1027</v>
      </c>
      <c r="D32" s="286"/>
      <c r="E32" s="286"/>
    </row>
    <row r="33" spans="2:10" x14ac:dyDescent="0.25">
      <c r="B33" s="291" t="s">
        <v>275</v>
      </c>
      <c r="C33" s="286">
        <v>6430</v>
      </c>
      <c r="D33" s="286">
        <v>100</v>
      </c>
      <c r="E33" s="286">
        <v>100</v>
      </c>
    </row>
    <row r="34" spans="2:10" x14ac:dyDescent="0.25">
      <c r="B34" s="290" t="s">
        <v>969</v>
      </c>
      <c r="C34" s="286">
        <v>7542</v>
      </c>
      <c r="D34" s="286">
        <v>2000</v>
      </c>
      <c r="E34" s="286">
        <v>2000</v>
      </c>
    </row>
    <row r="35" spans="2:10" x14ac:dyDescent="0.25">
      <c r="B35" s="290" t="s">
        <v>68</v>
      </c>
      <c r="C35" s="286"/>
      <c r="D35" s="286">
        <v>19636</v>
      </c>
      <c r="E35" s="286">
        <v>21429</v>
      </c>
    </row>
    <row r="36" spans="2:10" x14ac:dyDescent="0.25">
      <c r="B36" s="291" t="s">
        <v>70</v>
      </c>
      <c r="C36" s="286">
        <v>4652</v>
      </c>
      <c r="D36" s="286">
        <v>5000</v>
      </c>
      <c r="E36" s="286">
        <v>5000</v>
      </c>
    </row>
    <row r="37" spans="2:10" x14ac:dyDescent="0.25">
      <c r="B37" s="291" t="s">
        <v>970</v>
      </c>
      <c r="C37" s="286"/>
      <c r="D37" s="286">
        <v>5000</v>
      </c>
      <c r="E37" s="286">
        <v>5000</v>
      </c>
    </row>
    <row r="38" spans="2:10" x14ac:dyDescent="0.25">
      <c r="B38" s="291" t="s">
        <v>971</v>
      </c>
      <c r="C38" s="286">
        <v>9209</v>
      </c>
      <c r="D38" s="286">
        <v>8000</v>
      </c>
      <c r="E38" s="286">
        <v>8000</v>
      </c>
    </row>
    <row r="39" spans="2:10" x14ac:dyDescent="0.25">
      <c r="B39" s="291" t="s">
        <v>972</v>
      </c>
      <c r="C39" s="286">
        <v>3202</v>
      </c>
      <c r="D39" s="286">
        <v>200</v>
      </c>
      <c r="E39" s="286">
        <v>200</v>
      </c>
    </row>
    <row r="40" spans="2:10" x14ac:dyDescent="0.25">
      <c r="B40" s="291" t="s">
        <v>973</v>
      </c>
      <c r="C40" s="286"/>
      <c r="D40" s="286">
        <v>2500</v>
      </c>
      <c r="E40" s="286">
        <v>2500</v>
      </c>
    </row>
    <row r="41" spans="2:10" x14ac:dyDescent="0.25">
      <c r="B41" s="290" t="s">
        <v>974</v>
      </c>
      <c r="C41" s="286">
        <v>174</v>
      </c>
      <c r="D41" s="286"/>
      <c r="E41" s="151"/>
      <c r="G41" s="858" t="str">
        <f>CONCATENATE("Desired Carryover Into ",E1+1,"")</f>
        <v>Desired Carryover Into 2016</v>
      </c>
      <c r="H41" s="859"/>
      <c r="I41" s="859"/>
      <c r="J41" s="860"/>
    </row>
    <row r="42" spans="2:10" x14ac:dyDescent="0.25">
      <c r="B42" s="291"/>
      <c r="C42" s="286"/>
      <c r="D42" s="286"/>
      <c r="E42" s="151"/>
      <c r="G42" s="475"/>
      <c r="H42" s="54"/>
      <c r="I42" s="517"/>
      <c r="J42" s="476"/>
    </row>
    <row r="43" spans="2:10" x14ac:dyDescent="0.25">
      <c r="B43" s="289" t="s">
        <v>167</v>
      </c>
      <c r="C43" s="286"/>
      <c r="D43" s="286"/>
      <c r="E43" s="151"/>
      <c r="G43" s="477" t="s">
        <v>701</v>
      </c>
      <c r="H43" s="517"/>
      <c r="I43" s="517"/>
      <c r="J43" s="478">
        <v>0</v>
      </c>
    </row>
    <row r="44" spans="2:10" x14ac:dyDescent="0.25">
      <c r="B44" s="289" t="s">
        <v>168</v>
      </c>
      <c r="C44" s="363" t="str">
        <f>IF(AND($C$43&gt;0,$C$8&gt;0),"Not Authorized","")</f>
        <v/>
      </c>
      <c r="D44" s="363" t="str">
        <f>IF(AND($D$43&gt;0,$D$8&gt;0),"Not Authorized","")</f>
        <v/>
      </c>
      <c r="E44" s="296" t="str">
        <f>IF(AND(E57&gt;0,$E$43&gt;0),"Not Authorized","")</f>
        <v/>
      </c>
      <c r="G44" s="475" t="s">
        <v>702</v>
      </c>
      <c r="H44" s="54"/>
      <c r="I44" s="54"/>
      <c r="J44" s="684" t="str">
        <f>IF(J43=0,"",ROUND((J43+E57-G56)/inputOth!E11*1000,3)-G61)</f>
        <v/>
      </c>
    </row>
    <row r="45" spans="2:10" x14ac:dyDescent="0.25">
      <c r="B45" s="63" t="s">
        <v>169</v>
      </c>
      <c r="C45" s="286"/>
      <c r="D45" s="286"/>
      <c r="E45" s="151"/>
      <c r="G45" s="685" t="str">
        <f>CONCATENATE("",E1," Tot Exp/Non-Appr Must Be:")</f>
        <v>2015 Tot Exp/Non-Appr Must Be:</v>
      </c>
      <c r="H45" s="510"/>
      <c r="I45" s="681"/>
      <c r="J45" s="686">
        <f>IF(J43&gt;0,IF(E54&lt;E23,IF(J43=G56,E54,((J43-G56)*(1-D56))+E23),E54+(J43-G56)),0)</f>
        <v>0</v>
      </c>
    </row>
    <row r="46" spans="2:10" x14ac:dyDescent="0.25">
      <c r="B46" s="63" t="s">
        <v>742</v>
      </c>
      <c r="C46" s="363" t="str">
        <f>IF(C27*0.25&lt;C45,"Exceeds 25%","")</f>
        <v/>
      </c>
      <c r="D46" s="363" t="str">
        <f>IF(D27*0.25&lt;D45,"Exceeds 25%","")</f>
        <v/>
      </c>
      <c r="E46" s="296" t="str">
        <f>IF(E27*0.25+E57&lt;E45,"Exceeds 25%","")</f>
        <v/>
      </c>
      <c r="G46" s="687" t="s">
        <v>831</v>
      </c>
      <c r="H46" s="688"/>
      <c r="I46" s="688"/>
      <c r="J46" s="689">
        <f>IF(J43&gt;0,J45-E54,0)</f>
        <v>0</v>
      </c>
    </row>
    <row r="47" spans="2:10" x14ac:dyDescent="0.25">
      <c r="B47" s="289" t="s">
        <v>209</v>
      </c>
      <c r="C47" s="286"/>
      <c r="D47" s="286"/>
      <c r="E47" s="162" t="str">
        <f>nhood!E6</f>
        <v/>
      </c>
    </row>
    <row r="48" spans="2:10" x14ac:dyDescent="0.25">
      <c r="B48" s="289" t="s">
        <v>207</v>
      </c>
      <c r="C48" s="286"/>
      <c r="D48" s="286"/>
      <c r="E48" s="151"/>
      <c r="G48" s="858" t="str">
        <f>CONCATENATE("Projected Carryover Into ",E1+1,"")</f>
        <v>Projected Carryover Into 2016</v>
      </c>
      <c r="H48" s="859"/>
      <c r="I48" s="859"/>
      <c r="J48" s="860"/>
    </row>
    <row r="49" spans="2:11" x14ac:dyDescent="0.25">
      <c r="B49" s="289" t="s">
        <v>698</v>
      </c>
      <c r="C49" s="363" t="str">
        <f>IF(C50*0.1&lt;C48,"Exceed 10% Rule","")</f>
        <v/>
      </c>
      <c r="D49" s="363" t="str">
        <f>IF(D50*0.1&lt;D48,"Exceed 10% Rule","")</f>
        <v/>
      </c>
      <c r="E49" s="296" t="str">
        <f>IF(E50*0.1&lt;E48,"Exceed 10% Rule","")</f>
        <v/>
      </c>
      <c r="G49" s="474"/>
      <c r="H49" s="54"/>
      <c r="I49" s="54"/>
      <c r="J49" s="67"/>
    </row>
    <row r="50" spans="2:11" x14ac:dyDescent="0.25">
      <c r="B50" s="81" t="s">
        <v>265</v>
      </c>
      <c r="C50" s="364">
        <f>SUM(C29:C43,C45,C47:C48)</f>
        <v>41769</v>
      </c>
      <c r="D50" s="364">
        <f>SUM(D29:D43,D45,D47:D48)</f>
        <v>46136</v>
      </c>
      <c r="E50" s="295">
        <f>SUM(E29:E43,E47:E48,E45)</f>
        <v>47929</v>
      </c>
      <c r="G50" s="514">
        <f>D51</f>
        <v>0</v>
      </c>
      <c r="H50" s="515" t="str">
        <f>CONCATENATE("",E1-1," Ending Cash Balance (est.)")</f>
        <v>2014 Ending Cash Balance (est.)</v>
      </c>
      <c r="I50" s="516"/>
      <c r="J50" s="67"/>
    </row>
    <row r="51" spans="2:11" x14ac:dyDescent="0.25">
      <c r="B51" s="63" t="s">
        <v>61</v>
      </c>
      <c r="C51" s="365">
        <f>C27-C50</f>
        <v>311</v>
      </c>
      <c r="D51" s="365">
        <f>D27-D50</f>
        <v>0</v>
      </c>
      <c r="E51" s="288" t="s">
        <v>234</v>
      </c>
      <c r="G51" s="514">
        <f>E26</f>
        <v>5181</v>
      </c>
      <c r="H51" s="517" t="str">
        <f>CONCATENATE("",E1," Non-AV Receipts (est.)")</f>
        <v>2015 Non-AV Receipts (est.)</v>
      </c>
      <c r="I51" s="516"/>
      <c r="J51" s="67"/>
    </row>
    <row r="52" spans="2:11" x14ac:dyDescent="0.2">
      <c r="B52" s="98" t="str">
        <f>CONCATENATE("",E1-2,"/",E1-1,"/",E1," Budget Authority Amount:")</f>
        <v>2013/2014/2015 Budget Authority Amount:</v>
      </c>
      <c r="C52" s="724">
        <f>inputOth!B83</f>
        <v>41770</v>
      </c>
      <c r="D52" s="724">
        <f>inputPrYr!D20</f>
        <v>46270</v>
      </c>
      <c r="E52" s="239">
        <f>E50</f>
        <v>47929</v>
      </c>
      <c r="F52" s="297"/>
      <c r="G52" s="518">
        <f>IF(D56&gt;0,E55,E57)</f>
        <v>42748</v>
      </c>
      <c r="H52" s="517" t="str">
        <f>CONCATENATE("",E1," Ad Valorem Tax (est.)")</f>
        <v>2015 Ad Valorem Tax (est.)</v>
      </c>
      <c r="I52" s="516"/>
      <c r="J52" s="67"/>
      <c r="K52" s="690" t="str">
        <f>IF(G52=E57,"","Note: Does not include Delinquent Taxes")</f>
        <v/>
      </c>
    </row>
    <row r="53" spans="2:11" x14ac:dyDescent="0.25">
      <c r="B53" s="99"/>
      <c r="C53" s="852" t="s">
        <v>695</v>
      </c>
      <c r="D53" s="853"/>
      <c r="E53" s="151"/>
      <c r="F53" s="297" t="str">
        <f>IF(E50/0.95-E50&lt;E53,"Exceeds 5%","")</f>
        <v/>
      </c>
      <c r="G53" s="514">
        <f>SUM(G50:G52)</f>
        <v>47929</v>
      </c>
      <c r="H53" s="517" t="str">
        <f>CONCATENATE("Total ",E1," Resources Available")</f>
        <v>Total 2015 Resources Available</v>
      </c>
      <c r="I53" s="516"/>
      <c r="J53" s="67"/>
    </row>
    <row r="54" spans="2:11" x14ac:dyDescent="0.25">
      <c r="B54" s="470" t="str">
        <f>CONCATENATE(C74,"      ",D74)</f>
        <v xml:space="preserve">      </v>
      </c>
      <c r="C54" s="854" t="s">
        <v>696</v>
      </c>
      <c r="D54" s="855"/>
      <c r="E54" s="239">
        <f>E50+E53</f>
        <v>47929</v>
      </c>
      <c r="G54" s="519"/>
      <c r="H54" s="517"/>
      <c r="I54" s="517"/>
      <c r="J54" s="67"/>
    </row>
    <row r="55" spans="2:11" x14ac:dyDescent="0.25">
      <c r="B55" s="470" t="str">
        <f>CONCATENATE(C75,"       ",D75)</f>
        <v xml:space="preserve">       </v>
      </c>
      <c r="C55" s="473"/>
      <c r="D55" s="472" t="s">
        <v>267</v>
      </c>
      <c r="E55" s="162">
        <f>IF(E54-E27&gt;0,E54-E27,0)</f>
        <v>42748</v>
      </c>
      <c r="G55" s="518">
        <f>ROUND(C50*0.05+C50,0)</f>
        <v>43857</v>
      </c>
      <c r="H55" s="517" t="str">
        <f>CONCATENATE("Less ",E1-2," Expenditures + 5%")</f>
        <v>Less 2013 Expenditures + 5%</v>
      </c>
      <c r="I55" s="516"/>
      <c r="J55" s="67"/>
    </row>
    <row r="56" spans="2:11" x14ac:dyDescent="0.25">
      <c r="B56" s="190"/>
      <c r="C56" s="471" t="s">
        <v>697</v>
      </c>
      <c r="D56" s="683">
        <f>inputOth!$E$77</f>
        <v>0</v>
      </c>
      <c r="E56" s="239">
        <f>ROUND(IF(D56&gt;0,(E55*D56),0),0)</f>
        <v>0</v>
      </c>
      <c r="G56" s="520">
        <f>G53-G55</f>
        <v>4072</v>
      </c>
      <c r="H56" s="521" t="str">
        <f>CONCATENATE("Projected ",E1+1," Carryover (est.)")</f>
        <v>Projected 2016 Carryover (est.)</v>
      </c>
      <c r="I56" s="522"/>
      <c r="J56" s="523"/>
    </row>
    <row r="57" spans="2:11" x14ac:dyDescent="0.25">
      <c r="B57" s="48"/>
      <c r="C57" s="856" t="str">
        <f>CONCATENATE("Amount of  ",$E$1-1," Ad Valorem Tax")</f>
        <v>Amount of  2014 Ad Valorem Tax</v>
      </c>
      <c r="D57" s="857"/>
      <c r="E57" s="162">
        <f>E55+E56</f>
        <v>42748</v>
      </c>
    </row>
    <row r="58" spans="2:11" x14ac:dyDescent="0.2">
      <c r="B58" s="48"/>
      <c r="C58" s="48"/>
      <c r="D58" s="48"/>
      <c r="E58" s="48"/>
      <c r="G58" s="849" t="s">
        <v>832</v>
      </c>
      <c r="H58" s="850"/>
      <c r="I58" s="850"/>
      <c r="J58" s="851"/>
    </row>
    <row r="59" spans="2:11" s="299" customFormat="1" x14ac:dyDescent="0.25">
      <c r="B59" s="54"/>
      <c r="C59" s="54"/>
      <c r="D59" s="246"/>
      <c r="E59" s="54"/>
      <c r="G59" s="691"/>
      <c r="H59" s="515"/>
      <c r="I59" s="682"/>
      <c r="J59" s="692"/>
      <c r="K59" s="137"/>
    </row>
    <row r="60" spans="2:11" s="300" customFormat="1" x14ac:dyDescent="0.25">
      <c r="B60" s="48"/>
      <c r="C60" s="48"/>
      <c r="D60" s="169"/>
      <c r="E60" s="48"/>
      <c r="G60" s="693">
        <f>summ!H18</f>
        <v>5.2670000000000003</v>
      </c>
      <c r="H60" s="515" t="str">
        <f>CONCATENATE("",E1," Fund Mill Rate")</f>
        <v>2015 Fund Mill Rate</v>
      </c>
      <c r="I60" s="682"/>
      <c r="J60" s="692"/>
      <c r="K60" s="137"/>
    </row>
    <row r="61" spans="2:11" x14ac:dyDescent="0.25">
      <c r="B61" s="190" t="s">
        <v>248</v>
      </c>
      <c r="C61" s="134">
        <v>6</v>
      </c>
      <c r="D61" s="48"/>
      <c r="E61" s="48"/>
      <c r="G61" s="694">
        <f>summ!E18</f>
        <v>5.2670000000000003</v>
      </c>
      <c r="H61" s="515" t="str">
        <f>CONCATENATE("",E1-1," Fund Mill Rate")</f>
        <v>2014 Fund Mill Rate</v>
      </c>
      <c r="I61" s="682"/>
      <c r="J61" s="692"/>
    </row>
    <row r="62" spans="2:11" x14ac:dyDescent="0.25">
      <c r="G62" s="695">
        <f>summ!H36</f>
        <v>12.68</v>
      </c>
      <c r="H62" s="515" t="str">
        <f>CONCATENATE("Total ",E1," Mill Rate")</f>
        <v>Total 2015 Mill Rate</v>
      </c>
      <c r="I62" s="682"/>
      <c r="J62" s="692"/>
    </row>
    <row r="63" spans="2:11" x14ac:dyDescent="0.25">
      <c r="B63" s="91"/>
      <c r="G63" s="694">
        <f>summ!E36</f>
        <v>12.68</v>
      </c>
      <c r="H63" s="696" t="str">
        <f>CONCATENATE("Total ",E1-1," Mill Rate")</f>
        <v>Total 2014 Mill Rate</v>
      </c>
      <c r="I63" s="697"/>
      <c r="J63" s="698"/>
    </row>
    <row r="65" spans="3:9" x14ac:dyDescent="0.25">
      <c r="G65" s="753" t="s">
        <v>931</v>
      </c>
      <c r="H65" s="710"/>
      <c r="I65" s="709" t="str">
        <f>cert!E41</f>
        <v>No</v>
      </c>
    </row>
    <row r="74" spans="3:9" hidden="1" x14ac:dyDescent="0.25">
      <c r="C74" s="137" t="str">
        <f>IF(C50&gt;C52,"See Tab A","")</f>
        <v/>
      </c>
      <c r="D74" s="137" t="str">
        <f>IF(D50&gt;D52,"See Tab C","")</f>
        <v/>
      </c>
    </row>
    <row r="75" spans="3:9" hidden="1" x14ac:dyDescent="0.25">
      <c r="C75" s="137" t="str">
        <f>IF(C51&lt;0,"See Tab B","")</f>
        <v/>
      </c>
      <c r="D75" s="137" t="str">
        <f>IF(D51&lt;0,"See Tab D","")</f>
        <v/>
      </c>
    </row>
  </sheetData>
  <sheetProtection sheet="1"/>
  <mergeCells count="6">
    <mergeCell ref="G58:J58"/>
    <mergeCell ref="C53:D53"/>
    <mergeCell ref="C54:D54"/>
    <mergeCell ref="C57:D57"/>
    <mergeCell ref="G41:J41"/>
    <mergeCell ref="G48:J48"/>
  </mergeCells>
  <phoneticPr fontId="0" type="noConversion"/>
  <conditionalFormatting sqref="C24">
    <cfRule type="cellIs" dxfId="170" priority="2" stopIfTrue="1" operator="greaterThan">
      <formula>$C$26*0.1</formula>
    </cfRule>
  </conditionalFormatting>
  <conditionalFormatting sqref="D24">
    <cfRule type="cellIs" dxfId="169" priority="3" stopIfTrue="1" operator="greaterThan">
      <formula>$D$26*0.1</formula>
    </cfRule>
  </conditionalFormatting>
  <conditionalFormatting sqref="E53">
    <cfRule type="cellIs" dxfId="168" priority="4" stopIfTrue="1" operator="greaterThan">
      <formula>$E$50/0.95-$E$50</formula>
    </cfRule>
  </conditionalFormatting>
  <conditionalFormatting sqref="E48">
    <cfRule type="cellIs" dxfId="167" priority="5" stopIfTrue="1" operator="greaterThan">
      <formula>$E$50*0.1</formula>
    </cfRule>
  </conditionalFormatting>
  <conditionalFormatting sqref="D48">
    <cfRule type="cellIs" dxfId="166" priority="6" stopIfTrue="1" operator="greaterThan">
      <formula>$D$50*0.1</formula>
    </cfRule>
  </conditionalFormatting>
  <conditionalFormatting sqref="C48">
    <cfRule type="cellIs" dxfId="165" priority="7" stopIfTrue="1" operator="greaterThan">
      <formula>$C$50*0.1</formula>
    </cfRule>
  </conditionalFormatting>
  <conditionalFormatting sqref="C50">
    <cfRule type="cellIs" dxfId="164" priority="8" stopIfTrue="1" operator="greaterThan">
      <formula>$C$52</formula>
    </cfRule>
  </conditionalFormatting>
  <conditionalFormatting sqref="C51">
    <cfRule type="cellIs" dxfId="163" priority="9" stopIfTrue="1" operator="lessThan">
      <formula>0</formula>
    </cfRule>
  </conditionalFormatting>
  <conditionalFormatting sqref="D50">
    <cfRule type="cellIs" dxfId="162" priority="10" stopIfTrue="1" operator="greaterThan">
      <formula>$D$52</formula>
    </cfRule>
  </conditionalFormatting>
  <conditionalFormatting sqref="C45">
    <cfRule type="cellIs" dxfId="161" priority="11" stopIfTrue="1" operator="greaterThan">
      <formula>$C$27*0.25</formula>
    </cfRule>
  </conditionalFormatting>
  <conditionalFormatting sqref="D45">
    <cfRule type="cellIs" dxfId="160" priority="12" stopIfTrue="1" operator="greaterThan">
      <formula>$D$27*0.25</formula>
    </cfRule>
  </conditionalFormatting>
  <conditionalFormatting sqref="D43">
    <cfRule type="expression" dxfId="159" priority="13" stopIfTrue="1">
      <formula>$D$8&gt;0</formula>
    </cfRule>
  </conditionalFormatting>
  <conditionalFormatting sqref="E24">
    <cfRule type="cellIs" dxfId="158" priority="14" stopIfTrue="1" operator="greaterThan">
      <formula>$E$26*0.1+$E$57</formula>
    </cfRule>
  </conditionalFormatting>
  <conditionalFormatting sqref="C43">
    <cfRule type="expression" dxfId="157" priority="15" stopIfTrue="1">
      <formula>$C$8&gt;0</formula>
    </cfRule>
  </conditionalFormatting>
  <conditionalFormatting sqref="E45">
    <cfRule type="cellIs" dxfId="156" priority="16" stopIfTrue="1" operator="greaterThan">
      <formula>$E$27*0.25+$E$57</formula>
    </cfRule>
  </conditionalFormatting>
  <conditionalFormatting sqref="E43">
    <cfRule type="expression" dxfId="155" priority="17" stopIfTrue="1">
      <formula>$E$57&gt;0</formula>
    </cfRule>
  </conditionalFormatting>
  <conditionalFormatting sqref="D51">
    <cfRule type="cellIs" dxfId="154" priority="1" stopIfTrue="1" operator="lessThan">
      <formula>0</formula>
    </cfRule>
  </conditionalFormatting>
  <pageMargins left="0.9" right="0.9" top="0.96" bottom="0.5" header="0.41" footer="0.3"/>
  <pageSetup scale="81" orientation="portrait" blackAndWhite="1" horizontalDpi="4294967292" verticalDpi="96" r:id="rId1"/>
  <headerFooter alignWithMargins="0">
    <oddHeader xml:space="preserve">&amp;RState of Kansas
Township
</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6"/>
  <sheetViews>
    <sheetView topLeftCell="A40" workbookViewId="0">
      <selection activeCell="P132" sqref="P132"/>
    </sheetView>
  </sheetViews>
  <sheetFormatPr defaultColWidth="8.796875" defaultRowHeight="15.75" x14ac:dyDescent="0.25"/>
  <cols>
    <col min="1" max="1" width="2.19921875" style="582" customWidth="1"/>
    <col min="2" max="2" width="28.59765625" style="582" customWidth="1"/>
    <col min="3" max="4" width="14.19921875" style="582" customWidth="1"/>
    <col min="5" max="5" width="14.59765625" style="582" customWidth="1"/>
    <col min="6" max="6" width="7.296875" style="582" customWidth="1"/>
    <col min="7" max="7" width="9.19921875" style="582" customWidth="1"/>
    <col min="8" max="8" width="8.796875" style="582"/>
    <col min="9" max="9" width="4.5" style="582" customWidth="1"/>
    <col min="10" max="10" width="9" style="582" customWidth="1"/>
    <col min="11" max="16384" width="8.796875" style="582"/>
  </cols>
  <sheetData>
    <row r="1" spans="2:5" x14ac:dyDescent="0.25">
      <c r="B1" s="579" t="str">
        <f>inputPrYr!D3</f>
        <v>Milton Township</v>
      </c>
      <c r="C1" s="579"/>
      <c r="D1" s="580"/>
      <c r="E1" s="581">
        <f>inputPrYr!D9</f>
        <v>2015</v>
      </c>
    </row>
    <row r="2" spans="2:5" x14ac:dyDescent="0.25">
      <c r="B2" s="580"/>
      <c r="C2" s="580"/>
      <c r="D2" s="580"/>
      <c r="E2" s="583"/>
    </row>
    <row r="3" spans="2:5" x14ac:dyDescent="0.25">
      <c r="B3" s="584" t="s">
        <v>737</v>
      </c>
      <c r="C3" s="584"/>
      <c r="D3" s="585"/>
      <c r="E3" s="586"/>
    </row>
    <row r="4" spans="2:5" x14ac:dyDescent="0.25">
      <c r="B4" s="587" t="s">
        <v>249</v>
      </c>
      <c r="C4" s="588" t="s">
        <v>827</v>
      </c>
      <c r="D4" s="589" t="s">
        <v>828</v>
      </c>
      <c r="E4" s="590" t="s">
        <v>829</v>
      </c>
    </row>
    <row r="5" spans="2:5" x14ac:dyDescent="0.25">
      <c r="B5" s="591" t="str">
        <f>inputPrYr!B21</f>
        <v>Debt Service</v>
      </c>
      <c r="C5" s="592" t="str">
        <f>CONCATENATE("Actual for ",$E$1-2,"")</f>
        <v>Actual for 2013</v>
      </c>
      <c r="D5" s="593" t="str">
        <f>CONCATENATE("Estimate for ",$E$1-1,"")</f>
        <v>Estimate for 2014</v>
      </c>
      <c r="E5" s="594" t="str">
        <f>CONCATENATE("Year for ",$E$1,"")</f>
        <v>Year for 2015</v>
      </c>
    </row>
    <row r="6" spans="2:5" x14ac:dyDescent="0.25">
      <c r="B6" s="595" t="s">
        <v>74</v>
      </c>
      <c r="C6" s="596"/>
      <c r="D6" s="597">
        <f>C34</f>
        <v>0</v>
      </c>
      <c r="E6" s="598">
        <f>D34</f>
        <v>0</v>
      </c>
    </row>
    <row r="7" spans="2:5" x14ac:dyDescent="0.25">
      <c r="B7" s="595" t="s">
        <v>62</v>
      </c>
      <c r="C7" s="599"/>
      <c r="D7" s="597"/>
      <c r="E7" s="598"/>
    </row>
    <row r="8" spans="2:5" x14ac:dyDescent="0.25">
      <c r="B8" s="595" t="s">
        <v>255</v>
      </c>
      <c r="C8" s="600"/>
      <c r="D8" s="597">
        <f>IF(inputPrYr!H19&gt;0,inputPrYr!G21,inputPrYr!E21)</f>
        <v>0</v>
      </c>
      <c r="E8" s="601" t="s">
        <v>234</v>
      </c>
    </row>
    <row r="9" spans="2:5" x14ac:dyDescent="0.25">
      <c r="B9" s="595" t="s">
        <v>256</v>
      </c>
      <c r="C9" s="600"/>
      <c r="D9" s="602"/>
      <c r="E9" s="603"/>
    </row>
    <row r="10" spans="2:5" x14ac:dyDescent="0.25">
      <c r="B10" s="595" t="s">
        <v>257</v>
      </c>
      <c r="C10" s="600"/>
      <c r="D10" s="602"/>
      <c r="E10" s="598">
        <f>mvalloc!G12</f>
        <v>0</v>
      </c>
    </row>
    <row r="11" spans="2:5" x14ac:dyDescent="0.25">
      <c r="B11" s="595" t="s">
        <v>258</v>
      </c>
      <c r="C11" s="600"/>
      <c r="D11" s="602"/>
      <c r="E11" s="598">
        <f>mvalloc!I12</f>
        <v>0</v>
      </c>
    </row>
    <row r="12" spans="2:5" x14ac:dyDescent="0.25">
      <c r="B12" s="604" t="s">
        <v>51</v>
      </c>
      <c r="C12" s="600"/>
      <c r="D12" s="602"/>
      <c r="E12" s="598">
        <f>mvalloc!J12</f>
        <v>0</v>
      </c>
    </row>
    <row r="13" spans="2:5" x14ac:dyDescent="0.25">
      <c r="B13" s="605"/>
      <c r="C13" s="600"/>
      <c r="D13" s="602"/>
      <c r="E13" s="606"/>
    </row>
    <row r="14" spans="2:5" x14ac:dyDescent="0.25">
      <c r="B14" s="605"/>
      <c r="C14" s="600"/>
      <c r="D14" s="602"/>
      <c r="E14" s="603"/>
    </row>
    <row r="15" spans="2:5" x14ac:dyDescent="0.25">
      <c r="B15" s="605"/>
      <c r="C15" s="600"/>
      <c r="D15" s="602"/>
      <c r="E15" s="603"/>
    </row>
    <row r="16" spans="2:5" x14ac:dyDescent="0.25">
      <c r="B16" s="605"/>
      <c r="C16" s="600"/>
      <c r="D16" s="602"/>
      <c r="E16" s="603"/>
    </row>
    <row r="17" spans="2:10" x14ac:dyDescent="0.25">
      <c r="B17" s="607" t="s">
        <v>261</v>
      </c>
      <c r="C17" s="600"/>
      <c r="D17" s="602"/>
      <c r="E17" s="603"/>
    </row>
    <row r="18" spans="2:10" x14ac:dyDescent="0.25">
      <c r="B18" s="595" t="s">
        <v>207</v>
      </c>
      <c r="C18" s="608"/>
      <c r="D18" s="602"/>
      <c r="E18" s="603"/>
    </row>
    <row r="19" spans="2:10" x14ac:dyDescent="0.25">
      <c r="B19" s="595" t="s">
        <v>830</v>
      </c>
      <c r="C19" s="609" t="str">
        <f>IF(C20*0.1&lt;C18,"Exceed 10% Rule","")</f>
        <v/>
      </c>
      <c r="D19" s="609" t="str">
        <f>IF(D20*0.1&lt;D18,"Exceeds 10% Rule","")</f>
        <v/>
      </c>
      <c r="E19" s="610" t="str">
        <f>IF(E20*0.1&lt;E18,"Exceed 10% Rule","")</f>
        <v/>
      </c>
    </row>
    <row r="20" spans="2:10" x14ac:dyDescent="0.25">
      <c r="B20" s="611" t="s">
        <v>262</v>
      </c>
      <c r="C20" s="612">
        <f>SUM(C8:C18)</f>
        <v>0</v>
      </c>
      <c r="D20" s="612">
        <f>SUM(D8:D18)</f>
        <v>0</v>
      </c>
      <c r="E20" s="613">
        <f>SUM(E9:E18)</f>
        <v>0</v>
      </c>
    </row>
    <row r="21" spans="2:10" x14ac:dyDescent="0.25">
      <c r="B21" s="611" t="s">
        <v>263</v>
      </c>
      <c r="C21" s="612">
        <f>C6+C20</f>
        <v>0</v>
      </c>
      <c r="D21" s="612">
        <f>D6+D20</f>
        <v>0</v>
      </c>
      <c r="E21" s="613">
        <f>E6+E20</f>
        <v>0</v>
      </c>
    </row>
    <row r="22" spans="2:10" x14ac:dyDescent="0.25">
      <c r="B22" s="595" t="s">
        <v>264</v>
      </c>
      <c r="C22" s="595"/>
      <c r="D22" s="597"/>
      <c r="E22" s="598"/>
    </row>
    <row r="23" spans="2:10" x14ac:dyDescent="0.25">
      <c r="B23" s="605"/>
      <c r="C23" s="600"/>
      <c r="D23" s="602"/>
      <c r="E23" s="603"/>
    </row>
    <row r="24" spans="2:10" x14ac:dyDescent="0.25">
      <c r="B24" s="605"/>
      <c r="C24" s="600"/>
      <c r="D24" s="602"/>
      <c r="E24" s="603"/>
      <c r="G24" s="866" t="str">
        <f>CONCATENATE("Desired Carryover Into ",E1+1,"")</f>
        <v>Desired Carryover Into 2016</v>
      </c>
      <c r="H24" s="867"/>
      <c r="I24" s="867"/>
      <c r="J24" s="868"/>
    </row>
    <row r="25" spans="2:10" x14ac:dyDescent="0.25">
      <c r="B25" s="605"/>
      <c r="C25" s="602"/>
      <c r="D25" s="602"/>
      <c r="E25" s="603"/>
      <c r="G25" s="614"/>
      <c r="H25" s="615"/>
      <c r="I25" s="616"/>
      <c r="J25" s="617"/>
    </row>
    <row r="26" spans="2:10" x14ac:dyDescent="0.25">
      <c r="B26" s="605"/>
      <c r="C26" s="600"/>
      <c r="D26" s="602"/>
      <c r="E26" s="603"/>
      <c r="G26" s="618" t="s">
        <v>701</v>
      </c>
      <c r="H26" s="616"/>
      <c r="I26" s="616"/>
      <c r="J26" s="619">
        <v>0</v>
      </c>
    </row>
    <row r="27" spans="2:10" x14ac:dyDescent="0.25">
      <c r="B27" s="605"/>
      <c r="C27" s="600"/>
      <c r="D27" s="602"/>
      <c r="E27" s="603"/>
      <c r="G27" s="614" t="s">
        <v>702</v>
      </c>
      <c r="H27" s="615"/>
      <c r="I27" s="615"/>
      <c r="J27" s="620" t="str">
        <f>IF(J26=0,"",ROUND((J26+E40-G39)/inputOth!E11*1000,3)-G44)</f>
        <v/>
      </c>
    </row>
    <row r="28" spans="2:10" x14ac:dyDescent="0.25">
      <c r="B28" s="605"/>
      <c r="C28" s="600"/>
      <c r="D28" s="602"/>
      <c r="E28" s="603"/>
      <c r="G28" s="621" t="str">
        <f>CONCATENATE("",E1," Tot Exp/Non-Appr Must Be:")</f>
        <v>2015 Tot Exp/Non-Appr Must Be:</v>
      </c>
      <c r="H28" s="622"/>
      <c r="I28" s="623"/>
      <c r="J28" s="624">
        <f>IF(J26&gt;0,IF(E37&lt;E21,IF(J26=G39,E37,((J26-G39)*(1-D39))+E21),E37+(J26-G39)),0)</f>
        <v>0</v>
      </c>
    </row>
    <row r="29" spans="2:10" x14ac:dyDescent="0.25">
      <c r="B29" s="605"/>
      <c r="C29" s="600"/>
      <c r="D29" s="602"/>
      <c r="E29" s="603"/>
      <c r="G29" s="625" t="s">
        <v>831</v>
      </c>
      <c r="H29" s="626"/>
      <c r="I29" s="626"/>
      <c r="J29" s="627">
        <f>IF(J26&gt;0,J28-E37,0)</f>
        <v>0</v>
      </c>
    </row>
    <row r="30" spans="2:10" x14ac:dyDescent="0.25">
      <c r="B30" s="628" t="s">
        <v>209</v>
      </c>
      <c r="C30" s="600"/>
      <c r="D30" s="602"/>
      <c r="E30" s="598" t="str">
        <f>nhood!E7</f>
        <v/>
      </c>
    </row>
    <row r="31" spans="2:10" x14ac:dyDescent="0.25">
      <c r="B31" s="628" t="s">
        <v>207</v>
      </c>
      <c r="C31" s="608"/>
      <c r="D31" s="602"/>
      <c r="E31" s="603"/>
      <c r="G31" s="866" t="str">
        <f>CONCATENATE("Projected Carryover Into ",E1+1,"")</f>
        <v>Projected Carryover Into 2016</v>
      </c>
      <c r="H31" s="869"/>
      <c r="I31" s="869"/>
      <c r="J31" s="870"/>
    </row>
    <row r="32" spans="2:10" x14ac:dyDescent="0.25">
      <c r="B32" s="628" t="s">
        <v>698</v>
      </c>
      <c r="C32" s="609" t="str">
        <f>IF(C33*0.1&lt;C31,"Exceed 10% Rule","")</f>
        <v/>
      </c>
      <c r="D32" s="609" t="str">
        <f>IF(D33*0.1&lt;D31,"Exceed 10% Rule","")</f>
        <v/>
      </c>
      <c r="E32" s="610" t="str">
        <f>IF(E33*0.1&lt;E31,"Exceed 10% Rule","")</f>
        <v/>
      </c>
      <c r="G32" s="614"/>
      <c r="H32" s="616"/>
      <c r="I32" s="616"/>
      <c r="J32" s="629"/>
    </row>
    <row r="33" spans="2:11" x14ac:dyDescent="0.25">
      <c r="B33" s="611" t="s">
        <v>265</v>
      </c>
      <c r="C33" s="630">
        <f>SUM(C23:C31)</f>
        <v>0</v>
      </c>
      <c r="D33" s="630">
        <f>SUM(D23:D31)</f>
        <v>0</v>
      </c>
      <c r="E33" s="631">
        <f>SUM(E23:E31)</f>
        <v>0</v>
      </c>
      <c r="G33" s="632">
        <f>D34</f>
        <v>0</v>
      </c>
      <c r="H33" s="633" t="str">
        <f>CONCATENATE("",E1-1," Ending Cash Balance (est.)")</f>
        <v>2014 Ending Cash Balance (est.)</v>
      </c>
      <c r="I33" s="634"/>
      <c r="J33" s="629"/>
    </row>
    <row r="34" spans="2:11" x14ac:dyDescent="0.25">
      <c r="B34" s="595" t="s">
        <v>61</v>
      </c>
      <c r="C34" s="635">
        <f>C21-C33</f>
        <v>0</v>
      </c>
      <c r="D34" s="635">
        <f>D21-D33</f>
        <v>0</v>
      </c>
      <c r="E34" s="601" t="s">
        <v>234</v>
      </c>
      <c r="F34" s="636"/>
      <c r="G34" s="632">
        <f>E20</f>
        <v>0</v>
      </c>
      <c r="H34" s="616" t="str">
        <f>CONCATENATE("",E1," Non-AV Receipts (est.)")</f>
        <v>2015 Non-AV Receipts (est.)</v>
      </c>
      <c r="I34" s="634"/>
      <c r="J34" s="629"/>
    </row>
    <row r="35" spans="2:11" x14ac:dyDescent="0.25">
      <c r="B35" s="727" t="str">
        <f>CONCATENATE("",E1-2,"/",E1-1,"/",E1," Budget Authority Amount:")</f>
        <v>2013/2014/2015 Budget Authority Amount:</v>
      </c>
      <c r="C35" s="726">
        <f>inputOth!B84</f>
        <v>0</v>
      </c>
      <c r="D35" s="725">
        <f>inputPrYr!D21</f>
        <v>0</v>
      </c>
      <c r="E35" s="598">
        <f>E33</f>
        <v>0</v>
      </c>
      <c r="F35" s="638"/>
      <c r="G35" s="639">
        <f>IF(E39&gt;0,E38,E40)</f>
        <v>0</v>
      </c>
      <c r="H35" s="616" t="str">
        <f>CONCATENATE("",E1," Ad Valorem Tax (est.)")</f>
        <v>2015 Ad Valorem Tax (est.)</v>
      </c>
      <c r="I35" s="634"/>
      <c r="J35" s="629"/>
      <c r="K35" s="640" t="str">
        <f>IF(G35=E40,"","Note: Does not include Delinquent Taxes")</f>
        <v/>
      </c>
    </row>
    <row r="36" spans="2:11" x14ac:dyDescent="0.25">
      <c r="B36" s="637"/>
      <c r="C36" s="852" t="s">
        <v>695</v>
      </c>
      <c r="D36" s="853"/>
      <c r="E36" s="603"/>
      <c r="F36" s="641" t="str">
        <f>IF(E33/0.95-E33&lt;E36,"Exceeds 5%","")</f>
        <v/>
      </c>
      <c r="G36" s="632">
        <f>SUM(G33:G35)</f>
        <v>0</v>
      </c>
      <c r="H36" s="616" t="str">
        <f>CONCATENATE("Total ",E1," Resources Available")</f>
        <v>Total 2015 Resources Available</v>
      </c>
      <c r="I36" s="634"/>
      <c r="J36" s="629"/>
    </row>
    <row r="37" spans="2:11" x14ac:dyDescent="0.25">
      <c r="B37" s="642" t="str">
        <f>CONCATENATE(C93,"     ",D93)</f>
        <v xml:space="preserve">     </v>
      </c>
      <c r="C37" s="854" t="s">
        <v>696</v>
      </c>
      <c r="D37" s="855"/>
      <c r="E37" s="598">
        <f>E33+E36</f>
        <v>0</v>
      </c>
      <c r="F37" s="636"/>
      <c r="G37" s="643"/>
      <c r="H37" s="616"/>
      <c r="I37" s="616"/>
      <c r="J37" s="629"/>
    </row>
    <row r="38" spans="2:11" x14ac:dyDescent="0.25">
      <c r="B38" s="642" t="str">
        <f>CONCATENATE(C94,"     ",D94)</f>
        <v xml:space="preserve">     </v>
      </c>
      <c r="C38" s="644"/>
      <c r="D38" s="583" t="s">
        <v>267</v>
      </c>
      <c r="E38" s="645">
        <f>IF(E37-E21&gt;0,E37-E21,0)</f>
        <v>0</v>
      </c>
      <c r="F38" s="636"/>
      <c r="G38" s="639">
        <f>C33</f>
        <v>0</v>
      </c>
      <c r="H38" s="616" t="str">
        <f>CONCATENATE("Less ",E1-2," Expenditures")</f>
        <v>Less 2013 Expenditures</v>
      </c>
      <c r="I38" s="616"/>
      <c r="J38" s="629"/>
    </row>
    <row r="39" spans="2:11" x14ac:dyDescent="0.25">
      <c r="B39" s="583"/>
      <c r="C39" s="471" t="s">
        <v>697</v>
      </c>
      <c r="D39" s="646">
        <f>inputOth!E77</f>
        <v>0</v>
      </c>
      <c r="E39" s="598">
        <f>ROUND(IF(D39&gt;0,(E38*D39),0),0)</f>
        <v>0</v>
      </c>
      <c r="F39" s="636"/>
      <c r="G39" s="647">
        <f>G36-G38</f>
        <v>0</v>
      </c>
      <c r="H39" s="648" t="str">
        <f>CONCATENATE("Projected ",E1+1," carryover (est.)")</f>
        <v>Projected 2016 carryover (est.)</v>
      </c>
      <c r="I39" s="649"/>
      <c r="J39" s="650"/>
    </row>
    <row r="40" spans="2:11" ht="16.5" thickBot="1" x14ac:dyDescent="0.3">
      <c r="B40" s="580"/>
      <c r="C40" s="861" t="str">
        <f>CONCATENATE("Amount of  ",E1-1," Ad Valorem Tax")</f>
        <v>Amount of  2014 Ad Valorem Tax</v>
      </c>
      <c r="D40" s="862"/>
      <c r="E40" s="652">
        <f>SUM(E38:E39)</f>
        <v>0</v>
      </c>
      <c r="F40" s="636"/>
    </row>
    <row r="41" spans="2:11" ht="16.5" thickTop="1" x14ac:dyDescent="0.25">
      <c r="B41" s="580"/>
      <c r="C41" s="861"/>
      <c r="D41" s="862"/>
      <c r="E41" s="653"/>
      <c r="F41" s="636"/>
      <c r="G41" s="863" t="s">
        <v>832</v>
      </c>
      <c r="H41" s="864"/>
      <c r="I41" s="864"/>
      <c r="J41" s="865"/>
    </row>
    <row r="42" spans="2:11" x14ac:dyDescent="0.25">
      <c r="B42" s="580"/>
      <c r="C42" s="651"/>
      <c r="D42" s="580"/>
      <c r="E42" s="580"/>
      <c r="F42" s="636"/>
      <c r="G42" s="654"/>
      <c r="H42" s="633"/>
      <c r="I42" s="655"/>
      <c r="J42" s="656"/>
    </row>
    <row r="43" spans="2:11" x14ac:dyDescent="0.25">
      <c r="B43" s="587"/>
      <c r="C43" s="587"/>
      <c r="D43" s="585"/>
      <c r="E43" s="585"/>
      <c r="F43" s="636"/>
      <c r="G43" s="657" t="str">
        <f>summ!H19</f>
        <v xml:space="preserve"> </v>
      </c>
      <c r="H43" s="633" t="str">
        <f>CONCATENATE("",E1," Fund Mill Rate")</f>
        <v>2015 Fund Mill Rate</v>
      </c>
      <c r="I43" s="655"/>
      <c r="J43" s="656"/>
    </row>
    <row r="44" spans="2:11" x14ac:dyDescent="0.25">
      <c r="B44" s="587" t="s">
        <v>249</v>
      </c>
      <c r="C44" s="588" t="s">
        <v>827</v>
      </c>
      <c r="D44" s="589" t="s">
        <v>828</v>
      </c>
      <c r="E44" s="590" t="s">
        <v>829</v>
      </c>
      <c r="F44" s="636"/>
      <c r="G44" s="658" t="str">
        <f>summ!E19</f>
        <v xml:space="preserve">  </v>
      </c>
      <c r="H44" s="633" t="str">
        <f>CONCATENATE("",E1-1," Fund Mill Rate")</f>
        <v>2014 Fund Mill Rate</v>
      </c>
      <c r="I44" s="655"/>
      <c r="J44" s="656"/>
    </row>
    <row r="45" spans="2:11" x14ac:dyDescent="0.25">
      <c r="B45" s="659" t="str">
        <f>inputPrYr!B22</f>
        <v>Library</v>
      </c>
      <c r="C45" s="592" t="str">
        <f>CONCATENATE("Actual for ",$E$1-2,"")</f>
        <v>Actual for 2013</v>
      </c>
      <c r="D45" s="593" t="str">
        <f>CONCATENATE("Estimate for ",$E$1-1,"")</f>
        <v>Estimate for 2014</v>
      </c>
      <c r="E45" s="594" t="str">
        <f>CONCATENATE("Year for ",$E$1,"")</f>
        <v>Year for 2015</v>
      </c>
      <c r="F45" s="636"/>
      <c r="G45" s="660">
        <f>summ!H36</f>
        <v>12.68</v>
      </c>
      <c r="H45" s="633" t="str">
        <f>CONCATENATE("Total ",E1," Mill Rate")</f>
        <v>Total 2015 Mill Rate</v>
      </c>
      <c r="I45" s="655"/>
      <c r="J45" s="656"/>
    </row>
    <row r="46" spans="2:11" x14ac:dyDescent="0.25">
      <c r="B46" s="595" t="s">
        <v>74</v>
      </c>
      <c r="C46" s="600">
        <v>0</v>
      </c>
      <c r="D46" s="597">
        <f>C74</f>
        <v>0</v>
      </c>
      <c r="E46" s="598">
        <f>D74</f>
        <v>0</v>
      </c>
      <c r="F46" s="636"/>
      <c r="G46" s="658">
        <f>summ!E36</f>
        <v>12.68</v>
      </c>
      <c r="H46" s="661" t="str">
        <f>CONCATENATE("Total ",E1-1," Mill Rate")</f>
        <v>Total 2014 Mill Rate</v>
      </c>
      <c r="I46" s="662"/>
      <c r="J46" s="663"/>
    </row>
    <row r="47" spans="2:11" x14ac:dyDescent="0.25">
      <c r="B47" s="664" t="s">
        <v>62</v>
      </c>
      <c r="C47" s="595"/>
      <c r="D47" s="597"/>
      <c r="E47" s="598"/>
      <c r="F47" s="636"/>
    </row>
    <row r="48" spans="2:11" x14ac:dyDescent="0.25">
      <c r="B48" s="595" t="s">
        <v>255</v>
      </c>
      <c r="C48" s="608"/>
      <c r="D48" s="597">
        <f>IF(inputPrYr!H19&gt;0,inputPrYr!G22,inputPrYr!E22)</f>
        <v>0</v>
      </c>
      <c r="E48" s="601" t="s">
        <v>234</v>
      </c>
      <c r="F48" s="636"/>
      <c r="G48" s="754" t="s">
        <v>931</v>
      </c>
      <c r="H48" s="710"/>
      <c r="I48" s="709" t="str">
        <f>cert!E41</f>
        <v>No</v>
      </c>
    </row>
    <row r="49" spans="2:10" x14ac:dyDescent="0.25">
      <c r="B49" s="595" t="s">
        <v>256</v>
      </c>
      <c r="C49" s="608"/>
      <c r="D49" s="602"/>
      <c r="E49" s="603"/>
      <c r="F49" s="636"/>
    </row>
    <row r="50" spans="2:10" x14ac:dyDescent="0.25">
      <c r="B50" s="595" t="s">
        <v>257</v>
      </c>
      <c r="C50" s="608"/>
      <c r="D50" s="602"/>
      <c r="E50" s="598">
        <f>mvalloc!G13</f>
        <v>0</v>
      </c>
      <c r="F50" s="636"/>
    </row>
    <row r="51" spans="2:10" x14ac:dyDescent="0.25">
      <c r="B51" s="595" t="s">
        <v>258</v>
      </c>
      <c r="C51" s="608"/>
      <c r="D51" s="602"/>
      <c r="E51" s="598">
        <f>mvalloc!I13</f>
        <v>0</v>
      </c>
      <c r="F51" s="636"/>
    </row>
    <row r="52" spans="2:10" x14ac:dyDescent="0.25">
      <c r="B52" s="604" t="s">
        <v>51</v>
      </c>
      <c r="C52" s="608"/>
      <c r="D52" s="602"/>
      <c r="E52" s="598">
        <f>mvalloc!J13</f>
        <v>0</v>
      </c>
    </row>
    <row r="53" spans="2:10" x14ac:dyDescent="0.25">
      <c r="B53" s="605"/>
      <c r="C53" s="608"/>
      <c r="D53" s="602"/>
      <c r="E53" s="606"/>
    </row>
    <row r="54" spans="2:10" x14ac:dyDescent="0.25">
      <c r="B54" s="605"/>
      <c r="C54" s="608"/>
      <c r="D54" s="602"/>
      <c r="E54" s="606"/>
    </row>
    <row r="55" spans="2:10" x14ac:dyDescent="0.25">
      <c r="B55" s="605"/>
      <c r="C55" s="608"/>
      <c r="D55" s="602"/>
      <c r="E55" s="603"/>
    </row>
    <row r="56" spans="2:10" x14ac:dyDescent="0.25">
      <c r="B56" s="605"/>
      <c r="C56" s="608"/>
      <c r="D56" s="602"/>
      <c r="E56" s="603"/>
    </row>
    <row r="57" spans="2:10" x14ac:dyDescent="0.25">
      <c r="B57" s="607" t="s">
        <v>261</v>
      </c>
      <c r="C57" s="608"/>
      <c r="D57" s="602"/>
      <c r="E57" s="603"/>
    </row>
    <row r="58" spans="2:10" x14ac:dyDescent="0.25">
      <c r="B58" s="595" t="s">
        <v>207</v>
      </c>
      <c r="C58" s="608"/>
      <c r="D58" s="608"/>
      <c r="E58" s="665"/>
    </row>
    <row r="59" spans="2:10" x14ac:dyDescent="0.25">
      <c r="B59" s="595" t="s">
        <v>830</v>
      </c>
      <c r="C59" s="609" t="str">
        <f>IF(C60*0.1&lt;C58,"Exceed 10% Rule","")</f>
        <v/>
      </c>
      <c r="D59" s="609" t="str">
        <f>IF(D60*0.1&lt;D58,"Exceeds 10% Rule","")</f>
        <v/>
      </c>
      <c r="E59" s="610" t="str">
        <f>IF(E60*0.1&lt;E58,"Exceed 10% Rule","")</f>
        <v/>
      </c>
    </row>
    <row r="60" spans="2:10" x14ac:dyDescent="0.25">
      <c r="B60" s="611" t="s">
        <v>262</v>
      </c>
      <c r="C60" s="630">
        <f>SUM(C48:C58)</f>
        <v>0</v>
      </c>
      <c r="D60" s="630">
        <f>SUM(D48:D58)</f>
        <v>0</v>
      </c>
      <c r="E60" s="631">
        <f>SUM(E49:E58)</f>
        <v>0</v>
      </c>
    </row>
    <row r="61" spans="2:10" x14ac:dyDescent="0.25">
      <c r="B61" s="611" t="s">
        <v>263</v>
      </c>
      <c r="C61" s="630">
        <f>C46+C60</f>
        <v>0</v>
      </c>
      <c r="D61" s="630">
        <f>D46+D60</f>
        <v>0</v>
      </c>
      <c r="E61" s="631">
        <f>E46+E60</f>
        <v>0</v>
      </c>
    </row>
    <row r="62" spans="2:10" x14ac:dyDescent="0.25">
      <c r="B62" s="595" t="s">
        <v>264</v>
      </c>
      <c r="C62" s="595"/>
      <c r="D62" s="597"/>
      <c r="E62" s="598"/>
    </row>
    <row r="63" spans="2:10" x14ac:dyDescent="0.25">
      <c r="B63" s="605"/>
      <c r="C63" s="600"/>
      <c r="D63" s="602"/>
      <c r="E63" s="603"/>
    </row>
    <row r="64" spans="2:10" x14ac:dyDescent="0.25">
      <c r="B64" s="605"/>
      <c r="C64" s="600"/>
      <c r="D64" s="602"/>
      <c r="E64" s="603"/>
      <c r="G64" s="866" t="str">
        <f>CONCATENATE("Desired Carryover Into ",E1+1,"")</f>
        <v>Desired Carryover Into 2016</v>
      </c>
      <c r="H64" s="867"/>
      <c r="I64" s="867"/>
      <c r="J64" s="868"/>
    </row>
    <row r="65" spans="2:11" x14ac:dyDescent="0.25">
      <c r="B65" s="605"/>
      <c r="C65" s="600"/>
      <c r="D65" s="602"/>
      <c r="E65" s="603"/>
      <c r="G65" s="614"/>
      <c r="H65" s="615"/>
      <c r="I65" s="616"/>
      <c r="J65" s="617"/>
    </row>
    <row r="66" spans="2:11" x14ac:dyDescent="0.25">
      <c r="B66" s="605"/>
      <c r="C66" s="600"/>
      <c r="D66" s="602"/>
      <c r="E66" s="603"/>
      <c r="G66" s="618" t="s">
        <v>701</v>
      </c>
      <c r="H66" s="616"/>
      <c r="I66" s="616"/>
      <c r="J66" s="619">
        <v>0</v>
      </c>
    </row>
    <row r="67" spans="2:11" x14ac:dyDescent="0.25">
      <c r="B67" s="605"/>
      <c r="C67" s="600"/>
      <c r="D67" s="602"/>
      <c r="E67" s="603"/>
      <c r="G67" s="614" t="s">
        <v>702</v>
      </c>
      <c r="H67" s="615"/>
      <c r="I67" s="615"/>
      <c r="J67" s="620" t="str">
        <f>IF(J66=0,"",ROUND((J66+E80-G79)/inputOth!E11*1000,3)-G84)</f>
        <v/>
      </c>
    </row>
    <row r="68" spans="2:11" x14ac:dyDescent="0.25">
      <c r="B68" s="605"/>
      <c r="C68" s="600"/>
      <c r="D68" s="602"/>
      <c r="E68" s="603"/>
      <c r="G68" s="621" t="str">
        <f>CONCATENATE("",E1," Tot Exp/Non-Appr Must Be:")</f>
        <v>2015 Tot Exp/Non-Appr Must Be:</v>
      </c>
      <c r="H68" s="622"/>
      <c r="I68" s="623"/>
      <c r="J68" s="624">
        <f>IF(J66&gt;0,IF(E77&lt;E61,IF(J66=G79,E77,((J66-G79)*(1-D79))+E61),E77+(J66-G79)),0)</f>
        <v>0</v>
      </c>
    </row>
    <row r="69" spans="2:11" x14ac:dyDescent="0.25">
      <c r="B69" s="605"/>
      <c r="C69" s="600"/>
      <c r="D69" s="602"/>
      <c r="E69" s="603"/>
      <c r="G69" s="625" t="s">
        <v>831</v>
      </c>
      <c r="H69" s="626"/>
      <c r="I69" s="626"/>
      <c r="J69" s="627">
        <f>IF(J66&gt;0,J68-E77,0)</f>
        <v>0</v>
      </c>
    </row>
    <row r="70" spans="2:11" x14ac:dyDescent="0.25">
      <c r="B70" s="604" t="s">
        <v>209</v>
      </c>
      <c r="C70" s="600"/>
      <c r="D70" s="602"/>
      <c r="E70" s="598" t="str">
        <f>nhood!E8</f>
        <v/>
      </c>
      <c r="F70" s="636"/>
    </row>
    <row r="71" spans="2:11" x14ac:dyDescent="0.25">
      <c r="B71" s="604" t="s">
        <v>207</v>
      </c>
      <c r="C71" s="608"/>
      <c r="D71" s="602"/>
      <c r="E71" s="603"/>
      <c r="F71" s="636"/>
      <c r="G71" s="866" t="str">
        <f>CONCATENATE("Projected Carryover Into ",E1+1,"")</f>
        <v>Projected Carryover Into 2016</v>
      </c>
      <c r="H71" s="871"/>
      <c r="I71" s="871"/>
      <c r="J71" s="870"/>
    </row>
    <row r="72" spans="2:11" x14ac:dyDescent="0.25">
      <c r="B72" s="604" t="s">
        <v>698</v>
      </c>
      <c r="C72" s="609" t="str">
        <f>IF(C73*0.1&lt;C71,"Exceed 10% Rule","")</f>
        <v/>
      </c>
      <c r="D72" s="609" t="str">
        <f>IF(D73*0.1&lt;D71,"Exceed 10% Rule","")</f>
        <v/>
      </c>
      <c r="E72" s="610" t="str">
        <f>IF(E73*0.1&lt;E71,"Exceed 10% Rule","")</f>
        <v/>
      </c>
      <c r="F72" s="636"/>
      <c r="G72" s="666"/>
      <c r="H72" s="615"/>
      <c r="I72" s="615"/>
      <c r="J72" s="667"/>
    </row>
    <row r="73" spans="2:11" x14ac:dyDescent="0.25">
      <c r="B73" s="611" t="s">
        <v>265</v>
      </c>
      <c r="C73" s="630">
        <f>SUM(C63:C71)</f>
        <v>0</v>
      </c>
      <c r="D73" s="630">
        <f>SUM(D63:D71)</f>
        <v>0</v>
      </c>
      <c r="E73" s="631">
        <f>SUM(E63:E71)</f>
        <v>0</v>
      </c>
      <c r="F73" s="636"/>
      <c r="G73" s="632">
        <f>D74</f>
        <v>0</v>
      </c>
      <c r="H73" s="633" t="str">
        <f>CONCATENATE("",E1-1," Ending Cash Balance (est.)")</f>
        <v>2014 Ending Cash Balance (est.)</v>
      </c>
      <c r="I73" s="634"/>
      <c r="J73" s="667"/>
    </row>
    <row r="74" spans="2:11" x14ac:dyDescent="0.25">
      <c r="B74" s="595" t="s">
        <v>61</v>
      </c>
      <c r="C74" s="635">
        <f>C61-C73</f>
        <v>0</v>
      </c>
      <c r="D74" s="635">
        <f>D61-D73</f>
        <v>0</v>
      </c>
      <c r="E74" s="601" t="s">
        <v>234</v>
      </c>
      <c r="F74" s="636"/>
      <c r="G74" s="632">
        <f>E60</f>
        <v>0</v>
      </c>
      <c r="H74" s="616" t="str">
        <f>CONCATENATE("",E1," Non-AV Receipts (est.)")</f>
        <v>2015 Non-AV Receipts (est.)</v>
      </c>
      <c r="I74" s="634"/>
      <c r="J74" s="667"/>
    </row>
    <row r="75" spans="2:11" x14ac:dyDescent="0.25">
      <c r="B75" s="727" t="str">
        <f>CONCATENATE("",E1-2,"/",E1-1,"/",E1," Budget Authority Amount:")</f>
        <v>2013/2014/2015 Budget Authority Amount:</v>
      </c>
      <c r="C75" s="726">
        <f>inputOth!B85</f>
        <v>0</v>
      </c>
      <c r="D75" s="726">
        <f>inputPrYr!D22</f>
        <v>0</v>
      </c>
      <c r="E75" s="598">
        <f>E73</f>
        <v>0</v>
      </c>
      <c r="F75" s="638"/>
      <c r="G75" s="639">
        <f>IF(E79&gt;0,E78,E80)</f>
        <v>0</v>
      </c>
      <c r="H75" s="616" t="str">
        <f>CONCATENATE("",E1," Ad Valorem Tax (est.)")</f>
        <v>2015 Ad Valorem Tax (est.)</v>
      </c>
      <c r="I75" s="634"/>
      <c r="J75" s="667"/>
      <c r="K75" s="640" t="str">
        <f>IF(G75=E80,"","Note: Does not include Delinquent Taxes")</f>
        <v/>
      </c>
    </row>
    <row r="76" spans="2:11" x14ac:dyDescent="0.25">
      <c r="B76" s="637"/>
      <c r="C76" s="852" t="s">
        <v>695</v>
      </c>
      <c r="D76" s="853"/>
      <c r="E76" s="603"/>
      <c r="F76" s="668" t="str">
        <f>IF(E73/0.95-E73&lt;E76,"Exceeds 5%","")</f>
        <v/>
      </c>
      <c r="G76" s="669">
        <f>SUM(G73:G75)</f>
        <v>0</v>
      </c>
      <c r="H76" s="616" t="str">
        <f>CONCATENATE("Total ",E1," Resources Available")</f>
        <v>Total 2015 Resources Available</v>
      </c>
      <c r="I76" s="670"/>
      <c r="J76" s="667"/>
    </row>
    <row r="77" spans="2:11" x14ac:dyDescent="0.25">
      <c r="B77" s="642" t="str">
        <f>CONCATENATE(C95,"     ",D95)</f>
        <v xml:space="preserve">     </v>
      </c>
      <c r="C77" s="854" t="s">
        <v>696</v>
      </c>
      <c r="D77" s="855"/>
      <c r="E77" s="598">
        <f>E73+E76</f>
        <v>0</v>
      </c>
      <c r="F77" s="636"/>
      <c r="G77" s="671"/>
      <c r="H77" s="672"/>
      <c r="I77" s="615"/>
      <c r="J77" s="667"/>
    </row>
    <row r="78" spans="2:11" x14ac:dyDescent="0.25">
      <c r="B78" s="642" t="str">
        <f>CONCATENATE(C96,"     ",D96)</f>
        <v xml:space="preserve">     </v>
      </c>
      <c r="C78" s="644"/>
      <c r="D78" s="583" t="s">
        <v>267</v>
      </c>
      <c r="E78" s="645">
        <f>IF(E77-E61&gt;0,E77-E61,0)</f>
        <v>0</v>
      </c>
      <c r="F78" s="636"/>
      <c r="G78" s="639">
        <f>ROUND(C73*0.05+C73,0)</f>
        <v>0</v>
      </c>
      <c r="H78" s="616" t="str">
        <f>CONCATENATE("Less ",E1-2," Expenditures + 5%")</f>
        <v>Less 2013 Expenditures + 5%</v>
      </c>
      <c r="I78" s="670"/>
      <c r="J78" s="667"/>
    </row>
    <row r="79" spans="2:11" x14ac:dyDescent="0.25">
      <c r="B79" s="583"/>
      <c r="C79" s="471" t="s">
        <v>697</v>
      </c>
      <c r="D79" s="646">
        <f>inputOth!E77</f>
        <v>0</v>
      </c>
      <c r="E79" s="598">
        <f>ROUND(IF(E78&gt;0,(E78*D79),0),0)</f>
        <v>0</v>
      </c>
      <c r="F79" s="636"/>
      <c r="G79" s="647">
        <f>G76-G78</f>
        <v>0</v>
      </c>
      <c r="H79" s="648" t="str">
        <f>CONCATENATE("Projected ",E1+1," carryover (est.)")</f>
        <v>Projected 2016 carryover (est.)</v>
      </c>
      <c r="I79" s="673"/>
      <c r="J79" s="674"/>
    </row>
    <row r="80" spans="2:11" ht="16.5" thickBot="1" x14ac:dyDescent="0.3">
      <c r="B80" s="580"/>
      <c r="C80" s="861" t="str">
        <f>CONCATENATE("Amount of  ",E1-1," Ad Valorem Tax")</f>
        <v>Amount of  2014 Ad Valorem Tax</v>
      </c>
      <c r="D80" s="862"/>
      <c r="E80" s="652">
        <f>E78+E79</f>
        <v>0</v>
      </c>
      <c r="F80" s="675" t="e">
        <f>IF('Library Grant'!F33="","",IF('Library Grant'!F33="Qualify","Qualifies for State Library Grant","See 'Library Grant' tab"))</f>
        <v>#VALUE!</v>
      </c>
    </row>
    <row r="81" spans="2:10" ht="16.5" thickTop="1" x14ac:dyDescent="0.25">
      <c r="B81" s="583"/>
      <c r="C81" s="861"/>
      <c r="D81" s="862"/>
      <c r="E81" s="653"/>
      <c r="F81" s="636"/>
      <c r="G81" s="863" t="s">
        <v>832</v>
      </c>
      <c r="H81" s="864"/>
      <c r="I81" s="864"/>
      <c r="J81" s="865"/>
    </row>
    <row r="82" spans="2:10" x14ac:dyDescent="0.25">
      <c r="B82" s="583"/>
      <c r="C82" s="583"/>
      <c r="D82" s="583"/>
      <c r="E82" s="583"/>
      <c r="G82" s="654"/>
      <c r="H82" s="633"/>
      <c r="I82" s="655"/>
      <c r="J82" s="656"/>
    </row>
    <row r="83" spans="2:10" x14ac:dyDescent="0.25">
      <c r="B83" s="583" t="s">
        <v>248</v>
      </c>
      <c r="C83" s="676"/>
      <c r="D83" s="583"/>
      <c r="E83" s="583"/>
      <c r="F83" s="636"/>
      <c r="G83" s="657" t="str">
        <f>summ!H20</f>
        <v xml:space="preserve"> </v>
      </c>
      <c r="H83" s="633" t="str">
        <f>CONCATENATE("",E1," Fund Mill Rate")</f>
        <v>2015 Fund Mill Rate</v>
      </c>
      <c r="I83" s="655"/>
      <c r="J83" s="656"/>
    </row>
    <row r="84" spans="2:10" x14ac:dyDescent="0.25">
      <c r="G84" s="658" t="str">
        <f>summ!E20</f>
        <v xml:space="preserve">  </v>
      </c>
      <c r="H84" s="633" t="str">
        <f>CONCATENATE("",E1-1," Fund Mill Rate")</f>
        <v>2014 Fund Mill Rate</v>
      </c>
      <c r="I84" s="655"/>
      <c r="J84" s="656"/>
    </row>
    <row r="85" spans="2:10" x14ac:dyDescent="0.25">
      <c r="G85" s="660">
        <f>summ!H36</f>
        <v>12.68</v>
      </c>
      <c r="H85" s="633" t="str">
        <f>CONCATENATE("Total ",E1," Mill Rate")</f>
        <v>Total 2015 Mill Rate</v>
      </c>
      <c r="I85" s="655"/>
      <c r="J85" s="656"/>
    </row>
    <row r="86" spans="2:10" x14ac:dyDescent="0.25">
      <c r="G86" s="658">
        <f>summ!E36</f>
        <v>12.68</v>
      </c>
      <c r="H86" s="661" t="str">
        <f>CONCATENATE("Total ",E1-1," Mill Rate")</f>
        <v>Total 2014 Mill Rate</v>
      </c>
      <c r="I86" s="662"/>
      <c r="J86" s="663"/>
    </row>
    <row r="87" spans="2:10" x14ac:dyDescent="0.25">
      <c r="G87" s="677"/>
      <c r="H87" s="677"/>
      <c r="I87" s="677"/>
      <c r="J87" s="677"/>
    </row>
    <row r="88" spans="2:10" x14ac:dyDescent="0.25">
      <c r="C88" s="678" t="s">
        <v>833</v>
      </c>
      <c r="D88" s="678" t="s">
        <v>833</v>
      </c>
      <c r="G88" s="755" t="s">
        <v>931</v>
      </c>
      <c r="H88" s="710"/>
      <c r="I88" s="709" t="str">
        <f>cert!E41</f>
        <v>No</v>
      </c>
    </row>
    <row r="89" spans="2:10" x14ac:dyDescent="0.25">
      <c r="C89" s="678" t="s">
        <v>833</v>
      </c>
      <c r="D89" s="678" t="s">
        <v>833</v>
      </c>
    </row>
    <row r="91" spans="2:10" x14ac:dyDescent="0.25">
      <c r="C91" s="678" t="s">
        <v>833</v>
      </c>
      <c r="D91" s="678" t="s">
        <v>833</v>
      </c>
    </row>
    <row r="92" spans="2:10" x14ac:dyDescent="0.25">
      <c r="C92" s="678" t="s">
        <v>833</v>
      </c>
      <c r="D92" s="678" t="s">
        <v>833</v>
      </c>
    </row>
    <row r="93" spans="2:10" hidden="1" x14ac:dyDescent="0.25">
      <c r="C93" s="679" t="str">
        <f>IF(C33&gt;C35,"See Tab A","")</f>
        <v/>
      </c>
      <c r="D93" s="679" t="str">
        <f>IF(D33&gt;D35,"See Tab C","")</f>
        <v/>
      </c>
    </row>
    <row r="94" spans="2:10" hidden="1" x14ac:dyDescent="0.25">
      <c r="C94" s="679" t="str">
        <f>IF(C34&lt;0,"See Tab B","")</f>
        <v/>
      </c>
      <c r="D94" s="679" t="str">
        <f>IF(D34&lt;0,"See Tab D","")</f>
        <v/>
      </c>
    </row>
    <row r="95" spans="2:10" hidden="1" x14ac:dyDescent="0.25">
      <c r="C95" s="680" t="str">
        <f>IF(C73&gt;C75,"See Tab A","")</f>
        <v/>
      </c>
      <c r="D95" s="680" t="str">
        <f>IF(D73&gt;D75,"See Tab C","")</f>
        <v/>
      </c>
    </row>
    <row r="96" spans="2:10" hidden="1" x14ac:dyDescent="0.25">
      <c r="C96" s="680" t="str">
        <f>IF(C74&lt;0,"See Tab B","")</f>
        <v/>
      </c>
      <c r="D96" s="680" t="str">
        <f>IF(D74&lt;0,"See Tab D","")</f>
        <v/>
      </c>
    </row>
  </sheetData>
  <sheetProtection sheet="1"/>
  <mergeCells count="14">
    <mergeCell ref="C81:D81"/>
    <mergeCell ref="G81:J81"/>
    <mergeCell ref="G24:J24"/>
    <mergeCell ref="G31:J31"/>
    <mergeCell ref="C36:D36"/>
    <mergeCell ref="C37:D37"/>
    <mergeCell ref="C40:D40"/>
    <mergeCell ref="C41:D41"/>
    <mergeCell ref="G41:J41"/>
    <mergeCell ref="G64:J64"/>
    <mergeCell ref="G71:J71"/>
    <mergeCell ref="C76:D76"/>
    <mergeCell ref="C77:D77"/>
    <mergeCell ref="C80:D80"/>
  </mergeCells>
  <conditionalFormatting sqref="C73">
    <cfRule type="cellIs" dxfId="153" priority="16" stopIfTrue="1" operator="greaterThan">
      <formula>$C$75</formula>
    </cfRule>
  </conditionalFormatting>
  <conditionalFormatting sqref="C74:D74 C34:D34">
    <cfRule type="cellIs" dxfId="152" priority="15" stopIfTrue="1" operator="lessThan">
      <formula>0</formula>
    </cfRule>
  </conditionalFormatting>
  <conditionalFormatting sqref="D73">
    <cfRule type="cellIs" dxfId="151" priority="14" stopIfTrue="1" operator="greaterThan">
      <formula>$D$75</formula>
    </cfRule>
  </conditionalFormatting>
  <conditionalFormatting sqref="C33">
    <cfRule type="cellIs" dxfId="150" priority="13" stopIfTrue="1" operator="greaterThan">
      <formula>$C$35</formula>
    </cfRule>
  </conditionalFormatting>
  <conditionalFormatting sqref="D33">
    <cfRule type="cellIs" dxfId="149" priority="12" stopIfTrue="1" operator="greaterThan">
      <formula>$D$35</formula>
    </cfRule>
  </conditionalFormatting>
  <conditionalFormatting sqref="C31">
    <cfRule type="cellIs" dxfId="148" priority="11" stopIfTrue="1" operator="greaterThan">
      <formula>$C$33*0.1</formula>
    </cfRule>
  </conditionalFormatting>
  <conditionalFormatting sqref="D31">
    <cfRule type="cellIs" dxfId="147" priority="10" stopIfTrue="1" operator="greaterThan">
      <formula>$D$33*0.1</formula>
    </cfRule>
  </conditionalFormatting>
  <conditionalFormatting sqref="E31">
    <cfRule type="cellIs" dxfId="146" priority="9" stopIfTrue="1" operator="greaterThan">
      <formula>$E$33*0.1</formula>
    </cfRule>
  </conditionalFormatting>
  <conditionalFormatting sqref="C18 C58:E58">
    <cfRule type="cellIs" dxfId="145" priority="8" stopIfTrue="1" operator="greaterThan">
      <formula>$C$20*0.1</formula>
    </cfRule>
  </conditionalFormatting>
  <conditionalFormatting sqref="D18">
    <cfRule type="cellIs" dxfId="144" priority="7" stopIfTrue="1" operator="greaterThan">
      <formula>$D$20*0.1</formula>
    </cfRule>
  </conditionalFormatting>
  <conditionalFormatting sqref="E18">
    <cfRule type="cellIs" dxfId="143" priority="6" stopIfTrue="1" operator="greaterThan">
      <formula>$E$20*0.1+$E$40</formula>
    </cfRule>
  </conditionalFormatting>
  <conditionalFormatting sqref="C71">
    <cfRule type="cellIs" dxfId="142" priority="5" stopIfTrue="1" operator="greaterThan">
      <formula>$C$73*0.1</formula>
    </cfRule>
  </conditionalFormatting>
  <conditionalFormatting sqref="D71">
    <cfRule type="cellIs" dxfId="141" priority="4" stopIfTrue="1" operator="greaterThan">
      <formula>$D$73*0.1</formula>
    </cfRule>
  </conditionalFormatting>
  <conditionalFormatting sqref="E71">
    <cfRule type="cellIs" dxfId="140" priority="3" stopIfTrue="1" operator="greaterThan">
      <formula>$E$73*0.1</formula>
    </cfRule>
  </conditionalFormatting>
  <conditionalFormatting sqref="E36">
    <cfRule type="cellIs" dxfId="139" priority="2" stopIfTrue="1" operator="greaterThan">
      <formula>$E$33/0.95-$E$33</formula>
    </cfRule>
  </conditionalFormatting>
  <conditionalFormatting sqref="E76">
    <cfRule type="cellIs" dxfId="138" priority="1" stopIfTrue="1" operator="greaterThan">
      <formula>$E$73/0.98-$E$73</formula>
    </cfRule>
  </conditionalFormatting>
  <pageMargins left="0.75" right="0.75" top="1" bottom="1" header="0.5" footer="0.5"/>
  <pageSetup scale="56" orientation="portrait" blackAndWhite="1" r:id="rId1"/>
  <headerFooter alignWithMargins="0">
    <oddHeader>&amp;RState of Kansas
City</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B1:K73"/>
  <sheetViews>
    <sheetView topLeftCell="A25" workbookViewId="0">
      <selection activeCell="E35" sqref="E35"/>
    </sheetView>
  </sheetViews>
  <sheetFormatPr defaultColWidth="8.796875" defaultRowHeight="15.75" x14ac:dyDescent="0.25"/>
  <cols>
    <col min="1" max="1" width="2.3984375" style="137" customWidth="1"/>
    <col min="2" max="2" width="31" style="137" customWidth="1"/>
    <col min="3" max="4" width="15.69921875" style="137" customWidth="1"/>
    <col min="5" max="5" width="12.69921875" style="137" customWidth="1"/>
    <col min="6" max="6" width="7.296875" style="137" customWidth="1"/>
    <col min="7" max="7" width="9.19921875" style="137" customWidth="1"/>
    <col min="8" max="8" width="8.796875" style="137"/>
    <col min="9" max="9" width="4.5" style="137" customWidth="1"/>
    <col min="10" max="10" width="9" style="137" customWidth="1"/>
    <col min="11" max="16384" width="8.796875" style="137"/>
  </cols>
  <sheetData>
    <row r="1" spans="2:5" x14ac:dyDescent="0.25">
      <c r="B1" s="203" t="str">
        <f>inputPrYr!D3</f>
        <v>Milton Township</v>
      </c>
      <c r="C1" s="48"/>
      <c r="D1" s="48"/>
      <c r="E1" s="204">
        <f>inputPrYr!D9</f>
        <v>2015</v>
      </c>
    </row>
    <row r="2" spans="2:5" x14ac:dyDescent="0.25">
      <c r="B2" s="513" t="s">
        <v>737</v>
      </c>
      <c r="C2" s="48"/>
      <c r="D2" s="187"/>
      <c r="E2" s="50"/>
    </row>
    <row r="3" spans="2:5" x14ac:dyDescent="0.25">
      <c r="B3" s="55" t="s">
        <v>249</v>
      </c>
      <c r="C3" s="53"/>
      <c r="D3" s="53"/>
      <c r="E3" s="53"/>
    </row>
    <row r="4" spans="2:5" x14ac:dyDescent="0.25">
      <c r="B4" s="48"/>
      <c r="C4" s="359" t="s">
        <v>250</v>
      </c>
      <c r="D4" s="362" t="s">
        <v>251</v>
      </c>
      <c r="E4" s="57" t="s">
        <v>252</v>
      </c>
    </row>
    <row r="5" spans="2:5" x14ac:dyDescent="0.25">
      <c r="B5" s="455" t="str">
        <f>inputPrYr!B23</f>
        <v>Road</v>
      </c>
      <c r="C5" s="360" t="str">
        <f>gen!C5</f>
        <v>Actual for 2013</v>
      </c>
      <c r="D5" s="360" t="str">
        <f>gen!D5</f>
        <v>Estimate for 2014</v>
      </c>
      <c r="E5" s="62" t="str">
        <f>gen!E5</f>
        <v>Year for 2015</v>
      </c>
    </row>
    <row r="6" spans="2:5" x14ac:dyDescent="0.25">
      <c r="B6" s="63" t="s">
        <v>60</v>
      </c>
      <c r="C6" s="286">
        <v>8429</v>
      </c>
      <c r="D6" s="361">
        <f>C44</f>
        <v>2756</v>
      </c>
      <c r="E6" s="239">
        <f>D44</f>
        <v>1618</v>
      </c>
    </row>
    <row r="7" spans="2:5" x14ac:dyDescent="0.25">
      <c r="B7" s="63" t="s">
        <v>62</v>
      </c>
      <c r="C7" s="361"/>
      <c r="D7" s="361"/>
      <c r="E7" s="288"/>
    </row>
    <row r="8" spans="2:5" x14ac:dyDescent="0.25">
      <c r="B8" s="63" t="s">
        <v>255</v>
      </c>
      <c r="C8" s="286">
        <v>26925</v>
      </c>
      <c r="D8" s="361">
        <f>IF(inputPrYr!H19&gt;0,inputPrYr!G23,inputPrYr!E23)</f>
        <v>34105</v>
      </c>
      <c r="E8" s="288" t="s">
        <v>234</v>
      </c>
    </row>
    <row r="9" spans="2:5" x14ac:dyDescent="0.25">
      <c r="B9" s="63" t="s">
        <v>256</v>
      </c>
      <c r="C9" s="286">
        <v>585</v>
      </c>
      <c r="D9" s="286"/>
      <c r="E9" s="151"/>
    </row>
    <row r="10" spans="2:5" x14ac:dyDescent="0.25">
      <c r="B10" s="63" t="s">
        <v>257</v>
      </c>
      <c r="C10" s="286">
        <v>3800</v>
      </c>
      <c r="D10" s="286">
        <v>3340</v>
      </c>
      <c r="E10" s="239">
        <f>mvalloc!G14</f>
        <v>4070</v>
      </c>
    </row>
    <row r="11" spans="2:5" x14ac:dyDescent="0.25">
      <c r="B11" s="63" t="s">
        <v>258</v>
      </c>
      <c r="C11" s="286">
        <v>72</v>
      </c>
      <c r="D11" s="286">
        <v>58</v>
      </c>
      <c r="E11" s="239">
        <f>mvalloc!I14</f>
        <v>75</v>
      </c>
    </row>
    <row r="12" spans="2:5" x14ac:dyDescent="0.25">
      <c r="B12" s="63" t="s">
        <v>51</v>
      </c>
      <c r="C12" s="286">
        <v>69</v>
      </c>
      <c r="D12" s="286">
        <v>48</v>
      </c>
      <c r="E12" s="239">
        <f>mvalloc!J14</f>
        <v>41</v>
      </c>
    </row>
    <row r="13" spans="2:5" x14ac:dyDescent="0.25">
      <c r="B13" s="63" t="s">
        <v>52</v>
      </c>
      <c r="C13" s="286">
        <v>6412</v>
      </c>
      <c r="D13" s="286">
        <v>5041</v>
      </c>
      <c r="E13" s="239">
        <f>inputOth!E72</f>
        <v>4954</v>
      </c>
    </row>
    <row r="14" spans="2:5" x14ac:dyDescent="0.25">
      <c r="B14" s="291" t="s">
        <v>982</v>
      </c>
      <c r="C14" s="286"/>
      <c r="D14" s="286"/>
      <c r="E14" s="151">
        <v>70</v>
      </c>
    </row>
    <row r="15" spans="2:5" x14ac:dyDescent="0.25">
      <c r="B15" s="291"/>
      <c r="C15" s="286"/>
      <c r="D15" s="286"/>
      <c r="E15" s="151"/>
    </row>
    <row r="16" spans="2:5" x14ac:dyDescent="0.25">
      <c r="B16" s="291"/>
      <c r="C16" s="286"/>
      <c r="D16" s="286"/>
      <c r="E16" s="151"/>
    </row>
    <row r="17" spans="2:5" x14ac:dyDescent="0.25">
      <c r="B17" s="291"/>
      <c r="C17" s="286"/>
      <c r="D17" s="286"/>
      <c r="E17" s="151"/>
    </row>
    <row r="18" spans="2:5" x14ac:dyDescent="0.25">
      <c r="B18" s="291"/>
      <c r="C18" s="286"/>
      <c r="D18" s="286"/>
      <c r="E18" s="151"/>
    </row>
    <row r="19" spans="2:5" x14ac:dyDescent="0.25">
      <c r="B19" s="291"/>
      <c r="C19" s="286"/>
      <c r="D19" s="286"/>
      <c r="E19" s="151"/>
    </row>
    <row r="20" spans="2:5" x14ac:dyDescent="0.25">
      <c r="B20" s="291" t="s">
        <v>261</v>
      </c>
      <c r="C20" s="286">
        <v>111</v>
      </c>
      <c r="D20" s="286"/>
      <c r="E20" s="151"/>
    </row>
    <row r="21" spans="2:5" x14ac:dyDescent="0.25">
      <c r="B21" s="292" t="s">
        <v>207</v>
      </c>
      <c r="C21" s="286"/>
      <c r="D21" s="286"/>
      <c r="E21" s="151"/>
    </row>
    <row r="22" spans="2:5" x14ac:dyDescent="0.25">
      <c r="B22" s="292" t="s">
        <v>208</v>
      </c>
      <c r="C22" s="363" t="str">
        <f>IF(C23*0.1&lt;C21,"Exceed 10% Rule","")</f>
        <v/>
      </c>
      <c r="D22" s="363" t="str">
        <f>IF(D23*0.1&lt;D21,"Exceed 10% Rule","")</f>
        <v/>
      </c>
      <c r="E22" s="296" t="str">
        <f>IF(E23*0.1+E50&lt;E21,"Exceed 10% Rule","")</f>
        <v/>
      </c>
    </row>
    <row r="23" spans="2:5" x14ac:dyDescent="0.25">
      <c r="B23" s="294" t="s">
        <v>262</v>
      </c>
      <c r="C23" s="364">
        <f>SUM(C8:C21)</f>
        <v>37974</v>
      </c>
      <c r="D23" s="364">
        <f>SUM(D8:D21)</f>
        <v>42592</v>
      </c>
      <c r="E23" s="295">
        <f>SUM(E8:E21)</f>
        <v>9210</v>
      </c>
    </row>
    <row r="24" spans="2:5" x14ac:dyDescent="0.25">
      <c r="B24" s="81" t="s">
        <v>263</v>
      </c>
      <c r="C24" s="364">
        <f>C23+C6</f>
        <v>46403</v>
      </c>
      <c r="D24" s="364">
        <f>D23+D6</f>
        <v>45348</v>
      </c>
      <c r="E24" s="295">
        <f>E23+E6</f>
        <v>10828</v>
      </c>
    </row>
    <row r="25" spans="2:5" x14ac:dyDescent="0.25">
      <c r="B25" s="63" t="s">
        <v>264</v>
      </c>
      <c r="C25" s="361"/>
      <c r="D25" s="361"/>
      <c r="E25" s="239"/>
    </row>
    <row r="26" spans="2:5" x14ac:dyDescent="0.25">
      <c r="B26" s="291" t="s">
        <v>975</v>
      </c>
      <c r="C26" s="286"/>
      <c r="D26" s="286"/>
      <c r="E26" s="151"/>
    </row>
    <row r="27" spans="2:5" x14ac:dyDescent="0.25">
      <c r="B27" s="291" t="s">
        <v>53</v>
      </c>
      <c r="C27" s="286"/>
      <c r="D27" s="286">
        <v>3000</v>
      </c>
      <c r="E27" s="286">
        <v>3000</v>
      </c>
    </row>
    <row r="28" spans="2:5" x14ac:dyDescent="0.25">
      <c r="B28" s="291" t="s">
        <v>67</v>
      </c>
      <c r="C28" s="286"/>
      <c r="D28" s="286">
        <v>6000</v>
      </c>
      <c r="E28" s="286">
        <v>6000</v>
      </c>
    </row>
    <row r="29" spans="2:5" x14ac:dyDescent="0.25">
      <c r="B29" s="290" t="s">
        <v>54</v>
      </c>
      <c r="C29" s="286"/>
      <c r="D29" s="286">
        <v>1500</v>
      </c>
      <c r="E29" s="286">
        <v>1500</v>
      </c>
    </row>
    <row r="30" spans="2:5" x14ac:dyDescent="0.25">
      <c r="B30" s="291" t="s">
        <v>69</v>
      </c>
      <c r="C30" s="286"/>
      <c r="D30" s="286">
        <v>10000</v>
      </c>
      <c r="E30" s="286">
        <v>10000</v>
      </c>
    </row>
    <row r="31" spans="2:5" x14ac:dyDescent="0.25">
      <c r="B31" s="291" t="s">
        <v>56</v>
      </c>
      <c r="C31" s="286">
        <v>40748</v>
      </c>
      <c r="D31" s="286">
        <v>11230</v>
      </c>
      <c r="E31" s="286">
        <v>11230</v>
      </c>
    </row>
    <row r="32" spans="2:5" x14ac:dyDescent="0.25">
      <c r="B32" s="291" t="s">
        <v>976</v>
      </c>
      <c r="C32" s="286"/>
      <c r="D32" s="286">
        <v>1000</v>
      </c>
      <c r="E32" s="286">
        <v>1000</v>
      </c>
    </row>
    <row r="33" spans="2:11" x14ac:dyDescent="0.25">
      <c r="B33" s="291" t="s">
        <v>977</v>
      </c>
      <c r="C33" s="286"/>
      <c r="D33" s="286"/>
      <c r="E33" s="286"/>
    </row>
    <row r="34" spans="2:11" x14ac:dyDescent="0.25">
      <c r="B34" s="291" t="s">
        <v>70</v>
      </c>
      <c r="C34" s="286"/>
      <c r="D34" s="286">
        <v>5000</v>
      </c>
      <c r="E34" s="286">
        <v>5000</v>
      </c>
      <c r="G34" s="858" t="str">
        <f>CONCATENATE("Desired Carryover Into ",E1+1,"")</f>
        <v>Desired Carryover Into 2016</v>
      </c>
      <c r="H34" s="859"/>
      <c r="I34" s="859"/>
      <c r="J34" s="860"/>
    </row>
    <row r="35" spans="2:11" x14ac:dyDescent="0.25">
      <c r="B35" s="291" t="s">
        <v>978</v>
      </c>
      <c r="C35" s="286"/>
      <c r="D35" s="286"/>
      <c r="E35" s="286">
        <v>2876</v>
      </c>
      <c r="G35" s="475"/>
      <c r="H35" s="54"/>
      <c r="I35" s="517"/>
      <c r="J35" s="476"/>
    </row>
    <row r="36" spans="2:11" x14ac:dyDescent="0.25">
      <c r="B36" s="290" t="s">
        <v>979</v>
      </c>
      <c r="C36" s="286"/>
      <c r="D36" s="286">
        <v>1000</v>
      </c>
      <c r="E36" s="286">
        <v>1000</v>
      </c>
      <c r="G36" s="477" t="s">
        <v>701</v>
      </c>
      <c r="H36" s="517"/>
      <c r="I36" s="517"/>
      <c r="J36" s="478">
        <v>0</v>
      </c>
    </row>
    <row r="37" spans="2:11" x14ac:dyDescent="0.25">
      <c r="B37" s="290" t="s">
        <v>973</v>
      </c>
      <c r="C37" s="286">
        <v>2899</v>
      </c>
      <c r="D37" s="286">
        <v>5000</v>
      </c>
      <c r="E37" s="286">
        <v>5000</v>
      </c>
      <c r="G37" s="475" t="s">
        <v>702</v>
      </c>
      <c r="H37" s="54"/>
      <c r="I37" s="54"/>
      <c r="J37" s="684" t="str">
        <f>IF(J36=0,"",ROUND((J36+E50-G49)/inputOth!E11*1000,3)-G54)</f>
        <v/>
      </c>
    </row>
    <row r="38" spans="2:11" x14ac:dyDescent="0.25">
      <c r="B38" s="63" t="s">
        <v>55</v>
      </c>
      <c r="C38" s="286"/>
      <c r="D38" s="286"/>
      <c r="E38" s="151"/>
      <c r="G38" s="685" t="str">
        <f>CONCATENATE("",E1," Tot Exp/Non-Appr Must Be:")</f>
        <v>2015 Tot Exp/Non-Appr Must Be:</v>
      </c>
      <c r="H38" s="510"/>
      <c r="I38" s="681"/>
      <c r="J38" s="686">
        <f>IF(J36&gt;0,IF(E47&lt;E24,IF(J36=G49,E47,((J36-G49)*(1-D49))+E24),E47+(J36-G49)),0)</f>
        <v>0</v>
      </c>
    </row>
    <row r="39" spans="2:11" x14ac:dyDescent="0.25">
      <c r="B39" s="63" t="s">
        <v>703</v>
      </c>
      <c r="C39" s="363" t="str">
        <f>IF(C24*0.25&lt;C38,"Exceeds 25%","")</f>
        <v/>
      </c>
      <c r="D39" s="363" t="str">
        <f>IF(D24*0.25&lt;D38,"Exceeds 25%","")</f>
        <v/>
      </c>
      <c r="E39" s="296" t="str">
        <f>IF(E24*0.25+E50&lt;E38,"Exceeds 25%","")</f>
        <v/>
      </c>
      <c r="G39" s="687" t="s">
        <v>831</v>
      </c>
      <c r="H39" s="688"/>
      <c r="I39" s="688"/>
      <c r="J39" s="689">
        <f>IF(J36&gt;0,J38-E47,0)</f>
        <v>0</v>
      </c>
    </row>
    <row r="40" spans="2:11" x14ac:dyDescent="0.25">
      <c r="B40" s="289" t="s">
        <v>209</v>
      </c>
      <c r="C40" s="286"/>
      <c r="D40" s="286"/>
      <c r="E40" s="162" t="str">
        <f>nhood!E9</f>
        <v/>
      </c>
    </row>
    <row r="41" spans="2:11" x14ac:dyDescent="0.25">
      <c r="B41" s="289" t="s">
        <v>207</v>
      </c>
      <c r="C41" s="286"/>
      <c r="D41" s="286"/>
      <c r="E41" s="151"/>
      <c r="G41" s="858" t="str">
        <f>CONCATENATE("Projected Carryover Into ",E1+1,"")</f>
        <v>Projected Carryover Into 2016</v>
      </c>
      <c r="H41" s="859"/>
      <c r="I41" s="859"/>
      <c r="J41" s="860"/>
    </row>
    <row r="42" spans="2:11" x14ac:dyDescent="0.25">
      <c r="B42" s="289" t="s">
        <v>698</v>
      </c>
      <c r="C42" s="363" t="str">
        <f>IF(C43*0.1&lt;C41,"Exceed 10% Rule","")</f>
        <v/>
      </c>
      <c r="D42" s="363" t="str">
        <f>IF(D43*0.1&lt;D41,"Exceed 10% Rule","")</f>
        <v/>
      </c>
      <c r="E42" s="296" t="str">
        <f>IF(E43*0.1&lt;E41,"Exceed 10% Rule","")</f>
        <v/>
      </c>
      <c r="G42" s="474"/>
      <c r="H42" s="54"/>
      <c r="I42" s="54"/>
      <c r="J42" s="67"/>
    </row>
    <row r="43" spans="2:11" x14ac:dyDescent="0.25">
      <c r="B43" s="81" t="s">
        <v>265</v>
      </c>
      <c r="C43" s="364">
        <f>SUM(C26:C41)</f>
        <v>43647</v>
      </c>
      <c r="D43" s="364">
        <f>SUM(D26:D41)</f>
        <v>43730</v>
      </c>
      <c r="E43" s="295">
        <f>SUM(E26:E38,E41)</f>
        <v>46606</v>
      </c>
      <c r="G43" s="514">
        <f>D44</f>
        <v>1618</v>
      </c>
      <c r="H43" s="515" t="str">
        <f>CONCATENATE("",E1-1," Ending Cash Balance (est.)")</f>
        <v>2014 Ending Cash Balance (est.)</v>
      </c>
      <c r="I43" s="516"/>
      <c r="J43" s="67"/>
    </row>
    <row r="44" spans="2:11" x14ac:dyDescent="0.25">
      <c r="B44" s="63" t="s">
        <v>61</v>
      </c>
      <c r="C44" s="365">
        <f>C24-C43</f>
        <v>2756</v>
      </c>
      <c r="D44" s="365">
        <f>D24-D43</f>
        <v>1618</v>
      </c>
      <c r="E44" s="288" t="s">
        <v>234</v>
      </c>
      <c r="G44" s="514">
        <f>E23</f>
        <v>9210</v>
      </c>
      <c r="H44" s="517" t="str">
        <f>CONCATENATE("",E1," Non-AV Receipts (est.)")</f>
        <v>2015 Non-AV Receipts (est.)</v>
      </c>
      <c r="I44" s="516"/>
      <c r="J44" s="67"/>
    </row>
    <row r="45" spans="2:11" x14ac:dyDescent="0.2">
      <c r="B45" s="98" t="str">
        <f>CONCATENATE("",E1-2,"/",E1-1,"/",E1," Budget Authority Amount:")</f>
        <v>2013/2014/2015 Budget Authority Amount:</v>
      </c>
      <c r="C45" s="724">
        <f>inputOth!B86</f>
        <v>43730</v>
      </c>
      <c r="D45" s="724">
        <f>inputPrYr!D23</f>
        <v>43730</v>
      </c>
      <c r="E45" s="239">
        <f>E43</f>
        <v>46606</v>
      </c>
      <c r="F45" s="297"/>
      <c r="G45" s="518">
        <f>IF(D49&gt;0,E48,E50)</f>
        <v>35778</v>
      </c>
      <c r="H45" s="517" t="str">
        <f>CONCATENATE("",E1," Ad Valorem Tax (est.)")</f>
        <v>2015 Ad Valorem Tax (est.)</v>
      </c>
      <c r="I45" s="516"/>
      <c r="J45" s="67"/>
      <c r="K45" s="690" t="str">
        <f>IF(G45=E50,"","Note: Does not include Delinquent Taxes")</f>
        <v/>
      </c>
    </row>
    <row r="46" spans="2:11" x14ac:dyDescent="0.25">
      <c r="B46" s="99"/>
      <c r="C46" s="852" t="s">
        <v>695</v>
      </c>
      <c r="D46" s="853"/>
      <c r="E46" s="151"/>
      <c r="F46" s="699" t="str">
        <f>IF(E43/0.95-E43&lt;E46,"Exceeds 5%","")</f>
        <v/>
      </c>
      <c r="G46" s="514">
        <f>SUM(G43:G45)</f>
        <v>46606</v>
      </c>
      <c r="H46" s="517" t="str">
        <f>CONCATENATE("Total ",E1," Resources Available")</f>
        <v>Total 2015 Resources Available</v>
      </c>
      <c r="I46" s="516"/>
      <c r="J46" s="67"/>
    </row>
    <row r="47" spans="2:11" x14ac:dyDescent="0.25">
      <c r="B47" s="470" t="str">
        <f>CONCATENATE(C72,"     ",D72)</f>
        <v xml:space="preserve">     </v>
      </c>
      <c r="C47" s="854" t="s">
        <v>696</v>
      </c>
      <c r="D47" s="855"/>
      <c r="E47" s="239">
        <f>E43+E46</f>
        <v>46606</v>
      </c>
      <c r="G47" s="519"/>
      <c r="H47" s="517"/>
      <c r="I47" s="517"/>
      <c r="J47" s="67"/>
    </row>
    <row r="48" spans="2:11" x14ac:dyDescent="0.25">
      <c r="B48" s="470" t="str">
        <f>CONCATENATE(C73,"     ",D73)</f>
        <v xml:space="preserve">     </v>
      </c>
      <c r="C48" s="473"/>
      <c r="D48" s="472" t="s">
        <v>267</v>
      </c>
      <c r="E48" s="162">
        <f>IF(E47-E24&gt;0,E47-E24,0)</f>
        <v>35778</v>
      </c>
      <c r="G48" s="518">
        <f>ROUND(C43*0.05+C43,0)</f>
        <v>45829</v>
      </c>
      <c r="H48" s="517" t="str">
        <f>CONCATENATE("Less ",E1-2," Expenditures + 5%")</f>
        <v>Less 2013 Expenditures + 5%</v>
      </c>
      <c r="I48" s="516"/>
      <c r="J48" s="67"/>
    </row>
    <row r="49" spans="2:10" x14ac:dyDescent="0.25">
      <c r="B49" s="190"/>
      <c r="C49" s="471" t="s">
        <v>697</v>
      </c>
      <c r="D49" s="683">
        <f>inputOth!$E$77</f>
        <v>0</v>
      </c>
      <c r="E49" s="239">
        <f>ROUND(IF(D49&gt;0,(E48*D49),0),0)</f>
        <v>0</v>
      </c>
      <c r="G49" s="520">
        <f>G46-G48</f>
        <v>777</v>
      </c>
      <c r="H49" s="521" t="str">
        <f>CONCATENATE("Projected ",E1+1," Carryover (est.)")</f>
        <v>Projected 2016 Carryover (est.)</v>
      </c>
      <c r="I49" s="522"/>
      <c r="J49" s="523"/>
    </row>
    <row r="50" spans="2:10" x14ac:dyDescent="0.25">
      <c r="B50" s="48"/>
      <c r="C50" s="856" t="str">
        <f>CONCATENATE("Amount of  ",$E$1-1," Ad Valorem Tax")</f>
        <v>Amount of  2014 Ad Valorem Tax</v>
      </c>
      <c r="D50" s="857"/>
      <c r="E50" s="162">
        <f>E48+E49</f>
        <v>35778</v>
      </c>
    </row>
    <row r="51" spans="2:10" x14ac:dyDescent="0.2">
      <c r="B51" s="48"/>
      <c r="C51" s="48"/>
      <c r="D51" s="48"/>
      <c r="E51" s="48"/>
      <c r="G51" s="849" t="s">
        <v>832</v>
      </c>
      <c r="H51" s="850"/>
      <c r="I51" s="850"/>
      <c r="J51" s="851"/>
    </row>
    <row r="52" spans="2:10" x14ac:dyDescent="0.25">
      <c r="B52" s="48"/>
      <c r="C52" s="48"/>
      <c r="D52" s="48"/>
      <c r="E52" s="48"/>
      <c r="G52" s="691"/>
      <c r="H52" s="515"/>
      <c r="I52" s="682"/>
      <c r="J52" s="692"/>
    </row>
    <row r="53" spans="2:10" x14ac:dyDescent="0.25">
      <c r="B53" s="138" t="s">
        <v>269</v>
      </c>
      <c r="C53" s="184">
        <f>E1-2</f>
        <v>2013</v>
      </c>
      <c r="D53" s="48"/>
      <c r="E53" s="48"/>
      <c r="G53" s="693">
        <f>summ!H21</f>
        <v>7.4130000000000003</v>
      </c>
      <c r="H53" s="515" t="str">
        <f>CONCATENATE("",E1," Fund Mill Rate")</f>
        <v>2015 Fund Mill Rate</v>
      </c>
      <c r="I53" s="682"/>
      <c r="J53" s="692"/>
    </row>
    <row r="54" spans="2:10" x14ac:dyDescent="0.25">
      <c r="B54" s="60" t="s">
        <v>270</v>
      </c>
      <c r="C54" s="62" t="s">
        <v>271</v>
      </c>
      <c r="D54" s="48"/>
      <c r="E54" s="48"/>
      <c r="G54" s="694">
        <f>summ!E21</f>
        <v>7.4130000000000003</v>
      </c>
      <c r="H54" s="515" t="str">
        <f>CONCATENATE("",E1-1," Fund Mill Rate")</f>
        <v>2014 Fund Mill Rate</v>
      </c>
      <c r="I54" s="682"/>
      <c r="J54" s="692"/>
    </row>
    <row r="55" spans="2:10" x14ac:dyDescent="0.25">
      <c r="B55" s="87" t="s">
        <v>253</v>
      </c>
      <c r="C55" s="469">
        <v>78452</v>
      </c>
      <c r="D55" s="48"/>
      <c r="E55" s="48"/>
      <c r="G55" s="695">
        <f>summ!H36</f>
        <v>12.68</v>
      </c>
      <c r="H55" s="515" t="str">
        <f>CONCATENATE("Total ",E1," Mill Rate")</f>
        <v>Total 2015 Mill Rate</v>
      </c>
      <c r="I55" s="682"/>
      <c r="J55" s="692"/>
    </row>
    <row r="56" spans="2:10" x14ac:dyDescent="0.25">
      <c r="B56" s="87" t="s">
        <v>272</v>
      </c>
      <c r="C56" s="311"/>
      <c r="D56" s="48"/>
      <c r="E56" s="48"/>
      <c r="G56" s="694">
        <f>summ!E36</f>
        <v>12.68</v>
      </c>
      <c r="H56" s="696" t="str">
        <f>CONCATENATE("Total ",E1-1," Mill Rate")</f>
        <v>Total 2014 Mill Rate</v>
      </c>
      <c r="I56" s="697"/>
      <c r="J56" s="698"/>
    </row>
    <row r="57" spans="2:10" x14ac:dyDescent="0.25">
      <c r="B57" s="87" t="s">
        <v>273</v>
      </c>
      <c r="C57" s="464">
        <f>IF(C38&gt;0,C38,0)</f>
        <v>0</v>
      </c>
      <c r="D57" s="302" t="str">
        <f>IF(C38&gt;(C24*0.25),"Exceeds 25% of Resources Available","")</f>
        <v/>
      </c>
      <c r="E57" s="48"/>
    </row>
    <row r="58" spans="2:10" x14ac:dyDescent="0.25">
      <c r="B58" s="87" t="s">
        <v>171</v>
      </c>
      <c r="C58" s="463">
        <f>IF(gen!C43&gt;0,gen!C43,0)</f>
        <v>0</v>
      </c>
      <c r="D58" s="872" t="str">
        <f>IF(AND(gen!C43&gt;0,gen!C45&gt;0),"Not Auth. Two General Transfers - Only One","")</f>
        <v/>
      </c>
      <c r="E58" s="48"/>
      <c r="G58" s="756" t="s">
        <v>931</v>
      </c>
      <c r="H58" s="710"/>
      <c r="I58" s="709" t="str">
        <f>cert!E41</f>
        <v>No</v>
      </c>
    </row>
    <row r="59" spans="2:10" x14ac:dyDescent="0.25">
      <c r="B59" s="87" t="s">
        <v>172</v>
      </c>
      <c r="C59" s="464">
        <f>IF(gen!C45&gt;0,gen!C45,0)</f>
        <v>0</v>
      </c>
      <c r="D59" s="873"/>
      <c r="E59" s="48"/>
    </row>
    <row r="60" spans="2:10" x14ac:dyDescent="0.25">
      <c r="B60" s="153"/>
      <c r="C60" s="469"/>
      <c r="D60" s="48"/>
      <c r="E60" s="48"/>
    </row>
    <row r="61" spans="2:10" x14ac:dyDescent="0.25">
      <c r="B61" s="153" t="s">
        <v>261</v>
      </c>
      <c r="C61" s="469"/>
      <c r="D61" s="48"/>
      <c r="E61" s="48"/>
    </row>
    <row r="62" spans="2:10" x14ac:dyDescent="0.25">
      <c r="B62" s="153" t="s">
        <v>260</v>
      </c>
      <c r="C62" s="469"/>
      <c r="D62" s="48"/>
      <c r="E62" s="48"/>
    </row>
    <row r="63" spans="2:10" x14ac:dyDescent="0.25">
      <c r="B63" s="303" t="s">
        <v>263</v>
      </c>
      <c r="C63" s="462">
        <f>SUM(C55,C57:C62)</f>
        <v>78452</v>
      </c>
      <c r="D63" s="48"/>
      <c r="E63" s="48"/>
    </row>
    <row r="64" spans="2:10" x14ac:dyDescent="0.25">
      <c r="B64" s="303" t="s">
        <v>265</v>
      </c>
      <c r="C64" s="469"/>
      <c r="D64" s="48"/>
      <c r="E64" s="48"/>
    </row>
    <row r="65" spans="2:5" x14ac:dyDescent="0.25">
      <c r="B65" s="303" t="s">
        <v>266</v>
      </c>
      <c r="C65" s="462">
        <f>C63-C64</f>
        <v>78452</v>
      </c>
      <c r="D65" s="48"/>
      <c r="E65" s="48"/>
    </row>
    <row r="66" spans="2:5" x14ac:dyDescent="0.25">
      <c r="B66" s="48"/>
      <c r="C66" s="48"/>
      <c r="D66" s="48"/>
      <c r="E66" s="48"/>
    </row>
    <row r="67" spans="2:5" x14ac:dyDescent="0.25">
      <c r="B67" s="190" t="s">
        <v>248</v>
      </c>
      <c r="C67" s="305">
        <v>7</v>
      </c>
      <c r="D67" s="48"/>
      <c r="E67" s="48"/>
    </row>
    <row r="69" spans="2:5" x14ac:dyDescent="0.25">
      <c r="B69" s="91"/>
    </row>
    <row r="72" spans="2:5" hidden="1" x14ac:dyDescent="0.25">
      <c r="C72" s="137" t="str">
        <f>IF(C43&gt;C45,"See Tab A","")</f>
        <v/>
      </c>
      <c r="D72" s="137" t="str">
        <f>IF(D43&gt;D45,"See Tab C","")</f>
        <v/>
      </c>
    </row>
    <row r="73" spans="2:5" hidden="1" x14ac:dyDescent="0.25">
      <c r="C73" s="137" t="str">
        <f>IF(C44&lt;0,"See Tab B","")</f>
        <v/>
      </c>
      <c r="D73" s="137" t="str">
        <f>IF(D44&lt;0,"See Tab D","")</f>
        <v/>
      </c>
    </row>
  </sheetData>
  <sheetProtection sheet="1"/>
  <mergeCells count="7">
    <mergeCell ref="D58:D59"/>
    <mergeCell ref="C46:D46"/>
    <mergeCell ref="C47:D47"/>
    <mergeCell ref="C50:D50"/>
    <mergeCell ref="G34:J34"/>
    <mergeCell ref="G41:J41"/>
    <mergeCell ref="G51:J51"/>
  </mergeCells>
  <phoneticPr fontId="0" type="noConversion"/>
  <conditionalFormatting sqref="C41">
    <cfRule type="cellIs" dxfId="137" priority="2" stopIfTrue="1" operator="greaterThan">
      <formula>$C$43*0.1</formula>
    </cfRule>
  </conditionalFormatting>
  <conditionalFormatting sqref="D41">
    <cfRule type="cellIs" dxfId="136" priority="3" stopIfTrue="1" operator="greaterThan">
      <formula>$D$43*0.1</formula>
    </cfRule>
  </conditionalFormatting>
  <conditionalFormatting sqref="E41">
    <cfRule type="cellIs" dxfId="135" priority="4" stopIfTrue="1" operator="greaterThan">
      <formula>$E$43*0.1</formula>
    </cfRule>
  </conditionalFormatting>
  <conditionalFormatting sqref="C21">
    <cfRule type="cellIs" dxfId="134" priority="5" stopIfTrue="1" operator="greaterThan">
      <formula>$C$23*0.1</formula>
    </cfRule>
  </conditionalFormatting>
  <conditionalFormatting sqref="D21">
    <cfRule type="cellIs" dxfId="133" priority="6" stopIfTrue="1" operator="greaterThan">
      <formula>$D$23*0.1</formula>
    </cfRule>
  </conditionalFormatting>
  <conditionalFormatting sqref="C38">
    <cfRule type="cellIs" dxfId="132" priority="7" stopIfTrue="1" operator="greaterThan">
      <formula>$C$24*0.25</formula>
    </cfRule>
  </conditionalFormatting>
  <conditionalFormatting sqref="E46">
    <cfRule type="cellIs" dxfId="131" priority="8" stopIfTrue="1" operator="greaterThan">
      <formula>$E$43/0.95-$E$43</formula>
    </cfRule>
  </conditionalFormatting>
  <conditionalFormatting sqref="C44">
    <cfRule type="cellIs" dxfId="130" priority="9" stopIfTrue="1" operator="lessThan">
      <formula>0</formula>
    </cfRule>
  </conditionalFormatting>
  <conditionalFormatting sqref="C43">
    <cfRule type="cellIs" dxfId="129" priority="10" stopIfTrue="1" operator="greaterThan">
      <formula>$C$45</formula>
    </cfRule>
  </conditionalFormatting>
  <conditionalFormatting sqref="D43">
    <cfRule type="cellIs" dxfId="128" priority="11" stopIfTrue="1" operator="greaterThan">
      <formula>$D$45</formula>
    </cfRule>
  </conditionalFormatting>
  <conditionalFormatting sqref="D38">
    <cfRule type="cellIs" dxfId="127" priority="12" stopIfTrue="1" operator="greaterThan">
      <formula>$D$24*0.25</formula>
    </cfRule>
  </conditionalFormatting>
  <conditionalFormatting sqref="E38">
    <cfRule type="cellIs" dxfId="126" priority="13" stopIfTrue="1" operator="greaterThan">
      <formula>$E$24*0.25+$E$50</formula>
    </cfRule>
  </conditionalFormatting>
  <conditionalFormatting sqref="E21">
    <cfRule type="cellIs" dxfId="125" priority="14" stopIfTrue="1" operator="greaterThan">
      <formula>$E$23*0.1+$E$50</formula>
    </cfRule>
  </conditionalFormatting>
  <conditionalFormatting sqref="D44">
    <cfRule type="cellIs" dxfId="124" priority="1" stopIfTrue="1" operator="lessThan">
      <formula>0</formula>
    </cfRule>
  </conditionalFormatting>
  <pageMargins left="0.9" right="0.9" top="0.96" bottom="0.5" header="0.41" footer="0.3"/>
  <pageSetup scale="74" orientation="portrait" blackAndWhite="1" horizontalDpi="4294967292" verticalDpi="96" r:id="rId1"/>
  <headerFooter alignWithMargins="0">
    <oddHeader xml:space="preserve">&amp;RState of Kansas
Township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B1:K92"/>
  <sheetViews>
    <sheetView topLeftCell="A40" workbookViewId="0">
      <selection activeCell="P143" sqref="P143"/>
    </sheetView>
  </sheetViews>
  <sheetFormatPr defaultColWidth="8.796875" defaultRowHeight="15.75" x14ac:dyDescent="0.25"/>
  <cols>
    <col min="1" max="1" width="2.3984375" style="137" customWidth="1"/>
    <col min="2" max="2" width="31" style="137" customWidth="1"/>
    <col min="3" max="4" width="15.69921875" style="137" customWidth="1"/>
    <col min="5" max="5" width="12.69921875" style="137" customWidth="1"/>
    <col min="6" max="6" width="7.296875" style="137" customWidth="1"/>
    <col min="7" max="7" width="9.19921875" style="137" customWidth="1"/>
    <col min="8" max="8" width="8.796875" style="137"/>
    <col min="9" max="9" width="4.5" style="137" customWidth="1"/>
    <col min="10" max="10" width="9" style="137" customWidth="1"/>
    <col min="11" max="16384" width="8.796875" style="137"/>
  </cols>
  <sheetData>
    <row r="1" spans="2:5" x14ac:dyDescent="0.25">
      <c r="B1" s="203" t="str">
        <f>inputPrYr!D3</f>
        <v>Milton Township</v>
      </c>
      <c r="C1" s="55" t="s">
        <v>274</v>
      </c>
      <c r="D1" s="48"/>
      <c r="E1" s="204">
        <f>inputPrYr!D9</f>
        <v>2015</v>
      </c>
    </row>
    <row r="2" spans="2:5" x14ac:dyDescent="0.25">
      <c r="B2" s="513" t="s">
        <v>737</v>
      </c>
      <c r="C2" s="48"/>
      <c r="D2" s="48"/>
      <c r="E2" s="306"/>
    </row>
    <row r="3" spans="2:5" x14ac:dyDescent="0.25">
      <c r="B3" s="48"/>
      <c r="C3" s="53"/>
      <c r="D3" s="53"/>
      <c r="E3" s="48"/>
    </row>
    <row r="4" spans="2:5" x14ac:dyDescent="0.25">
      <c r="B4" s="55" t="s">
        <v>249</v>
      </c>
      <c r="C4" s="359" t="s">
        <v>250</v>
      </c>
      <c r="D4" s="362" t="s">
        <v>251</v>
      </c>
      <c r="E4" s="57" t="s">
        <v>252</v>
      </c>
    </row>
    <row r="5" spans="2:5" x14ac:dyDescent="0.25">
      <c r="B5" s="455" t="str">
        <f>inputPrYr!B24</f>
        <v>Special Road</v>
      </c>
      <c r="C5" s="360" t="str">
        <f>gen!C5</f>
        <v>Actual for 2013</v>
      </c>
      <c r="D5" s="360" t="str">
        <f>gen!D5</f>
        <v>Estimate for 2014</v>
      </c>
      <c r="E5" s="62" t="str">
        <f>gen!E5</f>
        <v>Year for 2015</v>
      </c>
    </row>
    <row r="6" spans="2:5" x14ac:dyDescent="0.25">
      <c r="B6" s="63" t="s">
        <v>60</v>
      </c>
      <c r="C6" s="286"/>
      <c r="D6" s="361">
        <f>C34</f>
        <v>0</v>
      </c>
      <c r="E6" s="239">
        <f>D34</f>
        <v>0</v>
      </c>
    </row>
    <row r="7" spans="2:5" x14ac:dyDescent="0.25">
      <c r="B7" s="63" t="s">
        <v>62</v>
      </c>
      <c r="C7" s="361"/>
      <c r="D7" s="361"/>
      <c r="E7" s="288"/>
    </row>
    <row r="8" spans="2:5" x14ac:dyDescent="0.25">
      <c r="B8" s="63" t="s">
        <v>255</v>
      </c>
      <c r="C8" s="286"/>
      <c r="D8" s="361">
        <f>IF(inputPrYr!H19&gt;0,inputPrYr!G24,inputPrYr!E24)</f>
        <v>0</v>
      </c>
      <c r="E8" s="288" t="s">
        <v>234</v>
      </c>
    </row>
    <row r="9" spans="2:5" x14ac:dyDescent="0.25">
      <c r="B9" s="63" t="s">
        <v>256</v>
      </c>
      <c r="C9" s="286"/>
      <c r="D9" s="286"/>
      <c r="E9" s="151"/>
    </row>
    <row r="10" spans="2:5" x14ac:dyDescent="0.25">
      <c r="B10" s="63" t="s">
        <v>257</v>
      </c>
      <c r="C10" s="286"/>
      <c r="D10" s="286"/>
      <c r="E10" s="239">
        <f>mvalloc!G15</f>
        <v>0</v>
      </c>
    </row>
    <row r="11" spans="2:5" x14ac:dyDescent="0.25">
      <c r="B11" s="63" t="s">
        <v>258</v>
      </c>
      <c r="C11" s="286"/>
      <c r="D11" s="286"/>
      <c r="E11" s="239">
        <f>mvalloc!I15</f>
        <v>0</v>
      </c>
    </row>
    <row r="12" spans="2:5" x14ac:dyDescent="0.25">
      <c r="B12" s="289" t="s">
        <v>21</v>
      </c>
      <c r="C12" s="286"/>
      <c r="D12" s="286"/>
      <c r="E12" s="239">
        <f>mvalloc!J15</f>
        <v>0</v>
      </c>
    </row>
    <row r="13" spans="2:5" x14ac:dyDescent="0.25">
      <c r="B13" s="291"/>
      <c r="C13" s="286"/>
      <c r="D13" s="286"/>
      <c r="E13" s="151"/>
    </row>
    <row r="14" spans="2:5" x14ac:dyDescent="0.25">
      <c r="B14" s="291"/>
      <c r="C14" s="286"/>
      <c r="D14" s="286"/>
      <c r="E14" s="151"/>
    </row>
    <row r="15" spans="2:5" x14ac:dyDescent="0.25">
      <c r="B15" s="291"/>
      <c r="C15" s="286"/>
      <c r="D15" s="286"/>
      <c r="E15" s="151"/>
    </row>
    <row r="16" spans="2:5" x14ac:dyDescent="0.25">
      <c r="B16" s="291"/>
      <c r="C16" s="286"/>
      <c r="D16" s="286"/>
      <c r="E16" s="151"/>
    </row>
    <row r="17" spans="2:11" x14ac:dyDescent="0.25">
      <c r="B17" s="291" t="s">
        <v>261</v>
      </c>
      <c r="C17" s="286"/>
      <c r="D17" s="286"/>
      <c r="E17" s="151"/>
    </row>
    <row r="18" spans="2:11" x14ac:dyDescent="0.25">
      <c r="B18" s="292" t="s">
        <v>207</v>
      </c>
      <c r="C18" s="286"/>
      <c r="D18" s="286"/>
      <c r="E18" s="151"/>
    </row>
    <row r="19" spans="2:11" x14ac:dyDescent="0.25">
      <c r="B19" s="292" t="s">
        <v>208</v>
      </c>
      <c r="C19" s="363" t="str">
        <f>IF(C20*0.1&lt;C18,"Exceed 10% Rule","")</f>
        <v/>
      </c>
      <c r="D19" s="363" t="str">
        <f>IF(D20*0.1&lt;D18,"Exceed 10% Rule","")</f>
        <v/>
      </c>
      <c r="E19" s="296" t="str">
        <f>IF(E20*0.1+E40&lt;E18,"Exceed 10% Rule","")</f>
        <v/>
      </c>
    </row>
    <row r="20" spans="2:11" x14ac:dyDescent="0.25">
      <c r="B20" s="294" t="s">
        <v>262</v>
      </c>
      <c r="C20" s="364">
        <f>SUM(C8:C18)</f>
        <v>0</v>
      </c>
      <c r="D20" s="364">
        <f>SUM(D8:D18)</f>
        <v>0</v>
      </c>
      <c r="E20" s="295">
        <f>SUM(E8:E18)</f>
        <v>0</v>
      </c>
    </row>
    <row r="21" spans="2:11" x14ac:dyDescent="0.25">
      <c r="B21" s="81" t="s">
        <v>263</v>
      </c>
      <c r="C21" s="364">
        <f>C20+C6</f>
        <v>0</v>
      </c>
      <c r="D21" s="364">
        <f>D20+D6</f>
        <v>0</v>
      </c>
      <c r="E21" s="295">
        <f>E20+E6</f>
        <v>0</v>
      </c>
    </row>
    <row r="22" spans="2:11" x14ac:dyDescent="0.25">
      <c r="B22" s="63" t="s">
        <v>264</v>
      </c>
      <c r="C22" s="361"/>
      <c r="D22" s="361"/>
      <c r="E22" s="239"/>
    </row>
    <row r="23" spans="2:11" x14ac:dyDescent="0.25">
      <c r="B23" s="291"/>
      <c r="C23" s="286"/>
      <c r="D23" s="286"/>
      <c r="E23" s="151"/>
    </row>
    <row r="24" spans="2:11" x14ac:dyDescent="0.25">
      <c r="B24" s="291"/>
      <c r="C24" s="286"/>
      <c r="D24" s="286"/>
      <c r="E24" s="151"/>
      <c r="G24" s="866" t="str">
        <f>CONCATENATE("Desired Carryover Into ",E1+1,"")</f>
        <v>Desired Carryover Into 2016</v>
      </c>
      <c r="H24" s="867"/>
      <c r="I24" s="867"/>
      <c r="J24" s="868"/>
      <c r="K24" s="582"/>
    </row>
    <row r="25" spans="2:11" x14ac:dyDescent="0.25">
      <c r="B25" s="291"/>
      <c r="C25" s="286"/>
      <c r="D25" s="286"/>
      <c r="E25" s="151"/>
      <c r="G25" s="614"/>
      <c r="H25" s="615"/>
      <c r="I25" s="616"/>
      <c r="J25" s="617"/>
      <c r="K25" s="582"/>
    </row>
    <row r="26" spans="2:11" x14ac:dyDescent="0.25">
      <c r="B26" s="291"/>
      <c r="C26" s="286"/>
      <c r="D26" s="286"/>
      <c r="E26" s="151"/>
      <c r="G26" s="618" t="s">
        <v>701</v>
      </c>
      <c r="H26" s="616"/>
      <c r="I26" s="616"/>
      <c r="J26" s="619">
        <v>0</v>
      </c>
      <c r="K26" s="582"/>
    </row>
    <row r="27" spans="2:11" x14ac:dyDescent="0.25">
      <c r="B27" s="291"/>
      <c r="C27" s="286"/>
      <c r="D27" s="286"/>
      <c r="E27" s="151"/>
      <c r="G27" s="614" t="s">
        <v>702</v>
      </c>
      <c r="H27" s="615"/>
      <c r="I27" s="615"/>
      <c r="J27" s="620" t="str">
        <f>IF(J26=0,"",ROUND((J26+E40-G39)/inputOth!E11*1000,3)-G44)</f>
        <v/>
      </c>
      <c r="K27" s="582"/>
    </row>
    <row r="28" spans="2:11" x14ac:dyDescent="0.25">
      <c r="B28" s="291"/>
      <c r="C28" s="286"/>
      <c r="D28" s="286"/>
      <c r="E28" s="151"/>
      <c r="G28" s="621" t="str">
        <f>CONCATENATE("",E1," Tot Exp/Non-Appr Must Be:")</f>
        <v>2015 Tot Exp/Non-Appr Must Be:</v>
      </c>
      <c r="H28" s="622"/>
      <c r="I28" s="623"/>
      <c r="J28" s="624">
        <f>IF(J26&gt;0,IF(E37&lt;E21,IF(J26=G39,E37,((J26-G39)*(1-D39))+E21),E37+(J26-G39)),0)</f>
        <v>0</v>
      </c>
      <c r="K28" s="582"/>
    </row>
    <row r="29" spans="2:11" x14ac:dyDescent="0.25">
      <c r="B29" s="291"/>
      <c r="C29" s="286"/>
      <c r="D29" s="286"/>
      <c r="E29" s="151"/>
      <c r="G29" s="625" t="s">
        <v>831</v>
      </c>
      <c r="H29" s="626"/>
      <c r="I29" s="626"/>
      <c r="J29" s="627">
        <f>IF(J26&gt;0,J28-E37,0)</f>
        <v>0</v>
      </c>
      <c r="K29" s="582"/>
    </row>
    <row r="30" spans="2:11" x14ac:dyDescent="0.25">
      <c r="B30" s="289" t="s">
        <v>209</v>
      </c>
      <c r="C30" s="286"/>
      <c r="D30" s="286"/>
      <c r="E30" s="162" t="str">
        <f>nhood!E10</f>
        <v/>
      </c>
      <c r="G30" s="582"/>
      <c r="H30" s="582"/>
      <c r="I30" s="582"/>
      <c r="J30" s="582"/>
      <c r="K30" s="582"/>
    </row>
    <row r="31" spans="2:11" x14ac:dyDescent="0.25">
      <c r="B31" s="289" t="s">
        <v>207</v>
      </c>
      <c r="C31" s="286"/>
      <c r="D31" s="286"/>
      <c r="E31" s="151"/>
      <c r="G31" s="866" t="str">
        <f>CONCATENATE("Projected Carryover Into ",E1+1,"")</f>
        <v>Projected Carryover Into 2016</v>
      </c>
      <c r="H31" s="869"/>
      <c r="I31" s="869"/>
      <c r="J31" s="870"/>
      <c r="K31" s="582"/>
    </row>
    <row r="32" spans="2:11" x14ac:dyDescent="0.25">
      <c r="B32" s="289" t="s">
        <v>698</v>
      </c>
      <c r="C32" s="363" t="str">
        <f>IF(C33*0.1&lt;C31,"Exceed 10% Rule","")</f>
        <v/>
      </c>
      <c r="D32" s="363" t="str">
        <f>IF(D33*0.1&lt;D31,"Exceed 10% Rule","")</f>
        <v/>
      </c>
      <c r="E32" s="296" t="str">
        <f>IF(E33*0.1&lt;E31,"Exceed 10% Rule","")</f>
        <v/>
      </c>
      <c r="G32" s="614"/>
      <c r="H32" s="616"/>
      <c r="I32" s="616"/>
      <c r="J32" s="629"/>
      <c r="K32" s="582"/>
    </row>
    <row r="33" spans="2:11" x14ac:dyDescent="0.25">
      <c r="B33" s="81" t="s">
        <v>265</v>
      </c>
      <c r="C33" s="364">
        <f>SUM(C23:C31)</f>
        <v>0</v>
      </c>
      <c r="D33" s="364">
        <f>SUM(D23:D31)</f>
        <v>0</v>
      </c>
      <c r="E33" s="295">
        <f>SUM(E23:E31)</f>
        <v>0</v>
      </c>
      <c r="G33" s="632">
        <f>D34</f>
        <v>0</v>
      </c>
      <c r="H33" s="633" t="str">
        <f>CONCATENATE("",E1-1," Ending Cash Balance (est.)")</f>
        <v>2014 Ending Cash Balance (est.)</v>
      </c>
      <c r="I33" s="634"/>
      <c r="J33" s="629"/>
      <c r="K33" s="582"/>
    </row>
    <row r="34" spans="2:11" x14ac:dyDescent="0.25">
      <c r="B34" s="63" t="s">
        <v>61</v>
      </c>
      <c r="C34" s="365">
        <f>C21-C33</f>
        <v>0</v>
      </c>
      <c r="D34" s="365">
        <f>D21-D33</f>
        <v>0</v>
      </c>
      <c r="E34" s="288" t="s">
        <v>234</v>
      </c>
      <c r="G34" s="632">
        <f>E20</f>
        <v>0</v>
      </c>
      <c r="H34" s="616" t="str">
        <f>CONCATENATE("",E1," Non-AV Receipts (est.)")</f>
        <v>2015 Non-AV Receipts (est.)</v>
      </c>
      <c r="I34" s="634"/>
      <c r="J34" s="629"/>
      <c r="K34" s="582"/>
    </row>
    <row r="35" spans="2:11" x14ac:dyDescent="0.2">
      <c r="B35" s="98" t="str">
        <f>CONCATENATE("",E1-2,"/",E1-1,"/",E1," Budget Authority Amount:")</f>
        <v>2013/2014/2015 Budget Authority Amount:</v>
      </c>
      <c r="C35" s="724">
        <f>inputOth!$B87</f>
        <v>0</v>
      </c>
      <c r="D35" s="724">
        <f>inputPrYr!$D24</f>
        <v>0</v>
      </c>
      <c r="E35" s="239">
        <f>E33</f>
        <v>0</v>
      </c>
      <c r="F35" s="297"/>
      <c r="G35" s="639">
        <f>IF(E39&gt;0,E38,E40)</f>
        <v>0</v>
      </c>
      <c r="H35" s="616" t="str">
        <f>CONCATENATE("",E1," Ad Valorem Tax (est.)")</f>
        <v>2015 Ad Valorem Tax (est.)</v>
      </c>
      <c r="I35" s="634"/>
      <c r="J35" s="629"/>
      <c r="K35" s="640" t="str">
        <f>IF(G35=E40,"","Note: Does not include Delinquent Taxes")</f>
        <v/>
      </c>
    </row>
    <row r="36" spans="2:11" x14ac:dyDescent="0.25">
      <c r="B36" s="99"/>
      <c r="C36" s="852" t="s">
        <v>695</v>
      </c>
      <c r="D36" s="853"/>
      <c r="E36" s="151"/>
      <c r="F36" s="699" t="str">
        <f>IF(E33/0.95-E33&lt;E36,"Exceeds 5%","")</f>
        <v/>
      </c>
      <c r="G36" s="632">
        <f>SUM(G33:G35)</f>
        <v>0</v>
      </c>
      <c r="H36" s="616" t="str">
        <f>CONCATENATE("Total ",E1," Resources Available")</f>
        <v>Total 2015 Resources Available</v>
      </c>
      <c r="I36" s="634"/>
      <c r="J36" s="629"/>
      <c r="K36" s="582"/>
    </row>
    <row r="37" spans="2:11" x14ac:dyDescent="0.25">
      <c r="B37" s="470" t="str">
        <f>CONCATENATE(C85,"     ",D85)</f>
        <v xml:space="preserve">     </v>
      </c>
      <c r="C37" s="854" t="s">
        <v>696</v>
      </c>
      <c r="D37" s="855"/>
      <c r="E37" s="239">
        <f>E33+E36</f>
        <v>0</v>
      </c>
      <c r="G37" s="643"/>
      <c r="H37" s="616"/>
      <c r="I37" s="616"/>
      <c r="J37" s="629"/>
      <c r="K37" s="582"/>
    </row>
    <row r="38" spans="2:11" x14ac:dyDescent="0.25">
      <c r="B38" s="470" t="str">
        <f>CONCATENATE(C86,"     ",D86)</f>
        <v xml:space="preserve">     </v>
      </c>
      <c r="C38" s="473"/>
      <c r="D38" s="472" t="s">
        <v>267</v>
      </c>
      <c r="E38" s="162">
        <f>IF(E37-E21&gt;0,E37-E21,0)</f>
        <v>0</v>
      </c>
      <c r="G38" s="639">
        <f>C33*0.05+C33</f>
        <v>0</v>
      </c>
      <c r="H38" s="616" t="str">
        <f>CONCATENATE("Less ",E1-2," Expenditures + 5%")</f>
        <v>Less 2013 Expenditures + 5%</v>
      </c>
      <c r="I38" s="616"/>
      <c r="J38" s="629"/>
      <c r="K38" s="582"/>
    </row>
    <row r="39" spans="2:11" x14ac:dyDescent="0.25">
      <c r="B39" s="190"/>
      <c r="C39" s="471" t="s">
        <v>697</v>
      </c>
      <c r="D39" s="683">
        <f>inputOth!$E$77</f>
        <v>0</v>
      </c>
      <c r="E39" s="239">
        <f>ROUND(IF(D39&gt;0,(E38*D39),0),0)</f>
        <v>0</v>
      </c>
      <c r="G39" s="647">
        <f>G36-G38</f>
        <v>0</v>
      </c>
      <c r="H39" s="648" t="str">
        <f>CONCATENATE("Projected ",E1+1," carryover (est.)")</f>
        <v>Projected 2016 carryover (est.)</v>
      </c>
      <c r="I39" s="649"/>
      <c r="J39" s="650"/>
      <c r="K39" s="582"/>
    </row>
    <row r="40" spans="2:11" x14ac:dyDescent="0.25">
      <c r="B40" s="48"/>
      <c r="C40" s="856" t="str">
        <f>CONCATENATE("Amount of  ",$E$1-1," Ad Valorem Tax")</f>
        <v>Amount of  2014 Ad Valorem Tax</v>
      </c>
      <c r="D40" s="857"/>
      <c r="E40" s="162">
        <f>E38+E39</f>
        <v>0</v>
      </c>
      <c r="G40" s="582"/>
      <c r="H40" s="582"/>
      <c r="I40" s="582"/>
      <c r="J40" s="582"/>
      <c r="K40" s="582"/>
    </row>
    <row r="41" spans="2:11" x14ac:dyDescent="0.25">
      <c r="B41" s="48"/>
      <c r="C41" s="529"/>
      <c r="D41" s="48"/>
      <c r="E41" s="48"/>
      <c r="G41" s="863" t="s">
        <v>832</v>
      </c>
      <c r="H41" s="864"/>
      <c r="I41" s="864"/>
      <c r="J41" s="865"/>
      <c r="K41" s="582"/>
    </row>
    <row r="42" spans="2:11" x14ac:dyDescent="0.25">
      <c r="B42" s="48"/>
      <c r="C42" s="529"/>
      <c r="D42" s="48"/>
      <c r="E42" s="48"/>
      <c r="G42" s="654"/>
      <c r="H42" s="633"/>
      <c r="I42" s="655"/>
      <c r="J42" s="656"/>
      <c r="K42" s="582"/>
    </row>
    <row r="43" spans="2:11" x14ac:dyDescent="0.25">
      <c r="B43" s="55" t="s">
        <v>249</v>
      </c>
      <c r="C43" s="53"/>
      <c r="D43" s="53"/>
      <c r="E43" s="53"/>
      <c r="G43" s="657" t="str">
        <f>summ!H22</f>
        <v xml:space="preserve"> </v>
      </c>
      <c r="H43" s="633" t="str">
        <f>CONCATENATE("",E1," Fund Mill Rate")</f>
        <v>2015 Fund Mill Rate</v>
      </c>
      <c r="I43" s="655"/>
      <c r="J43" s="656"/>
      <c r="K43" s="582"/>
    </row>
    <row r="44" spans="2:11" x14ac:dyDescent="0.25">
      <c r="B44" s="48"/>
      <c r="C44" s="359" t="s">
        <v>250</v>
      </c>
      <c r="D44" s="362" t="s">
        <v>251</v>
      </c>
      <c r="E44" s="57" t="s">
        <v>252</v>
      </c>
      <c r="G44" s="658" t="str">
        <f>summ!E22</f>
        <v xml:space="preserve">  </v>
      </c>
      <c r="H44" s="633" t="str">
        <f>CONCATENATE("",E1-1," Fund Mill Rate")</f>
        <v>2014 Fund Mill Rate</v>
      </c>
      <c r="I44" s="655"/>
      <c r="J44" s="656"/>
      <c r="K44" s="582"/>
    </row>
    <row r="45" spans="2:11" x14ac:dyDescent="0.25">
      <c r="B45" s="456" t="str">
        <f>inputPrYr!B25</f>
        <v>Noxious Weed</v>
      </c>
      <c r="C45" s="360" t="str">
        <f>C5</f>
        <v>Actual for 2013</v>
      </c>
      <c r="D45" s="360" t="str">
        <f>D5</f>
        <v>Estimate for 2014</v>
      </c>
      <c r="E45" s="62" t="str">
        <f>E5</f>
        <v>Year for 2015</v>
      </c>
      <c r="G45" s="660">
        <f>summ!H36</f>
        <v>12.68</v>
      </c>
      <c r="H45" s="633" t="str">
        <f>CONCATENATE("Total ",E1," Mill Rate")</f>
        <v>Total 2015 Mill Rate</v>
      </c>
      <c r="I45" s="655"/>
      <c r="J45" s="656"/>
      <c r="K45" s="582"/>
    </row>
    <row r="46" spans="2:11" x14ac:dyDescent="0.25">
      <c r="B46" s="63" t="s">
        <v>60</v>
      </c>
      <c r="C46" s="286"/>
      <c r="D46" s="361">
        <f>C74</f>
        <v>0</v>
      </c>
      <c r="E46" s="239">
        <f>D74</f>
        <v>0</v>
      </c>
      <c r="G46" s="658">
        <f>summ!E36</f>
        <v>12.68</v>
      </c>
      <c r="H46" s="661" t="str">
        <f>CONCATENATE("Total ",E1-1," Mill Rate")</f>
        <v>Total 2014 Mill Rate</v>
      </c>
      <c r="I46" s="662"/>
      <c r="J46" s="663"/>
      <c r="K46" s="582"/>
    </row>
    <row r="47" spans="2:11" x14ac:dyDescent="0.25">
      <c r="B47" s="63" t="s">
        <v>62</v>
      </c>
      <c r="C47" s="361"/>
      <c r="D47" s="361"/>
      <c r="E47" s="288"/>
      <c r="G47" s="582"/>
      <c r="H47" s="582"/>
      <c r="I47" s="582"/>
      <c r="J47" s="582"/>
      <c r="K47" s="582"/>
    </row>
    <row r="48" spans="2:11" x14ac:dyDescent="0.25">
      <c r="B48" s="63" t="s">
        <v>255</v>
      </c>
      <c r="C48" s="286"/>
      <c r="D48" s="361">
        <f>IF(inputPrYr!H19&gt;0,inputPrYr!G25,inputPrYr!E25)</f>
        <v>0</v>
      </c>
      <c r="E48" s="288" t="s">
        <v>234</v>
      </c>
      <c r="G48" s="757" t="s">
        <v>931</v>
      </c>
      <c r="H48" s="710"/>
      <c r="I48" s="709" t="str">
        <f>cert!E41</f>
        <v>No</v>
      </c>
      <c r="J48" s="582"/>
      <c r="K48" s="582"/>
    </row>
    <row r="49" spans="2:11" x14ac:dyDescent="0.25">
      <c r="B49" s="63" t="s">
        <v>256</v>
      </c>
      <c r="C49" s="286"/>
      <c r="D49" s="286"/>
      <c r="E49" s="151"/>
      <c r="G49" s="582"/>
      <c r="H49" s="582"/>
      <c r="I49" s="582"/>
      <c r="J49" s="582"/>
      <c r="K49" s="582"/>
    </row>
    <row r="50" spans="2:11" x14ac:dyDescent="0.25">
      <c r="B50" s="63" t="s">
        <v>257</v>
      </c>
      <c r="C50" s="286"/>
      <c r="D50" s="286"/>
      <c r="E50" s="239">
        <f>mvalloc!G16</f>
        <v>0</v>
      </c>
      <c r="G50" s="582"/>
      <c r="H50" s="582"/>
      <c r="I50" s="582"/>
      <c r="J50" s="582"/>
      <c r="K50" s="582"/>
    </row>
    <row r="51" spans="2:11" x14ac:dyDescent="0.25">
      <c r="B51" s="63" t="s">
        <v>258</v>
      </c>
      <c r="C51" s="286"/>
      <c r="D51" s="286"/>
      <c r="E51" s="239">
        <f>mvalloc!I16</f>
        <v>0</v>
      </c>
      <c r="G51" s="582"/>
      <c r="H51" s="582"/>
      <c r="I51" s="582"/>
      <c r="J51" s="582"/>
      <c r="K51" s="582"/>
    </row>
    <row r="52" spans="2:11" x14ac:dyDescent="0.25">
      <c r="B52" s="63" t="s">
        <v>51</v>
      </c>
      <c r="C52" s="286"/>
      <c r="D52" s="286"/>
      <c r="E52" s="239">
        <f>mvalloc!J16</f>
        <v>0</v>
      </c>
      <c r="G52" s="582"/>
      <c r="H52" s="582"/>
      <c r="I52" s="582"/>
      <c r="J52" s="582"/>
      <c r="K52" s="582"/>
    </row>
    <row r="53" spans="2:11" x14ac:dyDescent="0.25">
      <c r="B53" s="290"/>
      <c r="C53" s="286"/>
      <c r="D53" s="286"/>
      <c r="E53" s="151"/>
      <c r="G53" s="582"/>
      <c r="H53" s="582"/>
      <c r="I53" s="582"/>
      <c r="J53" s="582"/>
      <c r="K53" s="582"/>
    </row>
    <row r="54" spans="2:11" x14ac:dyDescent="0.25">
      <c r="B54" s="290"/>
      <c r="C54" s="286"/>
      <c r="D54" s="286"/>
      <c r="E54" s="151"/>
      <c r="G54" s="582"/>
      <c r="H54" s="582"/>
      <c r="I54" s="582"/>
      <c r="J54" s="582"/>
      <c r="K54" s="582"/>
    </row>
    <row r="55" spans="2:11" x14ac:dyDescent="0.25">
      <c r="B55" s="290"/>
      <c r="C55" s="286"/>
      <c r="D55" s="286"/>
      <c r="E55" s="151"/>
      <c r="G55" s="582"/>
      <c r="H55" s="582"/>
      <c r="I55" s="582"/>
      <c r="J55" s="582"/>
      <c r="K55" s="582"/>
    </row>
    <row r="56" spans="2:11" x14ac:dyDescent="0.25">
      <c r="B56" s="291"/>
      <c r="C56" s="286"/>
      <c r="D56" s="286"/>
      <c r="E56" s="151"/>
      <c r="G56" s="582"/>
      <c r="H56" s="582"/>
      <c r="I56" s="582"/>
      <c r="J56" s="582"/>
      <c r="K56" s="582"/>
    </row>
    <row r="57" spans="2:11" x14ac:dyDescent="0.25">
      <c r="B57" s="291" t="s">
        <v>261</v>
      </c>
      <c r="C57" s="286"/>
      <c r="D57" s="286"/>
      <c r="E57" s="151"/>
      <c r="G57" s="582"/>
      <c r="H57" s="582"/>
      <c r="I57" s="582"/>
      <c r="J57" s="582"/>
      <c r="K57" s="582"/>
    </row>
    <row r="58" spans="2:11" x14ac:dyDescent="0.25">
      <c r="B58" s="292" t="s">
        <v>207</v>
      </c>
      <c r="C58" s="286"/>
      <c r="D58" s="286"/>
      <c r="E58" s="151"/>
      <c r="G58" s="582"/>
      <c r="H58" s="582"/>
      <c r="I58" s="582"/>
      <c r="J58" s="582"/>
      <c r="K58" s="582"/>
    </row>
    <row r="59" spans="2:11" x14ac:dyDescent="0.25">
      <c r="B59" s="292" t="s">
        <v>208</v>
      </c>
      <c r="C59" s="363" t="str">
        <f>IF(C60*0.1&lt;C58,"Exceed 10% Rule","")</f>
        <v/>
      </c>
      <c r="D59" s="363" t="str">
        <f>IF(D60*0.1&lt;D58,"Exceed 10% Rule","")</f>
        <v/>
      </c>
      <c r="E59" s="296" t="str">
        <f>IF(E60*0.1+E80&lt;E58,"Exceed 10% Rule","")</f>
        <v/>
      </c>
      <c r="G59" s="582"/>
      <c r="H59" s="582"/>
      <c r="I59" s="582"/>
      <c r="J59" s="582"/>
      <c r="K59" s="582"/>
    </row>
    <row r="60" spans="2:11" x14ac:dyDescent="0.25">
      <c r="B60" s="294" t="s">
        <v>262</v>
      </c>
      <c r="C60" s="364">
        <f>SUM(C48:C58)</f>
        <v>0</v>
      </c>
      <c r="D60" s="364">
        <f>SUM(D48:D58)</f>
        <v>0</v>
      </c>
      <c r="E60" s="295">
        <f>SUM(E48:E58)</f>
        <v>0</v>
      </c>
      <c r="G60" s="582"/>
      <c r="H60" s="582"/>
      <c r="I60" s="582"/>
      <c r="J60" s="582"/>
      <c r="K60" s="582"/>
    </row>
    <row r="61" spans="2:11" x14ac:dyDescent="0.25">
      <c r="B61" s="81" t="s">
        <v>263</v>
      </c>
      <c r="C61" s="364">
        <f>C60+C46</f>
        <v>0</v>
      </c>
      <c r="D61" s="364">
        <f>D60+D46</f>
        <v>0</v>
      </c>
      <c r="E61" s="295">
        <f>E60+E46</f>
        <v>0</v>
      </c>
      <c r="G61" s="582"/>
      <c r="H61" s="582"/>
      <c r="I61" s="582"/>
      <c r="J61" s="582"/>
      <c r="K61" s="582"/>
    </row>
    <row r="62" spans="2:11" x14ac:dyDescent="0.25">
      <c r="B62" s="63" t="s">
        <v>264</v>
      </c>
      <c r="C62" s="361"/>
      <c r="D62" s="361"/>
      <c r="E62" s="239"/>
      <c r="G62" s="582"/>
      <c r="H62" s="582"/>
      <c r="I62" s="582"/>
      <c r="J62" s="582"/>
      <c r="K62" s="582"/>
    </row>
    <row r="63" spans="2:11" x14ac:dyDescent="0.25">
      <c r="B63" s="291"/>
      <c r="C63" s="286"/>
      <c r="D63" s="286"/>
      <c r="E63" s="151"/>
      <c r="G63" s="582"/>
      <c r="H63" s="582"/>
      <c r="I63" s="582"/>
      <c r="J63" s="582"/>
      <c r="K63" s="582"/>
    </row>
    <row r="64" spans="2:11" x14ac:dyDescent="0.25">
      <c r="B64" s="291"/>
      <c r="C64" s="286"/>
      <c r="D64" s="286"/>
      <c r="E64" s="151"/>
      <c r="G64" s="866" t="str">
        <f>CONCATENATE("Desired Carryover Into ",E1+1,"")</f>
        <v>Desired Carryover Into 2016</v>
      </c>
      <c r="H64" s="867"/>
      <c r="I64" s="867"/>
      <c r="J64" s="868"/>
      <c r="K64" s="582"/>
    </row>
    <row r="65" spans="2:11" x14ac:dyDescent="0.25">
      <c r="B65" s="291"/>
      <c r="C65" s="286"/>
      <c r="D65" s="286"/>
      <c r="E65" s="151"/>
      <c r="G65" s="614"/>
      <c r="H65" s="615"/>
      <c r="I65" s="616"/>
      <c r="J65" s="617"/>
      <c r="K65" s="582"/>
    </row>
    <row r="66" spans="2:11" x14ac:dyDescent="0.25">
      <c r="B66" s="291"/>
      <c r="C66" s="286"/>
      <c r="D66" s="286"/>
      <c r="E66" s="151"/>
      <c r="G66" s="618" t="s">
        <v>701</v>
      </c>
      <c r="H66" s="616"/>
      <c r="I66" s="616"/>
      <c r="J66" s="619">
        <v>0</v>
      </c>
      <c r="K66" s="582"/>
    </row>
    <row r="67" spans="2:11" x14ac:dyDescent="0.25">
      <c r="B67" s="291"/>
      <c r="C67" s="286"/>
      <c r="D67" s="286"/>
      <c r="E67" s="151"/>
      <c r="G67" s="614" t="s">
        <v>702</v>
      </c>
      <c r="H67" s="615"/>
      <c r="I67" s="615"/>
      <c r="J67" s="620" t="str">
        <f>IF(J66=0,"",ROUND((J66+E80-G79)/inputOth!E11*1000,3)-G84)</f>
        <v/>
      </c>
      <c r="K67" s="582"/>
    </row>
    <row r="68" spans="2:11" x14ac:dyDescent="0.25">
      <c r="B68" s="291"/>
      <c r="C68" s="286"/>
      <c r="D68" s="286"/>
      <c r="E68" s="151"/>
      <c r="G68" s="621" t="str">
        <f>CONCATENATE("",E1," Tot Exp/Non-Appr Must Be:")</f>
        <v>2015 Tot Exp/Non-Appr Must Be:</v>
      </c>
      <c r="H68" s="622"/>
      <c r="I68" s="623"/>
      <c r="J68" s="624">
        <f>IF(J66&gt;0,IF(E77&lt;E61,IF(J66=G79,E77,((J66-G79)*(1-D79))+E61),E77+(J66-G79)),0)</f>
        <v>0</v>
      </c>
      <c r="K68" s="582"/>
    </row>
    <row r="69" spans="2:11" x14ac:dyDescent="0.25">
      <c r="B69" s="291"/>
      <c r="C69" s="286"/>
      <c r="D69" s="286"/>
      <c r="E69" s="151"/>
      <c r="G69" s="625" t="s">
        <v>831</v>
      </c>
      <c r="H69" s="626"/>
      <c r="I69" s="626"/>
      <c r="J69" s="627">
        <f>IF(J66&gt;0,J68-E77,0)</f>
        <v>0</v>
      </c>
      <c r="K69" s="582"/>
    </row>
    <row r="70" spans="2:11" x14ac:dyDescent="0.25">
      <c r="B70" s="289" t="s">
        <v>209</v>
      </c>
      <c r="C70" s="286"/>
      <c r="D70" s="286"/>
      <c r="E70" s="162" t="str">
        <f>nhood!E11</f>
        <v/>
      </c>
      <c r="G70" s="582"/>
      <c r="H70" s="582"/>
      <c r="I70" s="582"/>
      <c r="J70" s="582"/>
      <c r="K70" s="582"/>
    </row>
    <row r="71" spans="2:11" x14ac:dyDescent="0.25">
      <c r="B71" s="289" t="s">
        <v>207</v>
      </c>
      <c r="C71" s="286"/>
      <c r="D71" s="286"/>
      <c r="E71" s="151"/>
      <c r="G71" s="866" t="str">
        <f>CONCATENATE("Projected Carryover Into ",E1+1,"")</f>
        <v>Projected Carryover Into 2016</v>
      </c>
      <c r="H71" s="871"/>
      <c r="I71" s="871"/>
      <c r="J71" s="870"/>
      <c r="K71" s="582"/>
    </row>
    <row r="72" spans="2:11" x14ac:dyDescent="0.25">
      <c r="B72" s="289" t="s">
        <v>698</v>
      </c>
      <c r="C72" s="363" t="str">
        <f>IF(C73*0.1&lt;C71,"Exceed 10% Rule","")</f>
        <v/>
      </c>
      <c r="D72" s="363" t="str">
        <f>IF(D73*0.1&lt;D71,"Exceed 10% Rule","")</f>
        <v/>
      </c>
      <c r="E72" s="296" t="str">
        <f>IF(E73*0.1&lt;E71,"Exceed 10% Rule","")</f>
        <v/>
      </c>
      <c r="G72" s="666"/>
      <c r="H72" s="615"/>
      <c r="I72" s="615"/>
      <c r="J72" s="667"/>
      <c r="K72" s="582"/>
    </row>
    <row r="73" spans="2:11" x14ac:dyDescent="0.25">
      <c r="B73" s="81" t="s">
        <v>265</v>
      </c>
      <c r="C73" s="364">
        <f>SUM(C63:C71)</f>
        <v>0</v>
      </c>
      <c r="D73" s="364">
        <f>SUM(D63:D71)</f>
        <v>0</v>
      </c>
      <c r="E73" s="295">
        <f>SUM(E63:E71)</f>
        <v>0</v>
      </c>
      <c r="G73" s="632">
        <f>D74</f>
        <v>0</v>
      </c>
      <c r="H73" s="633" t="str">
        <f>CONCATENATE("",E1-1," Ending Cash Balance (est.)")</f>
        <v>2014 Ending Cash Balance (est.)</v>
      </c>
      <c r="I73" s="634"/>
      <c r="J73" s="667"/>
      <c r="K73" s="582"/>
    </row>
    <row r="74" spans="2:11" x14ac:dyDescent="0.25">
      <c r="B74" s="63" t="s">
        <v>61</v>
      </c>
      <c r="C74" s="365">
        <f>C61-C73</f>
        <v>0</v>
      </c>
      <c r="D74" s="365">
        <f>D61-D73</f>
        <v>0</v>
      </c>
      <c r="E74" s="288" t="s">
        <v>234</v>
      </c>
      <c r="G74" s="632">
        <f>E60</f>
        <v>0</v>
      </c>
      <c r="H74" s="616" t="str">
        <f>CONCATENATE("",E1," Non-AV Receipts (est.)")</f>
        <v>2015 Non-AV Receipts (est.)</v>
      </c>
      <c r="I74" s="634"/>
      <c r="J74" s="667"/>
      <c r="K74" s="582"/>
    </row>
    <row r="75" spans="2:11" x14ac:dyDescent="0.25">
      <c r="B75" s="98" t="str">
        <f>CONCATENATE("",E1-2,"/",E1-1,"/",E1," Budget Authority Amount:")</f>
        <v>2013/2014/2015 Budget Authority Amount:</v>
      </c>
      <c r="C75" s="724">
        <f>inputOth!$B88</f>
        <v>0</v>
      </c>
      <c r="D75" s="724">
        <f>inputPrYr!$D25</f>
        <v>0</v>
      </c>
      <c r="E75" s="239">
        <f>E73</f>
        <v>0</v>
      </c>
      <c r="F75" s="297"/>
      <c r="G75" s="639">
        <f>IF(E79&gt;0,E78,E80)</f>
        <v>0</v>
      </c>
      <c r="H75" s="616" t="str">
        <f>CONCATENATE("",E1," Ad Valorem Tax (est.)")</f>
        <v>2015 Ad Valorem Tax (est.)</v>
      </c>
      <c r="I75" s="634"/>
      <c r="J75" s="667"/>
      <c r="K75" s="640" t="str">
        <f>IF(G75=E80,"","Note: Does not include Delinquent Taxes")</f>
        <v/>
      </c>
    </row>
    <row r="76" spans="2:11" x14ac:dyDescent="0.25">
      <c r="B76" s="99"/>
      <c r="C76" s="852" t="s">
        <v>695</v>
      </c>
      <c r="D76" s="853"/>
      <c r="E76" s="151"/>
      <c r="F76" s="699" t="str">
        <f>IF(E73/0.95-E73&lt;E76,"Exceeds 5%","")</f>
        <v/>
      </c>
      <c r="G76" s="669">
        <f>SUM(G73:G75)</f>
        <v>0</v>
      </c>
      <c r="H76" s="616" t="str">
        <f>CONCATENATE("Total ",E1," Resources Available")</f>
        <v>Total 2015 Resources Available</v>
      </c>
      <c r="I76" s="670"/>
      <c r="J76" s="667"/>
      <c r="K76" s="582"/>
    </row>
    <row r="77" spans="2:11" x14ac:dyDescent="0.25">
      <c r="B77" s="470" t="str">
        <f>CONCATENATE(C87,"     ",D87)</f>
        <v xml:space="preserve">     </v>
      </c>
      <c r="C77" s="854" t="s">
        <v>696</v>
      </c>
      <c r="D77" s="855"/>
      <c r="E77" s="239">
        <f>E73+E76</f>
        <v>0</v>
      </c>
      <c r="G77" s="671"/>
      <c r="H77" s="672"/>
      <c r="I77" s="615"/>
      <c r="J77" s="667"/>
      <c r="K77" s="582"/>
    </row>
    <row r="78" spans="2:11" x14ac:dyDescent="0.25">
      <c r="B78" s="470" t="str">
        <f>CONCATENATE(C88,"     ",D88)</f>
        <v xml:space="preserve">     </v>
      </c>
      <c r="C78" s="473"/>
      <c r="D78" s="472" t="s">
        <v>267</v>
      </c>
      <c r="E78" s="162">
        <f>IF(E77-E61&gt;0,E77-E61,0)</f>
        <v>0</v>
      </c>
      <c r="G78" s="639">
        <f>ROUND(C73*0.05+C73,0)</f>
        <v>0</v>
      </c>
      <c r="H78" s="616" t="str">
        <f>CONCATENATE("Less ",E1-2," Expenditures + 5%")</f>
        <v>Less 2013 Expenditures + 5%</v>
      </c>
      <c r="I78" s="670"/>
      <c r="J78" s="667"/>
      <c r="K78" s="582"/>
    </row>
    <row r="79" spans="2:11" x14ac:dyDescent="0.25">
      <c r="B79" s="190"/>
      <c r="C79" s="471" t="s">
        <v>697</v>
      </c>
      <c r="D79" s="683">
        <f>inputOth!$E$77</f>
        <v>0</v>
      </c>
      <c r="E79" s="239">
        <f>ROUND(IF(D79&gt;0,(E78*D79),0),0)</f>
        <v>0</v>
      </c>
      <c r="G79" s="647">
        <f>G76-G78</f>
        <v>0</v>
      </c>
      <c r="H79" s="648" t="str">
        <f>CONCATENATE("Projected ",E1+1," carryover (est.)")</f>
        <v>Projected 2016 carryover (est.)</v>
      </c>
      <c r="I79" s="673"/>
      <c r="J79" s="674"/>
      <c r="K79" s="582"/>
    </row>
    <row r="80" spans="2:11" x14ac:dyDescent="0.25">
      <c r="B80" s="48"/>
      <c r="C80" s="856" t="str">
        <f>CONCATENATE("Amount of  ",$E$1-1," Ad Valorem Tax")</f>
        <v>Amount of  2014 Ad Valorem Tax</v>
      </c>
      <c r="D80" s="857"/>
      <c r="E80" s="162">
        <f>E78+E79</f>
        <v>0</v>
      </c>
      <c r="G80" s="582"/>
      <c r="H80" s="582"/>
      <c r="I80" s="582"/>
      <c r="J80" s="582"/>
      <c r="K80" s="582"/>
    </row>
    <row r="81" spans="2:11" x14ac:dyDescent="0.25">
      <c r="B81" s="190" t="s">
        <v>248</v>
      </c>
      <c r="C81" s="301"/>
      <c r="D81" s="48"/>
      <c r="E81" s="48"/>
      <c r="G81" s="863" t="s">
        <v>832</v>
      </c>
      <c r="H81" s="864"/>
      <c r="I81" s="864"/>
      <c r="J81" s="865"/>
      <c r="K81" s="582"/>
    </row>
    <row r="82" spans="2:11" x14ac:dyDescent="0.25">
      <c r="B82" s="95"/>
      <c r="G82" s="654"/>
      <c r="H82" s="633"/>
      <c r="I82" s="655"/>
      <c r="J82" s="656"/>
      <c r="K82" s="582"/>
    </row>
    <row r="83" spans="2:11" x14ac:dyDescent="0.25">
      <c r="G83" s="657" t="str">
        <f>summ!H23</f>
        <v xml:space="preserve"> </v>
      </c>
      <c r="H83" s="633" t="str">
        <f>CONCATENATE("",E1," Fund Mill Rate")</f>
        <v>2015 Fund Mill Rate</v>
      </c>
      <c r="I83" s="655"/>
      <c r="J83" s="656"/>
      <c r="K83" s="582"/>
    </row>
    <row r="84" spans="2:11" x14ac:dyDescent="0.25">
      <c r="G84" s="658" t="str">
        <f>summ!E23</f>
        <v xml:space="preserve">  </v>
      </c>
      <c r="H84" s="633" t="str">
        <f>CONCATENATE("",E1-1," Fund Mill Rate")</f>
        <v>2014 Fund Mill Rate</v>
      </c>
      <c r="I84" s="655"/>
      <c r="J84" s="656"/>
      <c r="K84" s="582"/>
    </row>
    <row r="85" spans="2:11" hidden="1" x14ac:dyDescent="0.25">
      <c r="C85" s="137" t="str">
        <f>IF(C33&gt;C35,"See Tab A","")</f>
        <v/>
      </c>
      <c r="D85" s="137" t="str">
        <f>IF(D33&gt;D35,"See Tab C","")</f>
        <v/>
      </c>
      <c r="G85" s="660">
        <f>[1]summ!I36</f>
        <v>0</v>
      </c>
      <c r="H85" s="633" t="str">
        <f>CONCATENATE("Total ",E1," Mill Rate")</f>
        <v>Total 2015 Mill Rate</v>
      </c>
      <c r="I85" s="655"/>
      <c r="J85" s="656"/>
      <c r="K85" s="582"/>
    </row>
    <row r="86" spans="2:11" hidden="1" x14ac:dyDescent="0.25">
      <c r="C86" s="137" t="str">
        <f>IF(C34&lt;0,"See Tab B","")</f>
        <v/>
      </c>
      <c r="D86" s="137" t="str">
        <f>IF(D34&lt;0,"See Tab D","")</f>
        <v/>
      </c>
      <c r="G86" s="658">
        <f>[1]summ!F36</f>
        <v>0</v>
      </c>
      <c r="H86" s="661" t="str">
        <f>CONCATENATE("Total ",E1-1," Mill Rate")</f>
        <v>Total 2014 Mill Rate</v>
      </c>
      <c r="I86" s="662"/>
      <c r="J86" s="663"/>
      <c r="K86" s="582"/>
    </row>
    <row r="87" spans="2:11" hidden="1" x14ac:dyDescent="0.25">
      <c r="C87" s="137" t="str">
        <f>IF(C73&gt;C75,"See Tab A","")</f>
        <v/>
      </c>
      <c r="D87" s="137" t="str">
        <f>IF(D73&gt;D75,"See Tab C","")</f>
        <v/>
      </c>
    </row>
    <row r="88" spans="2:11" hidden="1" x14ac:dyDescent="0.25">
      <c r="C88" s="137" t="str">
        <f>IF(C74&lt;0,"See Tab B","")</f>
        <v/>
      </c>
      <c r="D88" s="137" t="str">
        <f>IF(D74&lt;0,"See Tab D","")</f>
        <v/>
      </c>
    </row>
    <row r="89" spans="2:11" x14ac:dyDescent="0.25">
      <c r="G89" s="660">
        <f>summ!H36</f>
        <v>12.68</v>
      </c>
      <c r="H89" s="633" t="str">
        <f>CONCATENATE("Total ",E1," Mill Rate")</f>
        <v>Total 2015 Mill Rate</v>
      </c>
      <c r="I89" s="655"/>
      <c r="J89" s="656"/>
    </row>
    <row r="90" spans="2:11" x14ac:dyDescent="0.25">
      <c r="G90" s="658">
        <f>summ!E36</f>
        <v>12.68</v>
      </c>
      <c r="H90" s="661" t="str">
        <f>CONCATENATE("Total ",E1-1," Mill Rate")</f>
        <v>Total 2014 Mill Rate</v>
      </c>
      <c r="I90" s="662"/>
      <c r="J90" s="663"/>
    </row>
    <row r="92" spans="2:11" x14ac:dyDescent="0.25">
      <c r="G92" s="758" t="s">
        <v>931</v>
      </c>
      <c r="H92" s="710"/>
      <c r="I92" s="709" t="str">
        <f>cert!E41</f>
        <v>No</v>
      </c>
    </row>
  </sheetData>
  <sheetProtection sheet="1"/>
  <mergeCells count="12">
    <mergeCell ref="G24:J24"/>
    <mergeCell ref="G31:J31"/>
    <mergeCell ref="G41:J41"/>
    <mergeCell ref="G64:J64"/>
    <mergeCell ref="G71:J71"/>
    <mergeCell ref="G81:J81"/>
    <mergeCell ref="C36:D36"/>
    <mergeCell ref="C37:D37"/>
    <mergeCell ref="C76:D76"/>
    <mergeCell ref="C77:D77"/>
    <mergeCell ref="C80:D80"/>
    <mergeCell ref="C40:D40"/>
  </mergeCells>
  <phoneticPr fontId="0" type="noConversion"/>
  <conditionalFormatting sqref="C71">
    <cfRule type="cellIs" dxfId="123" priority="3" stopIfTrue="1" operator="greaterThan">
      <formula>$C$73*0.1</formula>
    </cfRule>
  </conditionalFormatting>
  <conditionalFormatting sqref="D71">
    <cfRule type="cellIs" dxfId="122" priority="4" stopIfTrue="1" operator="greaterThan">
      <formula>$D$73*0.1</formula>
    </cfRule>
  </conditionalFormatting>
  <conditionalFormatting sqref="C58">
    <cfRule type="cellIs" dxfId="121" priority="5" stopIfTrue="1" operator="greaterThan">
      <formula>$C$60*0.1</formula>
    </cfRule>
  </conditionalFormatting>
  <conditionalFormatting sqref="D58">
    <cfRule type="cellIs" dxfId="120" priority="6" stopIfTrue="1" operator="greaterThan">
      <formula>$D$60*0.1</formula>
    </cfRule>
  </conditionalFormatting>
  <conditionalFormatting sqref="E58">
    <cfRule type="cellIs" dxfId="119" priority="7" stopIfTrue="1" operator="greaterThan">
      <formula>$E$60*0.1</formula>
    </cfRule>
  </conditionalFormatting>
  <conditionalFormatting sqref="E76">
    <cfRule type="cellIs" dxfId="118" priority="8" stopIfTrue="1" operator="greaterThan">
      <formula>$E$73/0.95-$E$73</formula>
    </cfRule>
  </conditionalFormatting>
  <conditionalFormatting sqref="C31">
    <cfRule type="cellIs" dxfId="117" priority="9" stopIfTrue="1" operator="greaterThan">
      <formula>$C$33*0.1</formula>
    </cfRule>
  </conditionalFormatting>
  <conditionalFormatting sqref="D31">
    <cfRule type="cellIs" dxfId="116" priority="10" stopIfTrue="1" operator="greaterThan">
      <formula>$D$33*0.1</formula>
    </cfRule>
  </conditionalFormatting>
  <conditionalFormatting sqref="E31">
    <cfRule type="cellIs" dxfId="115" priority="11" stopIfTrue="1" operator="greaterThan">
      <formula>$E$33*0.1</formula>
    </cfRule>
  </conditionalFormatting>
  <conditionalFormatting sqref="C18">
    <cfRule type="cellIs" dxfId="114" priority="12" stopIfTrue="1" operator="greaterThan">
      <formula>$C$20*0.1</formula>
    </cfRule>
  </conditionalFormatting>
  <conditionalFormatting sqref="D18">
    <cfRule type="cellIs" dxfId="113" priority="13" stopIfTrue="1" operator="greaterThan">
      <formula>$D$20*0.1</formula>
    </cfRule>
  </conditionalFormatting>
  <conditionalFormatting sqref="E36">
    <cfRule type="cellIs" dxfId="112" priority="14" stopIfTrue="1" operator="greaterThan">
      <formula>$E$33/0.95-$E$33</formula>
    </cfRule>
  </conditionalFormatting>
  <conditionalFormatting sqref="C74 C34">
    <cfRule type="cellIs" dxfId="111" priority="15" stopIfTrue="1" operator="lessThan">
      <formula>0</formula>
    </cfRule>
  </conditionalFormatting>
  <conditionalFormatting sqref="C73">
    <cfRule type="cellIs" dxfId="110" priority="16" stopIfTrue="1" operator="greaterThan">
      <formula>$C$75</formula>
    </cfRule>
  </conditionalFormatting>
  <conditionalFormatting sqref="D73">
    <cfRule type="cellIs" dxfId="109" priority="17" stopIfTrue="1" operator="greaterThan">
      <formula>$D$75</formula>
    </cfRule>
  </conditionalFormatting>
  <conditionalFormatting sqref="C33">
    <cfRule type="cellIs" dxfId="108" priority="18" stopIfTrue="1" operator="greaterThan">
      <formula>$C$35</formula>
    </cfRule>
  </conditionalFormatting>
  <conditionalFormatting sqref="D33">
    <cfRule type="cellIs" dxfId="107" priority="19" stopIfTrue="1" operator="greaterThan">
      <formula>$D$35</formula>
    </cfRule>
  </conditionalFormatting>
  <conditionalFormatting sqref="E18">
    <cfRule type="cellIs" dxfId="106" priority="20" stopIfTrue="1" operator="greaterThan">
      <formula>$E$20*0.1+$E$40</formula>
    </cfRule>
  </conditionalFormatting>
  <conditionalFormatting sqref="E71">
    <cfRule type="cellIs" dxfId="105" priority="21" stopIfTrue="1" operator="greaterThan">
      <formula>$E$73*0.1</formula>
    </cfRule>
  </conditionalFormatting>
  <conditionalFormatting sqref="D34 D74">
    <cfRule type="cellIs" dxfId="104"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B1:K92"/>
  <sheetViews>
    <sheetView topLeftCell="A19" workbookViewId="0">
      <selection activeCell="P134" sqref="P134"/>
    </sheetView>
  </sheetViews>
  <sheetFormatPr defaultColWidth="8.796875" defaultRowHeight="15.75" x14ac:dyDescent="0.25"/>
  <cols>
    <col min="1" max="1" width="2.3984375" style="137" customWidth="1"/>
    <col min="2" max="2" width="31" style="137" customWidth="1"/>
    <col min="3" max="4" width="15.69921875" style="137" customWidth="1"/>
    <col min="5" max="5" width="12.69921875" style="137" customWidth="1"/>
    <col min="6" max="6" width="7.296875" style="137" customWidth="1"/>
    <col min="7" max="7" width="9.19921875" style="137" customWidth="1"/>
    <col min="8" max="8" width="8.796875" style="137"/>
    <col min="9" max="9" width="4.5" style="137" customWidth="1"/>
    <col min="10" max="10" width="9" style="137" customWidth="1"/>
    <col min="11" max="16384" width="8.796875" style="137"/>
  </cols>
  <sheetData>
    <row r="1" spans="2:5" x14ac:dyDescent="0.25">
      <c r="B1" s="203" t="str">
        <f>inputPrYr!D3</f>
        <v>Milton Township</v>
      </c>
      <c r="C1" s="48"/>
      <c r="D1" s="48"/>
      <c r="E1" s="204">
        <f>inputPrYr!D9</f>
        <v>2015</v>
      </c>
    </row>
    <row r="2" spans="2:5" x14ac:dyDescent="0.25">
      <c r="B2" s="513" t="s">
        <v>737</v>
      </c>
      <c r="C2" s="48"/>
      <c r="D2" s="187"/>
      <c r="E2" s="307"/>
    </row>
    <row r="3" spans="2:5" x14ac:dyDescent="0.25">
      <c r="B3" s="48"/>
      <c r="C3" s="53"/>
      <c r="D3" s="53"/>
      <c r="E3" s="53"/>
    </row>
    <row r="4" spans="2:5" x14ac:dyDescent="0.25">
      <c r="B4" s="55" t="s">
        <v>249</v>
      </c>
      <c r="C4" s="359" t="s">
        <v>250</v>
      </c>
      <c r="D4" s="362" t="s">
        <v>251</v>
      </c>
      <c r="E4" s="57" t="s">
        <v>252</v>
      </c>
    </row>
    <row r="5" spans="2:5" x14ac:dyDescent="0.25">
      <c r="B5" s="455" t="str">
        <f>inputPrYr!B26</f>
        <v>Fire Protection</v>
      </c>
      <c r="C5" s="360" t="str">
        <f>gen!C5</f>
        <v>Actual for 2013</v>
      </c>
      <c r="D5" s="360" t="str">
        <f>gen!D5</f>
        <v>Estimate for 2014</v>
      </c>
      <c r="E5" s="62" t="str">
        <f>gen!E5</f>
        <v>Year for 2015</v>
      </c>
    </row>
    <row r="6" spans="2:5" x14ac:dyDescent="0.25">
      <c r="B6" s="63" t="s">
        <v>60</v>
      </c>
      <c r="C6" s="286"/>
      <c r="D6" s="361">
        <f>C34</f>
        <v>0</v>
      </c>
      <c r="E6" s="239">
        <f>D34</f>
        <v>0</v>
      </c>
    </row>
    <row r="7" spans="2:5" x14ac:dyDescent="0.25">
      <c r="B7" s="63" t="s">
        <v>62</v>
      </c>
      <c r="C7" s="361"/>
      <c r="D7" s="361"/>
      <c r="E7" s="288"/>
    </row>
    <row r="8" spans="2:5" x14ac:dyDescent="0.25">
      <c r="B8" s="63" t="s">
        <v>255</v>
      </c>
      <c r="C8" s="286"/>
      <c r="D8" s="361">
        <f>IF(inputPrYr!H19&gt;0,inputPrYr!G26,inputPrYr!E26)</f>
        <v>0</v>
      </c>
      <c r="E8" s="288" t="s">
        <v>234</v>
      </c>
    </row>
    <row r="9" spans="2:5" x14ac:dyDescent="0.25">
      <c r="B9" s="63" t="s">
        <v>256</v>
      </c>
      <c r="C9" s="286"/>
      <c r="D9" s="286"/>
      <c r="E9" s="151"/>
    </row>
    <row r="10" spans="2:5" x14ac:dyDescent="0.25">
      <c r="B10" s="63" t="s">
        <v>257</v>
      </c>
      <c r="C10" s="286"/>
      <c r="D10" s="286"/>
      <c r="E10" s="239">
        <f>mvalloc!G17</f>
        <v>0</v>
      </c>
    </row>
    <row r="11" spans="2:5" x14ac:dyDescent="0.25">
      <c r="B11" s="63" t="s">
        <v>258</v>
      </c>
      <c r="C11" s="286"/>
      <c r="D11" s="286"/>
      <c r="E11" s="239">
        <f>mvalloc!I17</f>
        <v>0</v>
      </c>
    </row>
    <row r="12" spans="2:5" x14ac:dyDescent="0.25">
      <c r="B12" s="63" t="s">
        <v>51</v>
      </c>
      <c r="C12" s="286"/>
      <c r="D12" s="286"/>
      <c r="E12" s="239">
        <f>mvalloc!J17</f>
        <v>0</v>
      </c>
    </row>
    <row r="13" spans="2:5" x14ac:dyDescent="0.25">
      <c r="B13" s="290"/>
      <c r="C13" s="286"/>
      <c r="D13" s="286"/>
      <c r="E13" s="151"/>
    </row>
    <row r="14" spans="2:5" x14ac:dyDescent="0.25">
      <c r="B14" s="290"/>
      <c r="C14" s="286"/>
      <c r="D14" s="286"/>
      <c r="E14" s="151"/>
    </row>
    <row r="15" spans="2:5" x14ac:dyDescent="0.25">
      <c r="B15" s="290"/>
      <c r="C15" s="286"/>
      <c r="D15" s="286"/>
      <c r="E15" s="151"/>
    </row>
    <row r="16" spans="2:5" x14ac:dyDescent="0.25">
      <c r="B16" s="291"/>
      <c r="C16" s="286"/>
      <c r="D16" s="286"/>
      <c r="E16" s="151"/>
    </row>
    <row r="17" spans="2:11" x14ac:dyDescent="0.25">
      <c r="B17" s="291" t="s">
        <v>261</v>
      </c>
      <c r="C17" s="286"/>
      <c r="D17" s="286"/>
      <c r="E17" s="151"/>
    </row>
    <row r="18" spans="2:11" x14ac:dyDescent="0.25">
      <c r="B18" s="292" t="s">
        <v>207</v>
      </c>
      <c r="C18" s="286"/>
      <c r="D18" s="286"/>
      <c r="E18" s="151"/>
    </row>
    <row r="19" spans="2:11" x14ac:dyDescent="0.25">
      <c r="B19" s="292" t="s">
        <v>208</v>
      </c>
      <c r="C19" s="363" t="str">
        <f>IF(C20*0.1&lt;C18,"Exceed 10% Rule","")</f>
        <v/>
      </c>
      <c r="D19" s="363" t="str">
        <f>IF(D20*0.1&lt;D18,"Exceed 10% Rule","")</f>
        <v/>
      </c>
      <c r="E19" s="296" t="str">
        <f>IF(E20*0.1+E40&lt;E18,"Exceed 10% Rule","")</f>
        <v/>
      </c>
    </row>
    <row r="20" spans="2:11" x14ac:dyDescent="0.25">
      <c r="B20" s="294" t="s">
        <v>262</v>
      </c>
      <c r="C20" s="364">
        <f>SUM(C8:C18)</f>
        <v>0</v>
      </c>
      <c r="D20" s="364">
        <f>SUM(D8:D18)</f>
        <v>0</v>
      </c>
      <c r="E20" s="295">
        <f>SUM(E8:E18)</f>
        <v>0</v>
      </c>
    </row>
    <row r="21" spans="2:11" x14ac:dyDescent="0.25">
      <c r="B21" s="81" t="s">
        <v>263</v>
      </c>
      <c r="C21" s="364">
        <f>C20+C6</f>
        <v>0</v>
      </c>
      <c r="D21" s="364">
        <f>D20+D6</f>
        <v>0</v>
      </c>
      <c r="E21" s="295">
        <f>E20+E6</f>
        <v>0</v>
      </c>
    </row>
    <row r="22" spans="2:11" x14ac:dyDescent="0.25">
      <c r="B22" s="63" t="s">
        <v>264</v>
      </c>
      <c r="C22" s="361"/>
      <c r="D22" s="361"/>
      <c r="E22" s="239"/>
    </row>
    <row r="23" spans="2:11" x14ac:dyDescent="0.25">
      <c r="B23" s="291"/>
      <c r="C23" s="286"/>
      <c r="D23" s="286"/>
      <c r="E23" s="151"/>
    </row>
    <row r="24" spans="2:11" x14ac:dyDescent="0.25">
      <c r="B24" s="291"/>
      <c r="C24" s="286"/>
      <c r="D24" s="286"/>
      <c r="E24" s="151"/>
      <c r="G24" s="866" t="str">
        <f>CONCATENATE("Desired Carryover Into ",E1+1,"")</f>
        <v>Desired Carryover Into 2016</v>
      </c>
      <c r="H24" s="867"/>
      <c r="I24" s="867"/>
      <c r="J24" s="868"/>
      <c r="K24" s="582"/>
    </row>
    <row r="25" spans="2:11" x14ac:dyDescent="0.25">
      <c r="B25" s="291"/>
      <c r="C25" s="286"/>
      <c r="D25" s="286"/>
      <c r="E25" s="151"/>
      <c r="G25" s="614"/>
      <c r="H25" s="615"/>
      <c r="I25" s="616"/>
      <c r="J25" s="617"/>
      <c r="K25" s="582"/>
    </row>
    <row r="26" spans="2:11" x14ac:dyDescent="0.25">
      <c r="B26" s="291"/>
      <c r="C26" s="286"/>
      <c r="D26" s="286"/>
      <c r="E26" s="151"/>
      <c r="G26" s="618" t="s">
        <v>701</v>
      </c>
      <c r="H26" s="616"/>
      <c r="I26" s="616"/>
      <c r="J26" s="619">
        <v>0</v>
      </c>
      <c r="K26" s="582"/>
    </row>
    <row r="27" spans="2:11" x14ac:dyDescent="0.25">
      <c r="B27" s="291"/>
      <c r="C27" s="286"/>
      <c r="D27" s="286"/>
      <c r="E27" s="151"/>
      <c r="G27" s="614" t="s">
        <v>702</v>
      </c>
      <c r="H27" s="615"/>
      <c r="I27" s="615"/>
      <c r="J27" s="620" t="str">
        <f>IF(J26=0,"",ROUND((J26+E40-G39)/inputOth!E11*1000,3)-G44)</f>
        <v/>
      </c>
      <c r="K27" s="582"/>
    </row>
    <row r="28" spans="2:11" x14ac:dyDescent="0.25">
      <c r="B28" s="291"/>
      <c r="C28" s="286"/>
      <c r="D28" s="286"/>
      <c r="E28" s="151"/>
      <c r="G28" s="621" t="str">
        <f>CONCATENATE("",E1," Tot Exp/Non-Appr Must Be:")</f>
        <v>2015 Tot Exp/Non-Appr Must Be:</v>
      </c>
      <c r="H28" s="622"/>
      <c r="I28" s="623"/>
      <c r="J28" s="624">
        <f>IF(J26&gt;0,IF(E37&lt;E21,IF(J26=G39,E37,((J26-G39)*(1-D39))+E21),E37+(J26-G39)),0)</f>
        <v>0</v>
      </c>
      <c r="K28" s="582"/>
    </row>
    <row r="29" spans="2:11" x14ac:dyDescent="0.25">
      <c r="B29" s="291"/>
      <c r="C29" s="286"/>
      <c r="D29" s="286"/>
      <c r="E29" s="151"/>
      <c r="G29" s="625" t="s">
        <v>831</v>
      </c>
      <c r="H29" s="626"/>
      <c r="I29" s="626"/>
      <c r="J29" s="627">
        <f>IF(J26&gt;0,J28-E37,0)</f>
        <v>0</v>
      </c>
      <c r="K29" s="582"/>
    </row>
    <row r="30" spans="2:11" x14ac:dyDescent="0.25">
      <c r="B30" s="289" t="s">
        <v>209</v>
      </c>
      <c r="C30" s="286"/>
      <c r="D30" s="286"/>
      <c r="E30" s="162" t="str">
        <f>nhood!E12</f>
        <v/>
      </c>
      <c r="G30" s="582"/>
      <c r="H30" s="582"/>
      <c r="I30" s="582"/>
      <c r="J30" s="582"/>
      <c r="K30" s="582"/>
    </row>
    <row r="31" spans="2:11" x14ac:dyDescent="0.25">
      <c r="B31" s="289" t="s">
        <v>207</v>
      </c>
      <c r="C31" s="286"/>
      <c r="D31" s="286"/>
      <c r="E31" s="151"/>
      <c r="G31" s="866" t="str">
        <f>CONCATENATE("Projected Carryover Into ",E1+1,"")</f>
        <v>Projected Carryover Into 2016</v>
      </c>
      <c r="H31" s="869"/>
      <c r="I31" s="869"/>
      <c r="J31" s="870"/>
      <c r="K31" s="582"/>
    </row>
    <row r="32" spans="2:11" x14ac:dyDescent="0.25">
      <c r="B32" s="289" t="s">
        <v>698</v>
      </c>
      <c r="C32" s="363" t="str">
        <f>IF(C33*0.1&lt;C31,"Exceed 10% Rule","")</f>
        <v/>
      </c>
      <c r="D32" s="363" t="str">
        <f>IF(D33*0.1&lt;D31,"Exceed 10% Rule","")</f>
        <v/>
      </c>
      <c r="E32" s="296" t="str">
        <f>IF(E33*0.1&lt;E31,"Exceed 10% Rule","")</f>
        <v/>
      </c>
      <c r="G32" s="614"/>
      <c r="H32" s="616"/>
      <c r="I32" s="616"/>
      <c r="J32" s="629"/>
      <c r="K32" s="582"/>
    </row>
    <row r="33" spans="2:11" x14ac:dyDescent="0.25">
      <c r="B33" s="81" t="s">
        <v>265</v>
      </c>
      <c r="C33" s="364">
        <f>SUM(C23:C31)</f>
        <v>0</v>
      </c>
      <c r="D33" s="364">
        <f>SUM(D23:D31)</f>
        <v>0</v>
      </c>
      <c r="E33" s="295">
        <f>SUM(E23:E31)</f>
        <v>0</v>
      </c>
      <c r="G33" s="632">
        <f>D34</f>
        <v>0</v>
      </c>
      <c r="H33" s="633" t="str">
        <f>CONCATENATE("",E1-1," Ending Cash Balance (est.)")</f>
        <v>2014 Ending Cash Balance (est.)</v>
      </c>
      <c r="I33" s="634"/>
      <c r="J33" s="629"/>
      <c r="K33" s="582"/>
    </row>
    <row r="34" spans="2:11" x14ac:dyDescent="0.25">
      <c r="B34" s="63" t="s">
        <v>61</v>
      </c>
      <c r="C34" s="365">
        <f>C21-C33</f>
        <v>0</v>
      </c>
      <c r="D34" s="365">
        <f>D21-D33</f>
        <v>0</v>
      </c>
      <c r="E34" s="288" t="s">
        <v>234</v>
      </c>
      <c r="G34" s="632">
        <f>E20</f>
        <v>0</v>
      </c>
      <c r="H34" s="616" t="str">
        <f>CONCATENATE("",E1," Non-AV Receipts (est.)")</f>
        <v>2015 Non-AV Receipts (est.)</v>
      </c>
      <c r="I34" s="634"/>
      <c r="J34" s="629"/>
      <c r="K34" s="582"/>
    </row>
    <row r="35" spans="2:11" x14ac:dyDescent="0.2">
      <c r="B35" s="98" t="str">
        <f>CONCATENATE("",E1-2,"/",E1-1,"/",E1," Budget Authority Amount:")</f>
        <v>2013/2014/2015 Budget Authority Amount:</v>
      </c>
      <c r="C35" s="724">
        <f>inputOth!$B89</f>
        <v>0</v>
      </c>
      <c r="D35" s="724">
        <f>inputPrYr!$D26</f>
        <v>0</v>
      </c>
      <c r="E35" s="239">
        <f>E33</f>
        <v>0</v>
      </c>
      <c r="F35" s="297"/>
      <c r="G35" s="639">
        <f>IF(E39&gt;0,E38,E40)</f>
        <v>0</v>
      </c>
      <c r="H35" s="616" t="str">
        <f>CONCATENATE("",E1," Ad Valorem Tax (est.)")</f>
        <v>2015 Ad Valorem Tax (est.)</v>
      </c>
      <c r="I35" s="634"/>
      <c r="J35" s="629"/>
      <c r="K35" s="640" t="str">
        <f>IF(G35=E40,"","Note: Does not include Delinquent Taxes")</f>
        <v/>
      </c>
    </row>
    <row r="36" spans="2:11" x14ac:dyDescent="0.25">
      <c r="B36" s="99"/>
      <c r="C36" s="852" t="s">
        <v>695</v>
      </c>
      <c r="D36" s="853"/>
      <c r="E36" s="151"/>
      <c r="F36" s="699" t="str">
        <f>IF(E33/0.95-E33&lt;E36,"Exceeds 5%","")</f>
        <v/>
      </c>
      <c r="G36" s="632">
        <f>SUM(G33:G35)</f>
        <v>0</v>
      </c>
      <c r="H36" s="616" t="str">
        <f>CONCATENATE("Total ",E1," Resources Available")</f>
        <v>Total 2015 Resources Available</v>
      </c>
      <c r="I36" s="634"/>
      <c r="J36" s="629"/>
      <c r="K36" s="582"/>
    </row>
    <row r="37" spans="2:11" x14ac:dyDescent="0.25">
      <c r="B37" s="470" t="str">
        <f>CONCATENATE(C85,"     ",D85)</f>
        <v xml:space="preserve">     </v>
      </c>
      <c r="C37" s="854" t="s">
        <v>696</v>
      </c>
      <c r="D37" s="855"/>
      <c r="E37" s="239">
        <f>E33+E36</f>
        <v>0</v>
      </c>
      <c r="G37" s="643"/>
      <c r="H37" s="616"/>
      <c r="I37" s="616"/>
      <c r="J37" s="629"/>
      <c r="K37" s="582"/>
    </row>
    <row r="38" spans="2:11" x14ac:dyDescent="0.25">
      <c r="B38" s="470" t="str">
        <f>CONCATENATE(C86,"     ",D86)</f>
        <v xml:space="preserve">     </v>
      </c>
      <c r="C38" s="473"/>
      <c r="D38" s="472" t="s">
        <v>267</v>
      </c>
      <c r="E38" s="162">
        <f>IF(E37-E21&gt;0,E37-E21,0)</f>
        <v>0</v>
      </c>
      <c r="G38" s="639">
        <f>C33*0.05+C33</f>
        <v>0</v>
      </c>
      <c r="H38" s="616" t="str">
        <f>CONCATENATE("Less ",E1-2," Expenditures + 5%")</f>
        <v>Less 2013 Expenditures + 5%</v>
      </c>
      <c r="I38" s="616"/>
      <c r="J38" s="629"/>
      <c r="K38" s="582"/>
    </row>
    <row r="39" spans="2:11" x14ac:dyDescent="0.25">
      <c r="B39" s="190"/>
      <c r="C39" s="471" t="s">
        <v>697</v>
      </c>
      <c r="D39" s="683">
        <f>inputOth!$E$77</f>
        <v>0</v>
      </c>
      <c r="E39" s="239">
        <f>ROUND(IF(D39&gt;0,(E38*D39),0),0)</f>
        <v>0</v>
      </c>
      <c r="G39" s="647">
        <f>G36-G38</f>
        <v>0</v>
      </c>
      <c r="H39" s="648" t="str">
        <f>CONCATENATE("Projected ",E1+1," carryover (est.)")</f>
        <v>Projected 2016 carryover (est.)</v>
      </c>
      <c r="I39" s="649"/>
      <c r="J39" s="650"/>
      <c r="K39" s="582"/>
    </row>
    <row r="40" spans="2:11" x14ac:dyDescent="0.25">
      <c r="B40" s="48"/>
      <c r="C40" s="856" t="str">
        <f>CONCATENATE("Amount of  ",$E$1-1," Ad Valorem Tax")</f>
        <v>Amount of  2014 Ad Valorem Tax</v>
      </c>
      <c r="D40" s="857"/>
      <c r="E40" s="162">
        <f>E38+E39</f>
        <v>0</v>
      </c>
      <c r="G40" s="582"/>
      <c r="H40" s="582"/>
      <c r="I40" s="582"/>
      <c r="J40" s="582"/>
      <c r="K40" s="582"/>
    </row>
    <row r="41" spans="2:11" x14ac:dyDescent="0.25">
      <c r="B41" s="48"/>
      <c r="C41" s="529"/>
      <c r="D41" s="48"/>
      <c r="E41" s="48"/>
      <c r="G41" s="863" t="s">
        <v>832</v>
      </c>
      <c r="H41" s="864"/>
      <c r="I41" s="864"/>
      <c r="J41" s="865"/>
      <c r="K41" s="582"/>
    </row>
    <row r="42" spans="2:11" x14ac:dyDescent="0.25">
      <c r="B42" s="48"/>
      <c r="C42" s="529"/>
      <c r="D42" s="48"/>
      <c r="E42" s="48"/>
      <c r="G42" s="654"/>
      <c r="H42" s="633"/>
      <c r="I42" s="655"/>
      <c r="J42" s="656"/>
      <c r="K42" s="582"/>
    </row>
    <row r="43" spans="2:11" x14ac:dyDescent="0.25">
      <c r="B43" s="55" t="s">
        <v>249</v>
      </c>
      <c r="C43" s="53"/>
      <c r="D43" s="53"/>
      <c r="E43" s="53"/>
      <c r="G43" s="657" t="str">
        <f>summ!H24</f>
        <v xml:space="preserve"> </v>
      </c>
      <c r="H43" s="633" t="str">
        <f>CONCATENATE("",E1," Fund Mill Rate")</f>
        <v>2015 Fund Mill Rate</v>
      </c>
      <c r="I43" s="655"/>
      <c r="J43" s="656"/>
      <c r="K43" s="582"/>
    </row>
    <row r="44" spans="2:11" x14ac:dyDescent="0.25">
      <c r="B44" s="48"/>
      <c r="C44" s="359" t="s">
        <v>250</v>
      </c>
      <c r="D44" s="362" t="s">
        <v>251</v>
      </c>
      <c r="E44" s="57" t="s">
        <v>252</v>
      </c>
      <c r="G44" s="658" t="str">
        <f>summ!E24</f>
        <v xml:space="preserve">  </v>
      </c>
      <c r="H44" s="633" t="str">
        <f>CONCATENATE("",E1-1," Fund Mill Rate")</f>
        <v>2014 Fund Mill Rate</v>
      </c>
      <c r="I44" s="655"/>
      <c r="J44" s="656"/>
      <c r="K44" s="582"/>
    </row>
    <row r="45" spans="2:11" x14ac:dyDescent="0.25">
      <c r="B45" s="456">
        <f>inputPrYr!B27</f>
        <v>0</v>
      </c>
      <c r="C45" s="360" t="str">
        <f>C5</f>
        <v>Actual for 2013</v>
      </c>
      <c r="D45" s="360" t="str">
        <f>D5</f>
        <v>Estimate for 2014</v>
      </c>
      <c r="E45" s="62" t="str">
        <f>E5</f>
        <v>Year for 2015</v>
      </c>
      <c r="G45" s="660">
        <f>summ!H36</f>
        <v>12.68</v>
      </c>
      <c r="H45" s="633" t="str">
        <f>CONCATENATE("Total ",E1," Mill Rate")</f>
        <v>Total 2015 Mill Rate</v>
      </c>
      <c r="I45" s="655"/>
      <c r="J45" s="656"/>
      <c r="K45" s="582"/>
    </row>
    <row r="46" spans="2:11" x14ac:dyDescent="0.25">
      <c r="B46" s="63" t="s">
        <v>60</v>
      </c>
      <c r="C46" s="286"/>
      <c r="D46" s="361">
        <f>C74</f>
        <v>0</v>
      </c>
      <c r="E46" s="239">
        <f>D74</f>
        <v>0</v>
      </c>
      <c r="G46" s="658">
        <f>summ!E36</f>
        <v>12.68</v>
      </c>
      <c r="H46" s="661" t="str">
        <f>CONCATENATE("Total ",E1-1," Mill Rate")</f>
        <v>Total 2014 Mill Rate</v>
      </c>
      <c r="I46" s="662"/>
      <c r="J46" s="663"/>
      <c r="K46" s="582"/>
    </row>
    <row r="47" spans="2:11" x14ac:dyDescent="0.25">
      <c r="B47" s="63" t="s">
        <v>62</v>
      </c>
      <c r="C47" s="361"/>
      <c r="D47" s="361"/>
      <c r="E47" s="288"/>
      <c r="G47" s="582"/>
      <c r="H47" s="582"/>
      <c r="I47" s="582"/>
      <c r="J47" s="582"/>
      <c r="K47" s="582"/>
    </row>
    <row r="48" spans="2:11" x14ac:dyDescent="0.25">
      <c r="B48" s="63" t="s">
        <v>255</v>
      </c>
      <c r="C48" s="286"/>
      <c r="D48" s="361">
        <f>IF(inputPrYr!H19&gt;0,inputPrYr!G27,inputPrYr!E27)</f>
        <v>0</v>
      </c>
      <c r="E48" s="288" t="s">
        <v>234</v>
      </c>
      <c r="G48" s="759" t="s">
        <v>931</v>
      </c>
      <c r="H48" s="710"/>
      <c r="I48" s="709" t="str">
        <f>cert!E41</f>
        <v>No</v>
      </c>
      <c r="J48" s="582"/>
      <c r="K48" s="582"/>
    </row>
    <row r="49" spans="2:11" x14ac:dyDescent="0.25">
      <c r="B49" s="63" t="s">
        <v>256</v>
      </c>
      <c r="C49" s="286"/>
      <c r="D49" s="286"/>
      <c r="E49" s="151"/>
      <c r="G49" s="582"/>
      <c r="H49" s="582"/>
      <c r="I49" s="582"/>
      <c r="J49" s="582"/>
      <c r="K49" s="582"/>
    </row>
    <row r="50" spans="2:11" x14ac:dyDescent="0.25">
      <c r="B50" s="63" t="s">
        <v>257</v>
      </c>
      <c r="C50" s="286"/>
      <c r="D50" s="286"/>
      <c r="E50" s="239">
        <f>mvalloc!G18</f>
        <v>0</v>
      </c>
      <c r="G50" s="582"/>
      <c r="H50" s="582"/>
      <c r="I50" s="582"/>
      <c r="J50" s="582"/>
      <c r="K50" s="582"/>
    </row>
    <row r="51" spans="2:11" x14ac:dyDescent="0.25">
      <c r="B51" s="63" t="s">
        <v>258</v>
      </c>
      <c r="C51" s="286"/>
      <c r="D51" s="286"/>
      <c r="E51" s="239">
        <f>mvalloc!I18</f>
        <v>0</v>
      </c>
      <c r="G51" s="582"/>
      <c r="H51" s="582"/>
      <c r="I51" s="582"/>
      <c r="J51" s="582"/>
      <c r="K51" s="582"/>
    </row>
    <row r="52" spans="2:11" x14ac:dyDescent="0.25">
      <c r="B52" s="63" t="s">
        <v>51</v>
      </c>
      <c r="C52" s="286"/>
      <c r="D52" s="286"/>
      <c r="E52" s="239">
        <f>mvalloc!J18</f>
        <v>0</v>
      </c>
      <c r="G52" s="582"/>
      <c r="H52" s="582"/>
      <c r="I52" s="582"/>
      <c r="J52" s="582"/>
      <c r="K52" s="582"/>
    </row>
    <row r="53" spans="2:11" x14ac:dyDescent="0.25">
      <c r="B53" s="291"/>
      <c r="C53" s="286"/>
      <c r="D53" s="286"/>
      <c r="E53" s="151"/>
      <c r="G53" s="582"/>
      <c r="H53" s="582"/>
      <c r="I53" s="582"/>
      <c r="J53" s="582"/>
      <c r="K53" s="582"/>
    </row>
    <row r="54" spans="2:11" x14ac:dyDescent="0.25">
      <c r="B54" s="291"/>
      <c r="C54" s="286"/>
      <c r="D54" s="286"/>
      <c r="E54" s="151"/>
      <c r="G54" s="582"/>
      <c r="H54" s="582"/>
      <c r="I54" s="582"/>
      <c r="J54" s="582"/>
      <c r="K54" s="582"/>
    </row>
    <row r="55" spans="2:11" x14ac:dyDescent="0.25">
      <c r="B55" s="291"/>
      <c r="C55" s="286"/>
      <c r="D55" s="286"/>
      <c r="E55" s="151"/>
      <c r="G55" s="582"/>
      <c r="H55" s="582"/>
      <c r="I55" s="582"/>
      <c r="J55" s="582"/>
      <c r="K55" s="582"/>
    </row>
    <row r="56" spans="2:11" x14ac:dyDescent="0.25">
      <c r="B56" s="291"/>
      <c r="C56" s="286"/>
      <c r="D56" s="286"/>
      <c r="E56" s="151"/>
      <c r="G56" s="582"/>
      <c r="H56" s="582"/>
      <c r="I56" s="582"/>
      <c r="J56" s="582"/>
      <c r="K56" s="582"/>
    </row>
    <row r="57" spans="2:11" x14ac:dyDescent="0.25">
      <c r="B57" s="291" t="s">
        <v>261</v>
      </c>
      <c r="C57" s="286"/>
      <c r="D57" s="286"/>
      <c r="E57" s="151"/>
      <c r="G57" s="582"/>
      <c r="H57" s="582"/>
      <c r="I57" s="582"/>
      <c r="J57" s="582"/>
      <c r="K57" s="582"/>
    </row>
    <row r="58" spans="2:11" x14ac:dyDescent="0.25">
      <c r="B58" s="292" t="s">
        <v>207</v>
      </c>
      <c r="C58" s="286"/>
      <c r="D58" s="286"/>
      <c r="E58" s="151"/>
      <c r="G58" s="582"/>
      <c r="H58" s="582"/>
      <c r="I58" s="582"/>
      <c r="J58" s="582"/>
      <c r="K58" s="582"/>
    </row>
    <row r="59" spans="2:11" x14ac:dyDescent="0.25">
      <c r="B59" s="292" t="s">
        <v>208</v>
      </c>
      <c r="C59" s="363" t="str">
        <f>IF(C60*0.1&lt;C58,"Exceed 10% Rule","")</f>
        <v/>
      </c>
      <c r="D59" s="363" t="str">
        <f>IF(D60*0.1&lt;D58,"Exceed 10% Rule","")</f>
        <v/>
      </c>
      <c r="E59" s="296" t="str">
        <f>IF(E60*0.1+E80&lt;E58,"Exceed 10% Rule","")</f>
        <v/>
      </c>
      <c r="G59" s="582"/>
      <c r="H59" s="582"/>
      <c r="I59" s="582"/>
      <c r="J59" s="582"/>
      <c r="K59" s="582"/>
    </row>
    <row r="60" spans="2:11" x14ac:dyDescent="0.25">
      <c r="B60" s="294" t="s">
        <v>262</v>
      </c>
      <c r="C60" s="364">
        <f>SUM(C48:C58)</f>
        <v>0</v>
      </c>
      <c r="D60" s="364">
        <f>SUM(D48:D58)</f>
        <v>0</v>
      </c>
      <c r="E60" s="295">
        <f>SUM(E48:E58)</f>
        <v>0</v>
      </c>
      <c r="G60" s="582"/>
      <c r="H60" s="582"/>
      <c r="I60" s="582"/>
      <c r="J60" s="582"/>
      <c r="K60" s="582"/>
    </row>
    <row r="61" spans="2:11" x14ac:dyDescent="0.25">
      <c r="B61" s="81" t="s">
        <v>263</v>
      </c>
      <c r="C61" s="364">
        <f>C60+C46</f>
        <v>0</v>
      </c>
      <c r="D61" s="364">
        <f>D60+D46</f>
        <v>0</v>
      </c>
      <c r="E61" s="295">
        <f>E60+E46</f>
        <v>0</v>
      </c>
      <c r="G61" s="582"/>
      <c r="H61" s="582"/>
      <c r="I61" s="582"/>
      <c r="J61" s="582"/>
      <c r="K61" s="582"/>
    </row>
    <row r="62" spans="2:11" x14ac:dyDescent="0.25">
      <c r="B62" s="63" t="s">
        <v>264</v>
      </c>
      <c r="C62" s="361"/>
      <c r="D62" s="361"/>
      <c r="E62" s="239"/>
      <c r="G62" s="582"/>
      <c r="H62" s="582"/>
      <c r="I62" s="582"/>
      <c r="J62" s="582"/>
      <c r="K62" s="582"/>
    </row>
    <row r="63" spans="2:11" x14ac:dyDescent="0.25">
      <c r="B63" s="291"/>
      <c r="C63" s="286"/>
      <c r="D63" s="286"/>
      <c r="E63" s="151"/>
      <c r="G63" s="582"/>
      <c r="H63" s="582"/>
      <c r="I63" s="582"/>
      <c r="J63" s="582"/>
      <c r="K63" s="582"/>
    </row>
    <row r="64" spans="2:11" x14ac:dyDescent="0.25">
      <c r="B64" s="291"/>
      <c r="C64" s="286"/>
      <c r="D64" s="286"/>
      <c r="E64" s="151"/>
      <c r="G64" s="866" t="str">
        <f>CONCATENATE("Desired Carryover Into ",E1+1,"")</f>
        <v>Desired Carryover Into 2016</v>
      </c>
      <c r="H64" s="867"/>
      <c r="I64" s="867"/>
      <c r="J64" s="868"/>
      <c r="K64" s="582"/>
    </row>
    <row r="65" spans="2:11" x14ac:dyDescent="0.25">
      <c r="B65" s="291"/>
      <c r="C65" s="286"/>
      <c r="D65" s="286"/>
      <c r="E65" s="151"/>
      <c r="G65" s="614"/>
      <c r="H65" s="615"/>
      <c r="I65" s="616"/>
      <c r="J65" s="617"/>
      <c r="K65" s="582"/>
    </row>
    <row r="66" spans="2:11" x14ac:dyDescent="0.25">
      <c r="B66" s="291"/>
      <c r="C66" s="286"/>
      <c r="D66" s="286"/>
      <c r="E66" s="151"/>
      <c r="G66" s="618" t="s">
        <v>701</v>
      </c>
      <c r="H66" s="616"/>
      <c r="I66" s="616"/>
      <c r="J66" s="619">
        <v>0</v>
      </c>
      <c r="K66" s="582"/>
    </row>
    <row r="67" spans="2:11" x14ac:dyDescent="0.25">
      <c r="B67" s="291"/>
      <c r="C67" s="286"/>
      <c r="D67" s="286"/>
      <c r="E67" s="151"/>
      <c r="G67" s="614" t="s">
        <v>702</v>
      </c>
      <c r="H67" s="615"/>
      <c r="I67" s="615"/>
      <c r="J67" s="620" t="str">
        <f>IF(J66=0,"",ROUND((J66+E80-G79)/inputOth!E11*1000,3)-G84)</f>
        <v/>
      </c>
      <c r="K67" s="582"/>
    </row>
    <row r="68" spans="2:11" x14ac:dyDescent="0.25">
      <c r="B68" s="291"/>
      <c r="C68" s="286"/>
      <c r="D68" s="286"/>
      <c r="E68" s="151"/>
      <c r="G68" s="621" t="str">
        <f>CONCATENATE("",E1," Tot Exp/Non-Appr Must Be:")</f>
        <v>2015 Tot Exp/Non-Appr Must Be:</v>
      </c>
      <c r="H68" s="622"/>
      <c r="I68" s="623"/>
      <c r="J68" s="624">
        <f>IF(J66&gt;0,IF(E77&lt;E61,IF(J66=G79,E77,((J66-G79)*(1-D79))+E61),E77+(J66-G79)),0)</f>
        <v>0</v>
      </c>
      <c r="K68" s="582"/>
    </row>
    <row r="69" spans="2:11" x14ac:dyDescent="0.25">
      <c r="B69" s="291"/>
      <c r="C69" s="286"/>
      <c r="D69" s="286"/>
      <c r="E69" s="151"/>
      <c r="G69" s="625" t="s">
        <v>831</v>
      </c>
      <c r="H69" s="626"/>
      <c r="I69" s="626"/>
      <c r="J69" s="627">
        <f>IF(J66&gt;0,J68-E77,0)</f>
        <v>0</v>
      </c>
      <c r="K69" s="582"/>
    </row>
    <row r="70" spans="2:11" x14ac:dyDescent="0.25">
      <c r="B70" s="289" t="s">
        <v>209</v>
      </c>
      <c r="C70" s="286"/>
      <c r="D70" s="286"/>
      <c r="E70" s="162" t="str">
        <f>nhood!E13</f>
        <v/>
      </c>
      <c r="G70" s="582"/>
      <c r="H70" s="582"/>
      <c r="I70" s="582"/>
      <c r="J70" s="582"/>
      <c r="K70" s="582"/>
    </row>
    <row r="71" spans="2:11" x14ac:dyDescent="0.25">
      <c r="B71" s="289" t="s">
        <v>207</v>
      </c>
      <c r="C71" s="286"/>
      <c r="D71" s="286"/>
      <c r="E71" s="151"/>
      <c r="G71" s="866" t="str">
        <f>CONCATENATE("Projected Carryover Into ",E1+1,"")</f>
        <v>Projected Carryover Into 2016</v>
      </c>
      <c r="H71" s="871"/>
      <c r="I71" s="871"/>
      <c r="J71" s="870"/>
      <c r="K71" s="582"/>
    </row>
    <row r="72" spans="2:11" x14ac:dyDescent="0.25">
      <c r="B72" s="289" t="s">
        <v>698</v>
      </c>
      <c r="C72" s="363" t="str">
        <f>IF(C73*0.1&lt;C71,"Exceed 10% Rule","")</f>
        <v/>
      </c>
      <c r="D72" s="363" t="str">
        <f>IF(D73*0.1&lt;D71,"Exceed 10% Rule","")</f>
        <v/>
      </c>
      <c r="E72" s="296" t="str">
        <f>IF(E73*0.1&lt;E71,"Exceed 10% Rule","")</f>
        <v/>
      </c>
      <c r="G72" s="666"/>
      <c r="H72" s="615"/>
      <c r="I72" s="615"/>
      <c r="J72" s="667"/>
      <c r="K72" s="582"/>
    </row>
    <row r="73" spans="2:11" x14ac:dyDescent="0.25">
      <c r="B73" s="81" t="s">
        <v>265</v>
      </c>
      <c r="C73" s="364">
        <f>SUM(C63:C71)</f>
        <v>0</v>
      </c>
      <c r="D73" s="364">
        <f>SUM(D63:D71)</f>
        <v>0</v>
      </c>
      <c r="E73" s="295">
        <f>SUM(E63:E71)</f>
        <v>0</v>
      </c>
      <c r="G73" s="632">
        <f>D74</f>
        <v>0</v>
      </c>
      <c r="H73" s="633" t="str">
        <f>CONCATENATE("",E1-1," Ending Cash Balance (est.)")</f>
        <v>2014 Ending Cash Balance (est.)</v>
      </c>
      <c r="I73" s="634"/>
      <c r="J73" s="667"/>
      <c r="K73" s="582"/>
    </row>
    <row r="74" spans="2:11" x14ac:dyDescent="0.25">
      <c r="B74" s="63" t="s">
        <v>61</v>
      </c>
      <c r="C74" s="365">
        <f>C61-C73</f>
        <v>0</v>
      </c>
      <c r="D74" s="365">
        <f>D61-D73</f>
        <v>0</v>
      </c>
      <c r="E74" s="288" t="s">
        <v>234</v>
      </c>
      <c r="G74" s="632">
        <f>E60</f>
        <v>0</v>
      </c>
      <c r="H74" s="616" t="str">
        <f>CONCATENATE("",E1," Non-AV Receipts (est.)")</f>
        <v>2015 Non-AV Receipts (est.)</v>
      </c>
      <c r="I74" s="634"/>
      <c r="J74" s="667"/>
      <c r="K74" s="582"/>
    </row>
    <row r="75" spans="2:11" x14ac:dyDescent="0.25">
      <c r="B75" s="98" t="str">
        <f>CONCATENATE("",E1-2,"/",E1-1,"/",E1," Budget Authority Amount:")</f>
        <v>2013/2014/2015 Budget Authority Amount:</v>
      </c>
      <c r="C75" s="724">
        <f>inputOth!$B90</f>
        <v>0</v>
      </c>
      <c r="D75" s="545">
        <f>inputPrYr!$D27</f>
        <v>0</v>
      </c>
      <c r="E75" s="239">
        <f>E73</f>
        <v>0</v>
      </c>
      <c r="F75" s="297"/>
      <c r="G75" s="639">
        <f>IF(E79&gt;0,E78,E80)</f>
        <v>0</v>
      </c>
      <c r="H75" s="616" t="str">
        <f>CONCATENATE("",E1," Ad Valorem Tax (est.)")</f>
        <v>2015 Ad Valorem Tax (est.)</v>
      </c>
      <c r="I75" s="634"/>
      <c r="J75" s="667"/>
      <c r="K75" s="640" t="str">
        <f>IF(G75=E80,"","Note: Does not include Delinquent Taxes")</f>
        <v/>
      </c>
    </row>
    <row r="76" spans="2:11" x14ac:dyDescent="0.25">
      <c r="B76" s="99"/>
      <c r="C76" s="852" t="s">
        <v>695</v>
      </c>
      <c r="D76" s="853"/>
      <c r="E76" s="151"/>
      <c r="F76" s="699" t="str">
        <f>IF(E73/0.95-E73&lt;E76,"Exceeds 5%","")</f>
        <v/>
      </c>
      <c r="G76" s="632">
        <f>SUM(G73:G75)</f>
        <v>0</v>
      </c>
      <c r="H76" s="616" t="str">
        <f>CONCATENATE("Total ",E1," Resources Available")</f>
        <v>Total 2015 Resources Available</v>
      </c>
      <c r="I76" s="670"/>
      <c r="J76" s="667"/>
      <c r="K76" s="582"/>
    </row>
    <row r="77" spans="2:11" x14ac:dyDescent="0.25">
      <c r="B77" s="470" t="str">
        <f>CONCATENATE(C87,"     ",D87)</f>
        <v xml:space="preserve">     </v>
      </c>
      <c r="C77" s="854" t="s">
        <v>696</v>
      </c>
      <c r="D77" s="855"/>
      <c r="E77" s="239">
        <f>E73+E76</f>
        <v>0</v>
      </c>
      <c r="G77" s="671"/>
      <c r="H77" s="672"/>
      <c r="I77" s="615"/>
      <c r="J77" s="667"/>
      <c r="K77" s="582"/>
    </row>
    <row r="78" spans="2:11" x14ac:dyDescent="0.25">
      <c r="B78" s="470" t="str">
        <f>CONCATENATE(C88,"     ",D88)</f>
        <v xml:space="preserve">     </v>
      </c>
      <c r="C78" s="473"/>
      <c r="D78" s="472" t="s">
        <v>267</v>
      </c>
      <c r="E78" s="162">
        <f>IF(E77-E61&gt;0,E77-E61,0)</f>
        <v>0</v>
      </c>
      <c r="G78" s="639">
        <f>ROUND(C73*0.05+C73,0)</f>
        <v>0</v>
      </c>
      <c r="H78" s="616" t="str">
        <f>CONCATENATE("Less ",E1-2," Expenditures + 5%")</f>
        <v>Less 2013 Expenditures + 5%</v>
      </c>
      <c r="I78" s="670"/>
      <c r="J78" s="667"/>
      <c r="K78" s="582"/>
    </row>
    <row r="79" spans="2:11" x14ac:dyDescent="0.25">
      <c r="B79" s="190"/>
      <c r="C79" s="471" t="s">
        <v>697</v>
      </c>
      <c r="D79" s="683">
        <f>inputOth!$E$77</f>
        <v>0</v>
      </c>
      <c r="E79" s="239">
        <f>ROUND(IF(D79&gt;0,(E78*D79),0),0)</f>
        <v>0</v>
      </c>
      <c r="G79" s="647">
        <f>G76-G78</f>
        <v>0</v>
      </c>
      <c r="H79" s="648" t="str">
        <f>CONCATENATE("Projected ",E1+1," carryover (est.)")</f>
        <v>Projected 2016 carryover (est.)</v>
      </c>
      <c r="I79" s="673"/>
      <c r="J79" s="674"/>
      <c r="K79" s="582"/>
    </row>
    <row r="80" spans="2:11" x14ac:dyDescent="0.25">
      <c r="B80" s="48"/>
      <c r="C80" s="856" t="str">
        <f>CONCATENATE("Amount of  ",$E$1-1," Ad Valorem Tax")</f>
        <v>Amount of  2014 Ad Valorem Tax</v>
      </c>
      <c r="D80" s="857"/>
      <c r="E80" s="162">
        <f>E78+E79</f>
        <v>0</v>
      </c>
      <c r="G80" s="582"/>
      <c r="H80" s="582"/>
      <c r="I80" s="582"/>
      <c r="J80" s="582"/>
      <c r="K80" s="582"/>
    </row>
    <row r="81" spans="2:11" x14ac:dyDescent="0.25">
      <c r="B81" s="190" t="s">
        <v>248</v>
      </c>
      <c r="C81" s="301"/>
      <c r="D81" s="48"/>
      <c r="E81" s="48"/>
      <c r="G81" s="863" t="s">
        <v>832</v>
      </c>
      <c r="H81" s="864"/>
      <c r="I81" s="864"/>
      <c r="J81" s="865"/>
      <c r="K81" s="582"/>
    </row>
    <row r="82" spans="2:11" x14ac:dyDescent="0.25">
      <c r="B82" s="95"/>
      <c r="G82" s="654"/>
      <c r="H82" s="633"/>
      <c r="I82" s="655"/>
      <c r="J82" s="656"/>
      <c r="K82" s="582"/>
    </row>
    <row r="83" spans="2:11" x14ac:dyDescent="0.25">
      <c r="G83" s="657" t="str">
        <f>summ!H25</f>
        <v xml:space="preserve"> </v>
      </c>
      <c r="H83" s="633" t="str">
        <f>CONCATENATE("",E1," Fund Mill Rate")</f>
        <v>2015 Fund Mill Rate</v>
      </c>
      <c r="I83" s="655"/>
      <c r="J83" s="656"/>
      <c r="K83" s="582"/>
    </row>
    <row r="84" spans="2:11" x14ac:dyDescent="0.25">
      <c r="G84" s="658" t="str">
        <f>summ!E25</f>
        <v xml:space="preserve">  </v>
      </c>
      <c r="H84" s="633" t="str">
        <f>CONCATENATE("",E1-1," Fund Mill Rate")</f>
        <v>2014 Fund Mill Rate</v>
      </c>
      <c r="I84" s="655"/>
      <c r="J84" s="656"/>
      <c r="K84" s="582"/>
    </row>
    <row r="85" spans="2:11" hidden="1" x14ac:dyDescent="0.25">
      <c r="C85" s="137" t="str">
        <f>IF(C33&gt;C35,"See Tab A","")</f>
        <v/>
      </c>
      <c r="D85" s="137" t="str">
        <f>IF(D33&gt;D35,"See Tab C","")</f>
        <v/>
      </c>
      <c r="G85" s="660">
        <f>[1]summ!I36</f>
        <v>0</v>
      </c>
      <c r="H85" s="633" t="str">
        <f>CONCATENATE("Total ",E1," Mill Rate")</f>
        <v>Total 2015 Mill Rate</v>
      </c>
      <c r="I85" s="655"/>
      <c r="J85" s="656"/>
      <c r="K85" s="582"/>
    </row>
    <row r="86" spans="2:11" hidden="1" x14ac:dyDescent="0.25">
      <c r="C86" s="137" t="str">
        <f>IF(C34&lt;0,"See Tab B","")</f>
        <v/>
      </c>
      <c r="D86" s="137" t="str">
        <f>IF(D34&lt;0,"See Tab D","")</f>
        <v/>
      </c>
      <c r="G86" s="658">
        <f>[1]summ!F36</f>
        <v>0</v>
      </c>
      <c r="H86" s="661" t="str">
        <f>CONCATENATE("Total ",E1-1," Mill Rate")</f>
        <v>Total 2014 Mill Rate</v>
      </c>
      <c r="I86" s="662"/>
      <c r="J86" s="663"/>
      <c r="K86" s="582"/>
    </row>
    <row r="87" spans="2:11" hidden="1" x14ac:dyDescent="0.25">
      <c r="C87" s="137" t="str">
        <f>IF(C73&gt;C75,"See Tab A","")</f>
        <v/>
      </c>
      <c r="D87" s="137" t="str">
        <f>IF(D73&gt;D75,"See Tab C","")</f>
        <v/>
      </c>
    </row>
    <row r="88" spans="2:11" hidden="1" x14ac:dyDescent="0.25">
      <c r="C88" s="137" t="str">
        <f>IF(C74&lt;0,"See Tab B","")</f>
        <v/>
      </c>
      <c r="D88" s="137" t="str">
        <f>IF(D74&lt;0,"See Tab D","")</f>
        <v/>
      </c>
    </row>
    <row r="89" spans="2:11" x14ac:dyDescent="0.25">
      <c r="G89" s="660">
        <f>summ!H36</f>
        <v>12.68</v>
      </c>
      <c r="H89" s="633" t="str">
        <f>CONCATENATE("Total ",E1," Mill Rate")</f>
        <v>Total 2015 Mill Rate</v>
      </c>
      <c r="I89" s="655"/>
      <c r="J89" s="656"/>
    </row>
    <row r="90" spans="2:11" x14ac:dyDescent="0.25">
      <c r="G90" s="658">
        <f>summ!E36</f>
        <v>12.68</v>
      </c>
      <c r="H90" s="661" t="str">
        <f>CONCATENATE("Total ",E1-1," Mill Rate")</f>
        <v>Total 2014 Mill Rate</v>
      </c>
      <c r="I90" s="662"/>
      <c r="J90" s="663"/>
    </row>
    <row r="92" spans="2:11" x14ac:dyDescent="0.25">
      <c r="G92" s="760" t="s">
        <v>931</v>
      </c>
      <c r="H92" s="710"/>
      <c r="I92" s="709" t="str">
        <f>cert!E41</f>
        <v>No</v>
      </c>
    </row>
  </sheetData>
  <sheetProtection sheet="1"/>
  <mergeCells count="12">
    <mergeCell ref="G24:J24"/>
    <mergeCell ref="G31:J31"/>
    <mergeCell ref="G41:J41"/>
    <mergeCell ref="G64:J64"/>
    <mergeCell ref="G71:J71"/>
    <mergeCell ref="G81:J81"/>
    <mergeCell ref="C36:D36"/>
    <mergeCell ref="C37:D37"/>
    <mergeCell ref="C76:D76"/>
    <mergeCell ref="C77:D77"/>
    <mergeCell ref="C80:D80"/>
    <mergeCell ref="C40:D40"/>
  </mergeCells>
  <phoneticPr fontId="0" type="noConversion"/>
  <conditionalFormatting sqref="C71">
    <cfRule type="cellIs" dxfId="103" priority="3" stopIfTrue="1" operator="greaterThan">
      <formula>$C$713*0.1</formula>
    </cfRule>
  </conditionalFormatting>
  <conditionalFormatting sqref="D71">
    <cfRule type="cellIs" dxfId="102" priority="4" stopIfTrue="1" operator="greaterThan">
      <formula>$D$713*0.1</formula>
    </cfRule>
  </conditionalFormatting>
  <conditionalFormatting sqref="E71">
    <cfRule type="cellIs" dxfId="101" priority="5" stopIfTrue="1" operator="greaterThan">
      <formula>$E$73*0.1</formula>
    </cfRule>
  </conditionalFormatting>
  <conditionalFormatting sqref="C58">
    <cfRule type="cellIs" dxfId="100" priority="6" stopIfTrue="1" operator="greaterThan">
      <formula>$C$60*0.1</formula>
    </cfRule>
  </conditionalFormatting>
  <conditionalFormatting sqref="D58">
    <cfRule type="cellIs" dxfId="99" priority="7" stopIfTrue="1" operator="greaterThan">
      <formula>$D$60*0.1</formula>
    </cfRule>
  </conditionalFormatting>
  <conditionalFormatting sqref="E76">
    <cfRule type="cellIs" dxfId="98" priority="8" stopIfTrue="1" operator="greaterThan">
      <formula>$E$73/0.95-$E$73</formula>
    </cfRule>
  </conditionalFormatting>
  <conditionalFormatting sqref="C31">
    <cfRule type="cellIs" dxfId="97" priority="9" stopIfTrue="1" operator="greaterThan">
      <formula>$C$33*0.1</formula>
    </cfRule>
  </conditionalFormatting>
  <conditionalFormatting sqref="D31">
    <cfRule type="cellIs" dxfId="96" priority="10" stopIfTrue="1" operator="greaterThan">
      <formula>$D$33*0.1</formula>
    </cfRule>
  </conditionalFormatting>
  <conditionalFormatting sqref="E31">
    <cfRule type="cellIs" dxfId="95" priority="11" stopIfTrue="1" operator="greaterThan">
      <formula>$E$33*0.1</formula>
    </cfRule>
  </conditionalFormatting>
  <conditionalFormatting sqref="C18">
    <cfRule type="cellIs" dxfId="94" priority="12" stopIfTrue="1" operator="greaterThan">
      <formula>$C$20*0.1</formula>
    </cfRule>
  </conditionalFormatting>
  <conditionalFormatting sqref="D18">
    <cfRule type="cellIs" dxfId="93" priority="13" stopIfTrue="1" operator="greaterThan">
      <formula>$D$20*0.1</formula>
    </cfRule>
  </conditionalFormatting>
  <conditionalFormatting sqref="E36">
    <cfRule type="cellIs" dxfId="92" priority="14" stopIfTrue="1" operator="greaterThan">
      <formula>$E$33/0.95-$E$33</formula>
    </cfRule>
  </conditionalFormatting>
  <conditionalFormatting sqref="C74 C34">
    <cfRule type="cellIs" dxfId="91" priority="15" stopIfTrue="1" operator="lessThan">
      <formula>0</formula>
    </cfRule>
  </conditionalFormatting>
  <conditionalFormatting sqref="C73">
    <cfRule type="cellIs" dxfId="90" priority="16" stopIfTrue="1" operator="greaterThan">
      <formula>$C$75</formula>
    </cfRule>
  </conditionalFormatting>
  <conditionalFormatting sqref="D73">
    <cfRule type="cellIs" dxfId="89" priority="17" stopIfTrue="1" operator="greaterThan">
      <formula>$D$75</formula>
    </cfRule>
  </conditionalFormatting>
  <conditionalFormatting sqref="C33">
    <cfRule type="cellIs" dxfId="88" priority="18" stopIfTrue="1" operator="greaterThan">
      <formula>$C$35</formula>
    </cfRule>
  </conditionalFormatting>
  <conditionalFormatting sqref="D33">
    <cfRule type="cellIs" dxfId="87" priority="19" stopIfTrue="1" operator="greaterThan">
      <formula>$D$35</formula>
    </cfRule>
  </conditionalFormatting>
  <conditionalFormatting sqref="E18">
    <cfRule type="cellIs" dxfId="86" priority="20" stopIfTrue="1" operator="greaterThan">
      <formula>$E$20*0.1+$E$40</formula>
    </cfRule>
  </conditionalFormatting>
  <conditionalFormatting sqref="E58">
    <cfRule type="cellIs" dxfId="85" priority="21" stopIfTrue="1" operator="greaterThan">
      <formula>$E$60*0.1+$E$80</formula>
    </cfRule>
  </conditionalFormatting>
  <conditionalFormatting sqref="D34 D74">
    <cfRule type="cellIs" dxfId="84"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B1:K92"/>
  <sheetViews>
    <sheetView workbookViewId="0">
      <selection activeCell="P125" sqref="P125"/>
    </sheetView>
  </sheetViews>
  <sheetFormatPr defaultColWidth="8.796875" defaultRowHeight="15.75" x14ac:dyDescent="0.25"/>
  <cols>
    <col min="1" max="1" width="2.3984375" style="137" customWidth="1"/>
    <col min="2" max="2" width="31" style="137" customWidth="1"/>
    <col min="3" max="4" width="15.69921875" style="137" customWidth="1"/>
    <col min="5" max="5" width="12.69921875" style="137" customWidth="1"/>
    <col min="6" max="6" width="7.296875" style="137" customWidth="1"/>
    <col min="7" max="7" width="9.19921875" style="137" customWidth="1"/>
    <col min="8" max="8" width="8.796875" style="137"/>
    <col min="9" max="9" width="4.5" style="137" customWidth="1"/>
    <col min="10" max="10" width="9" style="137" customWidth="1"/>
    <col min="11" max="16384" width="8.796875" style="137"/>
  </cols>
  <sheetData>
    <row r="1" spans="2:5" x14ac:dyDescent="0.25">
      <c r="B1" s="203" t="str">
        <f>inputPrYr!D3</f>
        <v>Milton Township</v>
      </c>
      <c r="C1" s="48"/>
      <c r="D1" s="48"/>
      <c r="E1" s="204">
        <f>inputPrYr!D9</f>
        <v>2015</v>
      </c>
    </row>
    <row r="2" spans="2:5" x14ac:dyDescent="0.25">
      <c r="B2" s="513" t="s">
        <v>737</v>
      </c>
      <c r="C2" s="48"/>
      <c r="D2" s="187"/>
      <c r="E2" s="50"/>
    </row>
    <row r="3" spans="2:5" x14ac:dyDescent="0.25">
      <c r="B3" s="48"/>
      <c r="C3" s="53"/>
      <c r="D3" s="53"/>
      <c r="E3" s="53"/>
    </row>
    <row r="4" spans="2:5" x14ac:dyDescent="0.25">
      <c r="B4" s="55" t="s">
        <v>249</v>
      </c>
      <c r="C4" s="359" t="s">
        <v>250</v>
      </c>
      <c r="D4" s="362" t="s">
        <v>251</v>
      </c>
      <c r="E4" s="57" t="s">
        <v>252</v>
      </c>
    </row>
    <row r="5" spans="2:5" x14ac:dyDescent="0.25">
      <c r="B5" s="455">
        <f>inputPrYr!B28</f>
        <v>0</v>
      </c>
      <c r="C5" s="360" t="str">
        <f>gen!C5</f>
        <v>Actual for 2013</v>
      </c>
      <c r="D5" s="360" t="str">
        <f>gen!D5</f>
        <v>Estimate for 2014</v>
      </c>
      <c r="E5" s="62" t="str">
        <f>gen!E5</f>
        <v>Year for 2015</v>
      </c>
    </row>
    <row r="6" spans="2:5" x14ac:dyDescent="0.25">
      <c r="B6" s="63" t="s">
        <v>60</v>
      </c>
      <c r="C6" s="286"/>
      <c r="D6" s="361">
        <f>C34</f>
        <v>0</v>
      </c>
      <c r="E6" s="239">
        <f>D34</f>
        <v>0</v>
      </c>
    </row>
    <row r="7" spans="2:5" x14ac:dyDescent="0.25">
      <c r="B7" s="63" t="s">
        <v>62</v>
      </c>
      <c r="C7" s="361"/>
      <c r="D7" s="361"/>
      <c r="E7" s="288"/>
    </row>
    <row r="8" spans="2:5" x14ac:dyDescent="0.25">
      <c r="B8" s="63" t="s">
        <v>255</v>
      </c>
      <c r="C8" s="286"/>
      <c r="D8" s="361">
        <f>IF(inputPrYr!H19&gt;0,inputPrYr!G28,inputPrYr!E28)</f>
        <v>0</v>
      </c>
      <c r="E8" s="288" t="s">
        <v>234</v>
      </c>
    </row>
    <row r="9" spans="2:5" x14ac:dyDescent="0.25">
      <c r="B9" s="63" t="s">
        <v>256</v>
      </c>
      <c r="C9" s="286"/>
      <c r="D9" s="286"/>
      <c r="E9" s="151"/>
    </row>
    <row r="10" spans="2:5" x14ac:dyDescent="0.25">
      <c r="B10" s="63" t="s">
        <v>257</v>
      </c>
      <c r="C10" s="286"/>
      <c r="D10" s="286"/>
      <c r="E10" s="239">
        <f>mvalloc!G19</f>
        <v>0</v>
      </c>
    </row>
    <row r="11" spans="2:5" x14ac:dyDescent="0.25">
      <c r="B11" s="63" t="s">
        <v>258</v>
      </c>
      <c r="C11" s="286"/>
      <c r="D11" s="286"/>
      <c r="E11" s="239">
        <f>mvalloc!I19</f>
        <v>0</v>
      </c>
    </row>
    <row r="12" spans="2:5" x14ac:dyDescent="0.25">
      <c r="B12" s="63" t="s">
        <v>51</v>
      </c>
      <c r="C12" s="286"/>
      <c r="D12" s="286"/>
      <c r="E12" s="239">
        <f>mvalloc!J19</f>
        <v>0</v>
      </c>
    </row>
    <row r="13" spans="2:5" x14ac:dyDescent="0.25">
      <c r="B13" s="291"/>
      <c r="C13" s="286"/>
      <c r="D13" s="286"/>
      <c r="E13" s="151"/>
    </row>
    <row r="14" spans="2:5" x14ac:dyDescent="0.25">
      <c r="B14" s="291"/>
      <c r="C14" s="286"/>
      <c r="D14" s="286"/>
      <c r="E14" s="151"/>
    </row>
    <row r="15" spans="2:5" x14ac:dyDescent="0.25">
      <c r="B15" s="291"/>
      <c r="C15" s="286"/>
      <c r="D15" s="286"/>
      <c r="E15" s="151"/>
    </row>
    <row r="16" spans="2:5" x14ac:dyDescent="0.25">
      <c r="B16" s="291"/>
      <c r="C16" s="286"/>
      <c r="D16" s="286"/>
      <c r="E16" s="151"/>
    </row>
    <row r="17" spans="2:11" x14ac:dyDescent="0.25">
      <c r="B17" s="291" t="s">
        <v>261</v>
      </c>
      <c r="C17" s="286"/>
      <c r="D17" s="286"/>
      <c r="E17" s="151"/>
    </row>
    <row r="18" spans="2:11" x14ac:dyDescent="0.25">
      <c r="B18" s="292" t="s">
        <v>207</v>
      </c>
      <c r="C18" s="286"/>
      <c r="D18" s="286"/>
      <c r="E18" s="151"/>
    </row>
    <row r="19" spans="2:11" x14ac:dyDescent="0.25">
      <c r="B19" s="292" t="s">
        <v>208</v>
      </c>
      <c r="C19" s="363" t="str">
        <f>IF(C20*0.1&lt;C18,"Exceed 10% Rule","")</f>
        <v/>
      </c>
      <c r="D19" s="363" t="str">
        <f>IF(D20*0.1&lt;D18,"Exceed 10% Rule","")</f>
        <v/>
      </c>
      <c r="E19" s="296" t="str">
        <f>IF(E20*0.1+E40&lt;E18,"Exceed 10% Rule","")</f>
        <v/>
      </c>
    </row>
    <row r="20" spans="2:11" x14ac:dyDescent="0.25">
      <c r="B20" s="294" t="s">
        <v>262</v>
      </c>
      <c r="C20" s="364">
        <f>SUM(C8:C18)</f>
        <v>0</v>
      </c>
      <c r="D20" s="364">
        <f>SUM(D8:D18)</f>
        <v>0</v>
      </c>
      <c r="E20" s="295">
        <f>SUM(E8:E18)</f>
        <v>0</v>
      </c>
    </row>
    <row r="21" spans="2:11" x14ac:dyDescent="0.25">
      <c r="B21" s="81" t="s">
        <v>263</v>
      </c>
      <c r="C21" s="364">
        <f>C20+C6</f>
        <v>0</v>
      </c>
      <c r="D21" s="364">
        <f>D20+D6</f>
        <v>0</v>
      </c>
      <c r="E21" s="295">
        <f>E20+E6</f>
        <v>0</v>
      </c>
    </row>
    <row r="22" spans="2:11" x14ac:dyDescent="0.25">
      <c r="B22" s="63" t="s">
        <v>264</v>
      </c>
      <c r="C22" s="361"/>
      <c r="D22" s="361"/>
      <c r="E22" s="239"/>
    </row>
    <row r="23" spans="2:11" x14ac:dyDescent="0.25">
      <c r="B23" s="291"/>
      <c r="C23" s="286"/>
      <c r="D23" s="286"/>
      <c r="E23" s="151"/>
    </row>
    <row r="24" spans="2:11" x14ac:dyDescent="0.25">
      <c r="B24" s="291"/>
      <c r="C24" s="286"/>
      <c r="D24" s="286"/>
      <c r="E24" s="151"/>
      <c r="G24" s="866" t="str">
        <f>CONCATENATE("Desired Carryover Into ",E1+1,"")</f>
        <v>Desired Carryover Into 2016</v>
      </c>
      <c r="H24" s="867"/>
      <c r="I24" s="867"/>
      <c r="J24" s="868"/>
      <c r="K24" s="582"/>
    </row>
    <row r="25" spans="2:11" x14ac:dyDescent="0.25">
      <c r="B25" s="291"/>
      <c r="C25" s="286"/>
      <c r="D25" s="286"/>
      <c r="E25" s="151"/>
      <c r="G25" s="614"/>
      <c r="H25" s="615"/>
      <c r="I25" s="616"/>
      <c r="J25" s="617"/>
      <c r="K25" s="582"/>
    </row>
    <row r="26" spans="2:11" x14ac:dyDescent="0.25">
      <c r="B26" s="291"/>
      <c r="C26" s="286"/>
      <c r="D26" s="286"/>
      <c r="E26" s="151"/>
      <c r="G26" s="618" t="s">
        <v>701</v>
      </c>
      <c r="H26" s="616"/>
      <c r="I26" s="616"/>
      <c r="J26" s="619">
        <v>0</v>
      </c>
      <c r="K26" s="582"/>
    </row>
    <row r="27" spans="2:11" x14ac:dyDescent="0.25">
      <c r="B27" s="286"/>
      <c r="C27" s="286"/>
      <c r="D27" s="286"/>
      <c r="E27" s="151"/>
      <c r="G27" s="614" t="s">
        <v>702</v>
      </c>
      <c r="H27" s="615"/>
      <c r="I27" s="615"/>
      <c r="J27" s="620" t="str">
        <f>IF(J26=0,"",ROUND((J26+E40-G39)/inputOth!E11*1000,3)-G44)</f>
        <v/>
      </c>
      <c r="K27" s="582"/>
    </row>
    <row r="28" spans="2:11" x14ac:dyDescent="0.25">
      <c r="B28" s="291"/>
      <c r="C28" s="286"/>
      <c r="D28" s="286"/>
      <c r="E28" s="151"/>
      <c r="G28" s="621" t="str">
        <f>CONCATENATE("",E1," Tot Exp/Non-Appr Must Be:")</f>
        <v>2015 Tot Exp/Non-Appr Must Be:</v>
      </c>
      <c r="H28" s="622"/>
      <c r="I28" s="623"/>
      <c r="J28" s="624">
        <f>IF(J26&gt;0,IF(E37&lt;E21,IF(J26=G39,E37,((J26-G39)*(1-D39))+E21),E37+(J26-G39)),0)</f>
        <v>0</v>
      </c>
      <c r="K28" s="582"/>
    </row>
    <row r="29" spans="2:11" x14ac:dyDescent="0.25">
      <c r="B29" s="291"/>
      <c r="C29" s="286"/>
      <c r="D29" s="286"/>
      <c r="E29" s="151"/>
      <c r="G29" s="625" t="s">
        <v>831</v>
      </c>
      <c r="H29" s="626"/>
      <c r="I29" s="626"/>
      <c r="J29" s="627">
        <f>IF(J26&gt;0,J28-E37,0)</f>
        <v>0</v>
      </c>
      <c r="K29" s="582"/>
    </row>
    <row r="30" spans="2:11" x14ac:dyDescent="0.25">
      <c r="B30" s="289" t="s">
        <v>209</v>
      </c>
      <c r="C30" s="286"/>
      <c r="D30" s="286"/>
      <c r="E30" s="162" t="str">
        <f>nhood!E14</f>
        <v/>
      </c>
      <c r="G30" s="582"/>
      <c r="H30" s="582"/>
      <c r="I30" s="582"/>
      <c r="J30" s="582"/>
      <c r="K30" s="582"/>
    </row>
    <row r="31" spans="2:11" x14ac:dyDescent="0.25">
      <c r="B31" s="289" t="s">
        <v>207</v>
      </c>
      <c r="C31" s="286"/>
      <c r="D31" s="286"/>
      <c r="E31" s="151"/>
      <c r="G31" s="866" t="str">
        <f>CONCATENATE("Projected Carryover Into ",E1+1,"")</f>
        <v>Projected Carryover Into 2016</v>
      </c>
      <c r="H31" s="869"/>
      <c r="I31" s="869"/>
      <c r="J31" s="870"/>
      <c r="K31" s="582"/>
    </row>
    <row r="32" spans="2:11" x14ac:dyDescent="0.25">
      <c r="B32" s="289" t="s">
        <v>698</v>
      </c>
      <c r="C32" s="363" t="str">
        <f>IF(C33*0.1&lt;C31,"Exceed 10% Rule","")</f>
        <v/>
      </c>
      <c r="D32" s="363" t="str">
        <f>IF(D33*0.1&lt;D31,"Exceed 10% Rule","")</f>
        <v/>
      </c>
      <c r="E32" s="296" t="str">
        <f>IF(E33*0.1&lt;E31,"Exceed 10% Rule","")</f>
        <v/>
      </c>
      <c r="G32" s="614"/>
      <c r="H32" s="616"/>
      <c r="I32" s="616"/>
      <c r="J32" s="629"/>
      <c r="K32" s="582"/>
    </row>
    <row r="33" spans="2:11" x14ac:dyDescent="0.25">
      <c r="B33" s="81" t="s">
        <v>265</v>
      </c>
      <c r="C33" s="364">
        <f>SUM(C23:C31)</f>
        <v>0</v>
      </c>
      <c r="D33" s="364">
        <f>SUM(D23:D31)</f>
        <v>0</v>
      </c>
      <c r="E33" s="295">
        <f>SUM(E23:E31)</f>
        <v>0</v>
      </c>
      <c r="G33" s="632">
        <f>D34</f>
        <v>0</v>
      </c>
      <c r="H33" s="633" t="str">
        <f>CONCATENATE("",E1-1," Ending Cash Balance (est.)")</f>
        <v>2014 Ending Cash Balance (est.)</v>
      </c>
      <c r="I33" s="634"/>
      <c r="J33" s="629"/>
      <c r="K33" s="582"/>
    </row>
    <row r="34" spans="2:11" x14ac:dyDescent="0.25">
      <c r="B34" s="63" t="s">
        <v>61</v>
      </c>
      <c r="C34" s="365">
        <f>C21-C33</f>
        <v>0</v>
      </c>
      <c r="D34" s="365">
        <f>D21-D33</f>
        <v>0</v>
      </c>
      <c r="E34" s="288" t="s">
        <v>234</v>
      </c>
      <c r="G34" s="632">
        <f>E20</f>
        <v>0</v>
      </c>
      <c r="H34" s="616" t="str">
        <f>CONCATENATE("",E1," Non-AV Receipts (est.)")</f>
        <v>2015 Non-AV Receipts (est.)</v>
      </c>
      <c r="I34" s="634"/>
      <c r="J34" s="629"/>
      <c r="K34" s="582"/>
    </row>
    <row r="35" spans="2:11" x14ac:dyDescent="0.2">
      <c r="B35" s="98" t="str">
        <f>CONCATENATE("",E1-2,"/",E1-1,"/",E1," Budget Authority Amount:")</f>
        <v>2013/2014/2015 Budget Authority Amount:</v>
      </c>
      <c r="C35" s="724">
        <f>inputOth!$B91</f>
        <v>0</v>
      </c>
      <c r="D35" s="724">
        <f>inputPrYr!$D28</f>
        <v>0</v>
      </c>
      <c r="E35" s="239">
        <f>E33</f>
        <v>0</v>
      </c>
      <c r="F35" s="297"/>
      <c r="G35" s="639">
        <f>IF(E39&gt;0,E38,E40)</f>
        <v>0</v>
      </c>
      <c r="H35" s="616" t="str">
        <f>CONCATENATE("",E1," Ad Valorem Tax (est.)")</f>
        <v>2015 Ad Valorem Tax (est.)</v>
      </c>
      <c r="I35" s="634"/>
      <c r="J35" s="629"/>
      <c r="K35" s="640" t="str">
        <f>IF(G35=E40,"","Note: Does not include Delinquent Taxes")</f>
        <v/>
      </c>
    </row>
    <row r="36" spans="2:11" x14ac:dyDescent="0.25">
      <c r="B36" s="99"/>
      <c r="C36" s="852" t="s">
        <v>695</v>
      </c>
      <c r="D36" s="853"/>
      <c r="E36" s="151"/>
      <c r="F36" s="699" t="str">
        <f>IF(E33/0.95-E33&lt;E36,"Exceeds 5%","")</f>
        <v/>
      </c>
      <c r="G36" s="632">
        <f>SUM(G33:G35)</f>
        <v>0</v>
      </c>
      <c r="H36" s="616" t="str">
        <f>CONCATENATE("Total ",E1," Resources Available")</f>
        <v>Total 2015 Resources Available</v>
      </c>
      <c r="I36" s="634"/>
      <c r="J36" s="629"/>
      <c r="K36" s="582"/>
    </row>
    <row r="37" spans="2:11" x14ac:dyDescent="0.25">
      <c r="B37" s="470" t="str">
        <f>CONCATENATE(C85,"     ",D85)</f>
        <v xml:space="preserve">     </v>
      </c>
      <c r="C37" s="854" t="s">
        <v>696</v>
      </c>
      <c r="D37" s="855"/>
      <c r="E37" s="239">
        <f>E33+E36</f>
        <v>0</v>
      </c>
      <c r="G37" s="643"/>
      <c r="H37" s="616"/>
      <c r="I37" s="616"/>
      <c r="J37" s="629"/>
      <c r="K37" s="582"/>
    </row>
    <row r="38" spans="2:11" x14ac:dyDescent="0.25">
      <c r="B38" s="470" t="str">
        <f>CONCATENATE(C86,"     ",D86)</f>
        <v xml:space="preserve">     </v>
      </c>
      <c r="C38" s="473"/>
      <c r="D38" s="472" t="s">
        <v>267</v>
      </c>
      <c r="E38" s="162">
        <f>IF(E37-E21&gt;0,E37-E21,0)</f>
        <v>0</v>
      </c>
      <c r="G38" s="639">
        <f>C33*0.05+C33</f>
        <v>0</v>
      </c>
      <c r="H38" s="616" t="str">
        <f>CONCATENATE("Less ",E1-2," Expenditures + 5%")</f>
        <v>Less 2013 Expenditures + 5%</v>
      </c>
      <c r="I38" s="616"/>
      <c r="J38" s="629"/>
      <c r="K38" s="582"/>
    </row>
    <row r="39" spans="2:11" x14ac:dyDescent="0.25">
      <c r="B39" s="190"/>
      <c r="C39" s="471" t="s">
        <v>697</v>
      </c>
      <c r="D39" s="683">
        <f>inputOth!$E$77</f>
        <v>0</v>
      </c>
      <c r="E39" s="239">
        <f>ROUND(IF(D39&gt;0,(E38*D39),0),0)</f>
        <v>0</v>
      </c>
      <c r="G39" s="647">
        <f>G36-G38</f>
        <v>0</v>
      </c>
      <c r="H39" s="648" t="str">
        <f>CONCATENATE("Projected ",E1+1," carryover (est.)")</f>
        <v>Projected 2016 carryover (est.)</v>
      </c>
      <c r="I39" s="649"/>
      <c r="J39" s="650"/>
      <c r="K39" s="582"/>
    </row>
    <row r="40" spans="2:11" x14ac:dyDescent="0.25">
      <c r="B40" s="48"/>
      <c r="C40" s="856" t="str">
        <f>CONCATENATE("Amount of  ",$E$1-1," Ad Valorem Tax")</f>
        <v>Amount of  2014 Ad Valorem Tax</v>
      </c>
      <c r="D40" s="857"/>
      <c r="E40" s="162">
        <f>E38+E39</f>
        <v>0</v>
      </c>
      <c r="G40" s="582"/>
      <c r="H40" s="582"/>
      <c r="I40" s="582"/>
      <c r="J40" s="582"/>
      <c r="K40" s="582"/>
    </row>
    <row r="41" spans="2:11" x14ac:dyDescent="0.25">
      <c r="B41" s="48"/>
      <c r="C41" s="529"/>
      <c r="D41" s="48"/>
      <c r="E41" s="48"/>
      <c r="G41" s="863" t="s">
        <v>832</v>
      </c>
      <c r="H41" s="864"/>
      <c r="I41" s="864"/>
      <c r="J41" s="865"/>
      <c r="K41" s="582"/>
    </row>
    <row r="42" spans="2:11" x14ac:dyDescent="0.25">
      <c r="B42" s="48"/>
      <c r="C42" s="529"/>
      <c r="D42" s="48"/>
      <c r="E42" s="48"/>
      <c r="G42" s="654"/>
      <c r="H42" s="633"/>
      <c r="I42" s="655"/>
      <c r="J42" s="656"/>
      <c r="K42" s="582"/>
    </row>
    <row r="43" spans="2:11" x14ac:dyDescent="0.25">
      <c r="B43" s="55" t="s">
        <v>249</v>
      </c>
      <c r="C43" s="53"/>
      <c r="D43" s="53"/>
      <c r="E43" s="53"/>
      <c r="G43" s="657" t="str">
        <f>summ!H26</f>
        <v xml:space="preserve"> </v>
      </c>
      <c r="H43" s="633" t="str">
        <f>CONCATENATE("",E1," Fund Mill Rate")</f>
        <v>2015 Fund Mill Rate</v>
      </c>
      <c r="I43" s="655"/>
      <c r="J43" s="656"/>
      <c r="K43" s="582"/>
    </row>
    <row r="44" spans="2:11" x14ac:dyDescent="0.25">
      <c r="B44" s="48"/>
      <c r="C44" s="359" t="s">
        <v>250</v>
      </c>
      <c r="D44" s="362" t="s">
        <v>251</v>
      </c>
      <c r="E44" s="57" t="s">
        <v>252</v>
      </c>
      <c r="G44" s="658" t="str">
        <f>summ!E26</f>
        <v xml:space="preserve">  </v>
      </c>
      <c r="H44" s="633" t="str">
        <f>CONCATENATE("",E1-1," Fund Mill Rate")</f>
        <v>2014 Fund Mill Rate</v>
      </c>
      <c r="I44" s="655"/>
      <c r="J44" s="656"/>
      <c r="K44" s="582"/>
    </row>
    <row r="45" spans="2:11" x14ac:dyDescent="0.25">
      <c r="B45" s="456">
        <f>inputPrYr!B29</f>
        <v>0</v>
      </c>
      <c r="C45" s="360" t="str">
        <f>C5</f>
        <v>Actual for 2013</v>
      </c>
      <c r="D45" s="360" t="str">
        <f>D5</f>
        <v>Estimate for 2014</v>
      </c>
      <c r="E45" s="62" t="str">
        <f>E5</f>
        <v>Year for 2015</v>
      </c>
      <c r="G45" s="660">
        <f>summ!H36</f>
        <v>12.68</v>
      </c>
      <c r="H45" s="633" t="str">
        <f>CONCATENATE("Total ",E1," Mill Rate")</f>
        <v>Total 2015 Mill Rate</v>
      </c>
      <c r="I45" s="655"/>
      <c r="J45" s="656"/>
      <c r="K45" s="582"/>
    </row>
    <row r="46" spans="2:11" x14ac:dyDescent="0.25">
      <c r="B46" s="63" t="s">
        <v>60</v>
      </c>
      <c r="C46" s="286"/>
      <c r="D46" s="361">
        <f>C74</f>
        <v>0</v>
      </c>
      <c r="E46" s="239">
        <f>D74</f>
        <v>0</v>
      </c>
      <c r="G46" s="658">
        <f>summ!E36</f>
        <v>12.68</v>
      </c>
      <c r="H46" s="661" t="str">
        <f>CONCATENATE("Total ",E1-1," Mill Rate")</f>
        <v>Total 2014 Mill Rate</v>
      </c>
      <c r="I46" s="662"/>
      <c r="J46" s="663"/>
      <c r="K46" s="582"/>
    </row>
    <row r="47" spans="2:11" x14ac:dyDescent="0.25">
      <c r="B47" s="63" t="s">
        <v>62</v>
      </c>
      <c r="C47" s="361"/>
      <c r="D47" s="361"/>
      <c r="E47" s="288"/>
      <c r="G47" s="582"/>
      <c r="H47" s="582"/>
      <c r="I47" s="582"/>
      <c r="J47" s="582"/>
      <c r="K47" s="582"/>
    </row>
    <row r="48" spans="2:11" x14ac:dyDescent="0.25">
      <c r="B48" s="63" t="s">
        <v>255</v>
      </c>
      <c r="C48" s="286"/>
      <c r="D48" s="361">
        <f>IF(inputPrYr!H19&gt;0,inputPrYr!G29,inputPrYr!E29)</f>
        <v>0</v>
      </c>
      <c r="E48" s="288" t="s">
        <v>234</v>
      </c>
      <c r="G48" s="761" t="s">
        <v>931</v>
      </c>
      <c r="H48" s="710"/>
      <c r="I48" s="709" t="str">
        <f>cert!E41</f>
        <v>No</v>
      </c>
      <c r="J48" s="582"/>
      <c r="K48" s="582"/>
    </row>
    <row r="49" spans="2:11" x14ac:dyDescent="0.25">
      <c r="B49" s="63" t="s">
        <v>256</v>
      </c>
      <c r="C49" s="286"/>
      <c r="D49" s="286"/>
      <c r="E49" s="151"/>
      <c r="G49" s="582"/>
      <c r="H49" s="582"/>
      <c r="I49" s="582"/>
      <c r="J49" s="582"/>
      <c r="K49" s="582"/>
    </row>
    <row r="50" spans="2:11" x14ac:dyDescent="0.25">
      <c r="B50" s="63" t="s">
        <v>257</v>
      </c>
      <c r="C50" s="286"/>
      <c r="D50" s="286"/>
      <c r="E50" s="239">
        <f>mvalloc!G20</f>
        <v>0</v>
      </c>
      <c r="G50" s="582"/>
      <c r="H50" s="582"/>
      <c r="I50" s="582"/>
      <c r="J50" s="582"/>
      <c r="K50" s="582"/>
    </row>
    <row r="51" spans="2:11" x14ac:dyDescent="0.25">
      <c r="B51" s="63" t="s">
        <v>258</v>
      </c>
      <c r="C51" s="286"/>
      <c r="D51" s="286"/>
      <c r="E51" s="239">
        <f>mvalloc!I20</f>
        <v>0</v>
      </c>
      <c r="G51" s="582"/>
      <c r="H51" s="582"/>
      <c r="I51" s="582"/>
      <c r="J51" s="582"/>
      <c r="K51" s="582"/>
    </row>
    <row r="52" spans="2:11" x14ac:dyDescent="0.25">
      <c r="B52" s="63" t="s">
        <v>51</v>
      </c>
      <c r="C52" s="286"/>
      <c r="D52" s="286"/>
      <c r="E52" s="239">
        <f>mvalloc!J20</f>
        <v>0</v>
      </c>
      <c r="G52" s="582"/>
      <c r="H52" s="582"/>
      <c r="I52" s="582"/>
      <c r="J52" s="582"/>
      <c r="K52" s="582"/>
    </row>
    <row r="53" spans="2:11" x14ac:dyDescent="0.25">
      <c r="B53" s="290"/>
      <c r="C53" s="286"/>
      <c r="D53" s="286"/>
      <c r="E53" s="151"/>
      <c r="G53" s="582"/>
      <c r="H53" s="582"/>
      <c r="I53" s="582"/>
      <c r="J53" s="582"/>
      <c r="K53" s="582"/>
    </row>
    <row r="54" spans="2:11" x14ac:dyDescent="0.25">
      <c r="B54" s="290"/>
      <c r="C54" s="286"/>
      <c r="D54" s="286"/>
      <c r="E54" s="151"/>
      <c r="G54" s="582"/>
      <c r="H54" s="582"/>
      <c r="I54" s="582"/>
      <c r="J54" s="582"/>
      <c r="K54" s="582"/>
    </row>
    <row r="55" spans="2:11" x14ac:dyDescent="0.25">
      <c r="B55" s="290"/>
      <c r="C55" s="286"/>
      <c r="D55" s="286"/>
      <c r="E55" s="151"/>
      <c r="G55" s="582"/>
      <c r="H55" s="582"/>
      <c r="I55" s="582"/>
      <c r="J55" s="582"/>
      <c r="K55" s="582"/>
    </row>
    <row r="56" spans="2:11" x14ac:dyDescent="0.25">
      <c r="B56" s="291"/>
      <c r="C56" s="286"/>
      <c r="D56" s="286"/>
      <c r="E56" s="151"/>
      <c r="G56" s="582"/>
      <c r="H56" s="582"/>
      <c r="I56" s="582"/>
      <c r="J56" s="582"/>
      <c r="K56" s="582"/>
    </row>
    <row r="57" spans="2:11" x14ac:dyDescent="0.25">
      <c r="B57" s="291" t="s">
        <v>261</v>
      </c>
      <c r="C57" s="286"/>
      <c r="D57" s="286"/>
      <c r="E57" s="151"/>
      <c r="G57" s="582"/>
      <c r="H57" s="582"/>
      <c r="I57" s="582"/>
      <c r="J57" s="582"/>
      <c r="K57" s="582"/>
    </row>
    <row r="58" spans="2:11" x14ac:dyDescent="0.25">
      <c r="B58" s="292" t="s">
        <v>207</v>
      </c>
      <c r="C58" s="286"/>
      <c r="D58" s="286"/>
      <c r="E58" s="151"/>
      <c r="G58" s="582"/>
      <c r="H58" s="582"/>
      <c r="I58" s="582"/>
      <c r="J58" s="582"/>
      <c r="K58" s="582"/>
    </row>
    <row r="59" spans="2:11" x14ac:dyDescent="0.25">
      <c r="B59" s="292" t="s">
        <v>208</v>
      </c>
      <c r="C59" s="363" t="str">
        <f>IF(C60*0.1&lt;C58,"Exceed 10% Rule","")</f>
        <v/>
      </c>
      <c r="D59" s="363" t="str">
        <f>IF(D60*0.1&lt;D58,"Exceed 10% Rule","")</f>
        <v/>
      </c>
      <c r="E59" s="296" t="str">
        <f>IF(E60*0.1+E80&lt;E58,"Exceed 10% Rule","")</f>
        <v/>
      </c>
      <c r="G59" s="582"/>
      <c r="H59" s="582"/>
      <c r="I59" s="582"/>
      <c r="J59" s="582"/>
      <c r="K59" s="582"/>
    </row>
    <row r="60" spans="2:11" x14ac:dyDescent="0.25">
      <c r="B60" s="294" t="s">
        <v>262</v>
      </c>
      <c r="C60" s="364">
        <f>SUM(C48:C58)</f>
        <v>0</v>
      </c>
      <c r="D60" s="364">
        <f>SUM(D48:D58)</f>
        <v>0</v>
      </c>
      <c r="E60" s="295">
        <f>SUM(E48:E58)</f>
        <v>0</v>
      </c>
      <c r="G60" s="582"/>
      <c r="H60" s="582"/>
      <c r="I60" s="582"/>
      <c r="J60" s="582"/>
      <c r="K60" s="582"/>
    </row>
    <row r="61" spans="2:11" x14ac:dyDescent="0.25">
      <c r="B61" s="81" t="s">
        <v>263</v>
      </c>
      <c r="C61" s="364">
        <f>C60+C46</f>
        <v>0</v>
      </c>
      <c r="D61" s="364">
        <f>D60+D46</f>
        <v>0</v>
      </c>
      <c r="E61" s="295">
        <f>E60+E46</f>
        <v>0</v>
      </c>
      <c r="G61" s="582"/>
      <c r="H61" s="582"/>
      <c r="I61" s="582"/>
      <c r="J61" s="582"/>
      <c r="K61" s="582"/>
    </row>
    <row r="62" spans="2:11" x14ac:dyDescent="0.25">
      <c r="B62" s="63" t="s">
        <v>264</v>
      </c>
      <c r="C62" s="361"/>
      <c r="D62" s="361"/>
      <c r="E62" s="239"/>
      <c r="G62" s="582"/>
      <c r="H62" s="582"/>
      <c r="I62" s="582"/>
      <c r="J62" s="582"/>
      <c r="K62" s="582"/>
    </row>
    <row r="63" spans="2:11" x14ac:dyDescent="0.25">
      <c r="B63" s="291"/>
      <c r="C63" s="286"/>
      <c r="D63" s="286"/>
      <c r="E63" s="151"/>
      <c r="G63" s="582"/>
      <c r="H63" s="582"/>
      <c r="I63" s="582"/>
      <c r="J63" s="582"/>
      <c r="K63" s="582"/>
    </row>
    <row r="64" spans="2:11" x14ac:dyDescent="0.25">
      <c r="B64" s="291"/>
      <c r="C64" s="286"/>
      <c r="D64" s="286"/>
      <c r="E64" s="151"/>
      <c r="G64" s="866" t="str">
        <f>CONCATENATE("Desired Carryover Into ",E1+1,"")</f>
        <v>Desired Carryover Into 2016</v>
      </c>
      <c r="H64" s="867"/>
      <c r="I64" s="867"/>
      <c r="J64" s="868"/>
      <c r="K64" s="582"/>
    </row>
    <row r="65" spans="2:11" x14ac:dyDescent="0.25">
      <c r="B65" s="291"/>
      <c r="C65" s="286"/>
      <c r="D65" s="286"/>
      <c r="E65" s="151"/>
      <c r="G65" s="614"/>
      <c r="H65" s="615"/>
      <c r="I65" s="616"/>
      <c r="J65" s="617"/>
      <c r="K65" s="582"/>
    </row>
    <row r="66" spans="2:11" x14ac:dyDescent="0.25">
      <c r="B66" s="291"/>
      <c r="C66" s="286"/>
      <c r="D66" s="286"/>
      <c r="E66" s="151"/>
      <c r="G66" s="618" t="s">
        <v>701</v>
      </c>
      <c r="H66" s="616"/>
      <c r="I66" s="616"/>
      <c r="J66" s="619">
        <v>0</v>
      </c>
      <c r="K66" s="582"/>
    </row>
    <row r="67" spans="2:11" x14ac:dyDescent="0.25">
      <c r="B67" s="291"/>
      <c r="C67" s="286"/>
      <c r="D67" s="286"/>
      <c r="E67" s="151"/>
      <c r="G67" s="614" t="s">
        <v>702</v>
      </c>
      <c r="H67" s="615"/>
      <c r="I67" s="615"/>
      <c r="J67" s="620" t="str">
        <f>IF(J66=0,"",ROUND((J66+E80-G79)/inputOth!E11*1000,3)-G84)</f>
        <v/>
      </c>
      <c r="K67" s="582"/>
    </row>
    <row r="68" spans="2:11" x14ac:dyDescent="0.25">
      <c r="B68" s="291"/>
      <c r="C68" s="286"/>
      <c r="D68" s="286"/>
      <c r="E68" s="151"/>
      <c r="G68" s="621" t="str">
        <f>CONCATENATE("",E1," Tot Exp/Non-Appr Must Be:")</f>
        <v>2015 Tot Exp/Non-Appr Must Be:</v>
      </c>
      <c r="H68" s="622"/>
      <c r="I68" s="623"/>
      <c r="J68" s="624">
        <f>IF(J66&gt;0,IF(E77&lt;E61,IF(J66=G79,E77,((J66-G79)*(1-D79))+E61),E77+(J66-G79)),0)</f>
        <v>0</v>
      </c>
      <c r="K68" s="582"/>
    </row>
    <row r="69" spans="2:11" x14ac:dyDescent="0.25">
      <c r="B69" s="291"/>
      <c r="C69" s="286"/>
      <c r="D69" s="286"/>
      <c r="E69" s="151"/>
      <c r="G69" s="625" t="s">
        <v>831</v>
      </c>
      <c r="H69" s="626"/>
      <c r="I69" s="626"/>
      <c r="J69" s="627">
        <f>IF(J66&gt;0,J68-E77,0)</f>
        <v>0</v>
      </c>
      <c r="K69" s="582"/>
    </row>
    <row r="70" spans="2:11" x14ac:dyDescent="0.25">
      <c r="B70" s="289" t="s">
        <v>209</v>
      </c>
      <c r="C70" s="286"/>
      <c r="D70" s="286"/>
      <c r="E70" s="162" t="str">
        <f>nhood!E15</f>
        <v/>
      </c>
      <c r="G70" s="582"/>
      <c r="H70" s="582"/>
      <c r="I70" s="582"/>
      <c r="J70" s="582"/>
      <c r="K70" s="582"/>
    </row>
    <row r="71" spans="2:11" x14ac:dyDescent="0.25">
      <c r="B71" s="289" t="s">
        <v>207</v>
      </c>
      <c r="C71" s="286"/>
      <c r="D71" s="286"/>
      <c r="E71" s="151"/>
      <c r="G71" s="866" t="str">
        <f>CONCATENATE("Projected Carryover Into ",E1+1,"")</f>
        <v>Projected Carryover Into 2016</v>
      </c>
      <c r="H71" s="871"/>
      <c r="I71" s="871"/>
      <c r="J71" s="870"/>
      <c r="K71" s="582"/>
    </row>
    <row r="72" spans="2:11" x14ac:dyDescent="0.25">
      <c r="B72" s="289" t="s">
        <v>698</v>
      </c>
      <c r="C72" s="363" t="str">
        <f>IF(C73*0.1&lt;C71,"Exceed 10% Rule","")</f>
        <v/>
      </c>
      <c r="D72" s="363" t="str">
        <f>IF(D73*0.1&lt;D71,"Exceed 10% Rule","")</f>
        <v/>
      </c>
      <c r="E72" s="296" t="str">
        <f>IF(E73*0.1&lt;E71,"Exceed 10% Rule","")</f>
        <v/>
      </c>
      <c r="G72" s="666"/>
      <c r="H72" s="615"/>
      <c r="I72" s="615"/>
      <c r="J72" s="667"/>
      <c r="K72" s="582"/>
    </row>
    <row r="73" spans="2:11" x14ac:dyDescent="0.25">
      <c r="B73" s="81" t="s">
        <v>265</v>
      </c>
      <c r="C73" s="364">
        <f>SUM(C63:C71)</f>
        <v>0</v>
      </c>
      <c r="D73" s="364">
        <f>SUM(D63:D71)</f>
        <v>0</v>
      </c>
      <c r="E73" s="295">
        <f>SUM(E63:E71)</f>
        <v>0</v>
      </c>
      <c r="G73" s="632">
        <f>D74</f>
        <v>0</v>
      </c>
      <c r="H73" s="633" t="str">
        <f>CONCATENATE("",E1-1," Ending Cash Balance (est.)")</f>
        <v>2014 Ending Cash Balance (est.)</v>
      </c>
      <c r="I73" s="634"/>
      <c r="J73" s="667"/>
      <c r="K73" s="582"/>
    </row>
    <row r="74" spans="2:11" x14ac:dyDescent="0.25">
      <c r="B74" s="63" t="s">
        <v>61</v>
      </c>
      <c r="C74" s="365">
        <f>C61-C73</f>
        <v>0</v>
      </c>
      <c r="D74" s="365">
        <f>D61-D73</f>
        <v>0</v>
      </c>
      <c r="E74" s="288" t="s">
        <v>234</v>
      </c>
      <c r="G74" s="632">
        <f>E60</f>
        <v>0</v>
      </c>
      <c r="H74" s="616" t="str">
        <f>CONCATENATE("",E1," Non-AV Receipts (est.)")</f>
        <v>2015 Non-AV Receipts (est.)</v>
      </c>
      <c r="I74" s="634"/>
      <c r="J74" s="667"/>
      <c r="K74" s="582"/>
    </row>
    <row r="75" spans="2:11" x14ac:dyDescent="0.25">
      <c r="B75" s="98" t="str">
        <f>CONCATENATE("",E1-2,"/",E1-1,"/",E1," Budget Authority Amount:")</f>
        <v>2013/2014/2015 Budget Authority Amount:</v>
      </c>
      <c r="C75" s="724">
        <f>inputOth!$B92</f>
        <v>0</v>
      </c>
      <c r="D75" s="724">
        <f>inputPrYr!$D29</f>
        <v>0</v>
      </c>
      <c r="E75" s="239">
        <f>E73</f>
        <v>0</v>
      </c>
      <c r="F75" s="297"/>
      <c r="G75" s="639">
        <f>IF(E79&gt;0,E78,E80)</f>
        <v>0</v>
      </c>
      <c r="H75" s="616" t="str">
        <f>CONCATENATE("",E1," Ad Valorem Tax (est.)")</f>
        <v>2015 Ad Valorem Tax (est.)</v>
      </c>
      <c r="I75" s="634"/>
      <c r="J75" s="667"/>
      <c r="K75" s="640" t="str">
        <f>IF(G75=E80,"","Note: Does not include Delinquent Taxes")</f>
        <v/>
      </c>
    </row>
    <row r="76" spans="2:11" x14ac:dyDescent="0.25">
      <c r="B76" s="99"/>
      <c r="C76" s="852" t="s">
        <v>695</v>
      </c>
      <c r="D76" s="853"/>
      <c r="E76" s="151"/>
      <c r="F76" s="699" t="str">
        <f>IF(E73/0.95-E73&lt;E76,"Exceeds 5%","")</f>
        <v/>
      </c>
      <c r="G76" s="669">
        <f>SUM(G73:G75)</f>
        <v>0</v>
      </c>
      <c r="H76" s="616" t="str">
        <f>CONCATENATE("Total ",E1," Resources Available")</f>
        <v>Total 2015 Resources Available</v>
      </c>
      <c r="I76" s="670"/>
      <c r="J76" s="667"/>
      <c r="K76" s="582"/>
    </row>
    <row r="77" spans="2:11" x14ac:dyDescent="0.25">
      <c r="B77" s="470" t="str">
        <f>CONCATENATE(C87,"     ",D87)</f>
        <v xml:space="preserve">     </v>
      </c>
      <c r="C77" s="854" t="s">
        <v>696</v>
      </c>
      <c r="D77" s="855"/>
      <c r="E77" s="239">
        <f>E73+E76</f>
        <v>0</v>
      </c>
      <c r="G77" s="671"/>
      <c r="H77" s="672"/>
      <c r="I77" s="615"/>
      <c r="J77" s="667"/>
      <c r="K77" s="582"/>
    </row>
    <row r="78" spans="2:11" x14ac:dyDescent="0.25">
      <c r="B78" s="470" t="str">
        <f>CONCATENATE(C88,"     ",D88)</f>
        <v xml:space="preserve">     </v>
      </c>
      <c r="C78" s="473"/>
      <c r="D78" s="472" t="s">
        <v>267</v>
      </c>
      <c r="E78" s="162">
        <f>IF(E77-E61&gt;0,E77-E61,0)</f>
        <v>0</v>
      </c>
      <c r="G78" s="639">
        <f>ROUND(C73*0.05+C73,0)</f>
        <v>0</v>
      </c>
      <c r="H78" s="616" t="str">
        <f>CONCATENATE("Less ",E1-2," Expenditures + 5%")</f>
        <v>Less 2013 Expenditures + 5%</v>
      </c>
      <c r="I78" s="670"/>
      <c r="J78" s="667"/>
      <c r="K78" s="582"/>
    </row>
    <row r="79" spans="2:11" x14ac:dyDescent="0.25">
      <c r="B79" s="190"/>
      <c r="C79" s="471" t="s">
        <v>697</v>
      </c>
      <c r="D79" s="683">
        <f>inputOth!$E$77</f>
        <v>0</v>
      </c>
      <c r="E79" s="239">
        <f>ROUND(IF(D79&gt;0,(E78*D79),0),0)</f>
        <v>0</v>
      </c>
      <c r="G79" s="647">
        <f>G76-G78</f>
        <v>0</v>
      </c>
      <c r="H79" s="648" t="str">
        <f>CONCATENATE("Projected ",E1+1," carryover (est.)")</f>
        <v>Projected 2016 carryover (est.)</v>
      </c>
      <c r="I79" s="673"/>
      <c r="J79" s="674"/>
      <c r="K79" s="582"/>
    </row>
    <row r="80" spans="2:11" x14ac:dyDescent="0.25">
      <c r="B80" s="48"/>
      <c r="C80" s="856" t="str">
        <f>CONCATENATE("Amount of  ",$E$1-1," Ad Valorem Tax")</f>
        <v>Amount of  2014 Ad Valorem Tax</v>
      </c>
      <c r="D80" s="857"/>
      <c r="E80" s="162">
        <f>E78+E79</f>
        <v>0</v>
      </c>
      <c r="G80" s="582"/>
      <c r="H80" s="582"/>
      <c r="I80" s="582"/>
      <c r="J80" s="582"/>
      <c r="K80" s="582"/>
    </row>
    <row r="81" spans="2:11" x14ac:dyDescent="0.25">
      <c r="B81" s="190" t="s">
        <v>248</v>
      </c>
      <c r="C81" s="191"/>
      <c r="D81" s="48"/>
      <c r="E81" s="48"/>
      <c r="G81" s="863" t="s">
        <v>832</v>
      </c>
      <c r="H81" s="864"/>
      <c r="I81" s="864"/>
      <c r="J81" s="865"/>
      <c r="K81" s="582"/>
    </row>
    <row r="82" spans="2:11" x14ac:dyDescent="0.25">
      <c r="B82" s="95"/>
      <c r="G82" s="654"/>
      <c r="H82" s="633"/>
      <c r="I82" s="655"/>
      <c r="J82" s="656"/>
      <c r="K82" s="582"/>
    </row>
    <row r="83" spans="2:11" x14ac:dyDescent="0.25">
      <c r="G83" s="657" t="str">
        <f>summ!H27</f>
        <v xml:space="preserve"> </v>
      </c>
      <c r="H83" s="633" t="str">
        <f>CONCATENATE("",E1," Fund Mill Rate")</f>
        <v>2015 Fund Mill Rate</v>
      </c>
      <c r="I83" s="655"/>
      <c r="J83" s="656"/>
      <c r="K83" s="582"/>
    </row>
    <row r="84" spans="2:11" x14ac:dyDescent="0.25">
      <c r="G84" s="658" t="str">
        <f>summ!E27</f>
        <v xml:space="preserve">  </v>
      </c>
      <c r="H84" s="633" t="str">
        <f>CONCATENATE("",E1-1," Fund Mill Rate")</f>
        <v>2014 Fund Mill Rate</v>
      </c>
      <c r="I84" s="655"/>
      <c r="J84" s="656"/>
      <c r="K84" s="582"/>
    </row>
    <row r="85" spans="2:11" hidden="1" x14ac:dyDescent="0.25">
      <c r="C85" s="137" t="str">
        <f>IF(C33&gt;C35,"See Tab A","")</f>
        <v/>
      </c>
      <c r="D85" s="137" t="str">
        <f>IF(D33&gt;D35,"See Tab C","")</f>
        <v/>
      </c>
      <c r="G85" s="660">
        <f>[1]summ!I36</f>
        <v>0</v>
      </c>
      <c r="H85" s="633" t="str">
        <f>CONCATENATE("Total ",E1," Mill Rate")</f>
        <v>Total 2015 Mill Rate</v>
      </c>
      <c r="I85" s="655"/>
      <c r="J85" s="656"/>
      <c r="K85" s="582"/>
    </row>
    <row r="86" spans="2:11" hidden="1" x14ac:dyDescent="0.25">
      <c r="C86" s="137" t="str">
        <f>IF(C34&lt;0,"See Tab B","")</f>
        <v/>
      </c>
      <c r="D86" s="137" t="str">
        <f>IF(D34&lt;0,"See Tab D","")</f>
        <v/>
      </c>
      <c r="G86" s="658">
        <f>[1]summ!F36</f>
        <v>0</v>
      </c>
      <c r="H86" s="661" t="str">
        <f>CONCATENATE("Total ",E1-1," Mill Rate")</f>
        <v>Total 2014 Mill Rate</v>
      </c>
      <c r="I86" s="662"/>
      <c r="J86" s="663"/>
      <c r="K86" s="582"/>
    </row>
    <row r="87" spans="2:11" hidden="1" x14ac:dyDescent="0.25">
      <c r="C87" s="137" t="str">
        <f>IF(C73&gt;C75,"See Tab A","")</f>
        <v/>
      </c>
      <c r="D87" s="137" t="str">
        <f>IF(D73&gt;D75,"See Tab C","")</f>
        <v/>
      </c>
    </row>
    <row r="88" spans="2:11" hidden="1" x14ac:dyDescent="0.25">
      <c r="C88" s="137" t="str">
        <f>IF(C74&lt;0,"See Tab B","")</f>
        <v/>
      </c>
      <c r="D88" s="137" t="str">
        <f>IF(D74&lt;0,"See Tab D","")</f>
        <v/>
      </c>
    </row>
    <row r="89" spans="2:11" x14ac:dyDescent="0.25">
      <c r="G89" s="660">
        <f>summ!H36</f>
        <v>12.68</v>
      </c>
      <c r="H89" s="633" t="str">
        <f>CONCATENATE("Total ",E1," Mill Rate")</f>
        <v>Total 2015 Mill Rate</v>
      </c>
      <c r="I89" s="655"/>
      <c r="J89" s="656"/>
    </row>
    <row r="90" spans="2:11" x14ac:dyDescent="0.25">
      <c r="G90" s="658">
        <f>summ!E36</f>
        <v>12.68</v>
      </c>
      <c r="H90" s="661" t="str">
        <f>CONCATENATE("Total ",E1-1," Mill Rate")</f>
        <v>Total 2014 Mill Rate</v>
      </c>
      <c r="I90" s="662"/>
      <c r="J90" s="663"/>
    </row>
    <row r="92" spans="2:11" x14ac:dyDescent="0.25">
      <c r="G92" s="762" t="s">
        <v>931</v>
      </c>
      <c r="H92" s="710"/>
      <c r="I92" s="709" t="str">
        <f>cert!E41</f>
        <v>No</v>
      </c>
    </row>
  </sheetData>
  <sheetProtection sheet="1"/>
  <mergeCells count="12">
    <mergeCell ref="G24:J24"/>
    <mergeCell ref="G31:J31"/>
    <mergeCell ref="G41:J41"/>
    <mergeCell ref="G64:J64"/>
    <mergeCell ref="G71:J71"/>
    <mergeCell ref="G81:J81"/>
    <mergeCell ref="C36:D36"/>
    <mergeCell ref="C37:D37"/>
    <mergeCell ref="C76:D76"/>
    <mergeCell ref="C77:D77"/>
    <mergeCell ref="C80:D80"/>
    <mergeCell ref="C40:D40"/>
  </mergeCells>
  <phoneticPr fontId="0" type="noConversion"/>
  <conditionalFormatting sqref="C71">
    <cfRule type="cellIs" dxfId="83" priority="3" stopIfTrue="1" operator="greaterThan">
      <formula>$C$73*0.1</formula>
    </cfRule>
  </conditionalFormatting>
  <conditionalFormatting sqref="D71">
    <cfRule type="cellIs" dxfId="82" priority="4" stopIfTrue="1" operator="greaterThan">
      <formula>$D$73*0.1</formula>
    </cfRule>
  </conditionalFormatting>
  <conditionalFormatting sqref="E71">
    <cfRule type="cellIs" dxfId="81" priority="5" stopIfTrue="1" operator="greaterThan">
      <formula>$E$73*0.1</formula>
    </cfRule>
  </conditionalFormatting>
  <conditionalFormatting sqref="C58">
    <cfRule type="cellIs" dxfId="80" priority="6" stopIfTrue="1" operator="greaterThan">
      <formula>$C$60*0.1</formula>
    </cfRule>
  </conditionalFormatting>
  <conditionalFormatting sqref="D58">
    <cfRule type="cellIs" dxfId="79" priority="7" stopIfTrue="1" operator="greaterThan">
      <formula>$D$60*0.1</formula>
    </cfRule>
  </conditionalFormatting>
  <conditionalFormatting sqref="E76">
    <cfRule type="cellIs" dxfId="78" priority="8" stopIfTrue="1" operator="greaterThan">
      <formula>$E$73/0.95-$E$73</formula>
    </cfRule>
  </conditionalFormatting>
  <conditionalFormatting sqref="C31">
    <cfRule type="cellIs" dxfId="77" priority="9" stopIfTrue="1" operator="greaterThan">
      <formula>$C$33*0.1</formula>
    </cfRule>
  </conditionalFormatting>
  <conditionalFormatting sqref="D31">
    <cfRule type="cellIs" dxfId="76" priority="10" stopIfTrue="1" operator="greaterThan">
      <formula>$D$33*0.1</formula>
    </cfRule>
  </conditionalFormatting>
  <conditionalFormatting sqref="E31">
    <cfRule type="cellIs" dxfId="75" priority="11" stopIfTrue="1" operator="greaterThan">
      <formula>$E$33*0.1</formula>
    </cfRule>
  </conditionalFormatting>
  <conditionalFormatting sqref="C18">
    <cfRule type="cellIs" dxfId="74" priority="12" stopIfTrue="1" operator="greaterThan">
      <formula>$C$20*0.1</formula>
    </cfRule>
  </conditionalFormatting>
  <conditionalFormatting sqref="D18">
    <cfRule type="cellIs" dxfId="73" priority="13" stopIfTrue="1" operator="greaterThan">
      <formula>$D$20*0.1</formula>
    </cfRule>
  </conditionalFormatting>
  <conditionalFormatting sqref="E36">
    <cfRule type="cellIs" dxfId="72" priority="14" stopIfTrue="1" operator="greaterThan">
      <formula>$E$33/0.95-$E$33</formula>
    </cfRule>
  </conditionalFormatting>
  <conditionalFormatting sqref="C74 C34">
    <cfRule type="cellIs" dxfId="71" priority="15" stopIfTrue="1" operator="lessThan">
      <formula>0</formula>
    </cfRule>
  </conditionalFormatting>
  <conditionalFormatting sqref="C73">
    <cfRule type="cellIs" dxfId="70" priority="16" stopIfTrue="1" operator="greaterThan">
      <formula>$C$75</formula>
    </cfRule>
  </conditionalFormatting>
  <conditionalFormatting sqref="D73">
    <cfRule type="cellIs" dxfId="69" priority="17" stopIfTrue="1" operator="greaterThan">
      <formula>$D$75</formula>
    </cfRule>
  </conditionalFormatting>
  <conditionalFormatting sqref="C33">
    <cfRule type="cellIs" dxfId="68" priority="18" stopIfTrue="1" operator="greaterThan">
      <formula>$C$35</formula>
    </cfRule>
  </conditionalFormatting>
  <conditionalFormatting sqref="D33">
    <cfRule type="cellIs" dxfId="67" priority="19" stopIfTrue="1" operator="greaterThan">
      <formula>$D$35</formula>
    </cfRule>
  </conditionalFormatting>
  <conditionalFormatting sqref="E18">
    <cfRule type="cellIs" dxfId="66" priority="20" stopIfTrue="1" operator="greaterThan">
      <formula>$E$20*0.1+$E$40</formula>
    </cfRule>
  </conditionalFormatting>
  <conditionalFormatting sqref="E58">
    <cfRule type="cellIs" dxfId="65" priority="21" stopIfTrue="1" operator="greaterThan">
      <formula>$E$60*0.1+$E$80</formula>
    </cfRule>
  </conditionalFormatting>
  <conditionalFormatting sqref="D34 D74">
    <cfRule type="cellIs" dxfId="64"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B1:K92"/>
  <sheetViews>
    <sheetView workbookViewId="0">
      <selection activeCell="P119" sqref="P119"/>
    </sheetView>
  </sheetViews>
  <sheetFormatPr defaultColWidth="8.796875" defaultRowHeight="15.75" x14ac:dyDescent="0.25"/>
  <cols>
    <col min="1" max="1" width="2.3984375" style="137" customWidth="1"/>
    <col min="2" max="2" width="31" style="137" customWidth="1"/>
    <col min="3" max="4" width="15.69921875" style="137" customWidth="1"/>
    <col min="5" max="5" width="12.69921875" style="137" customWidth="1"/>
    <col min="6" max="6" width="7.296875" style="137" customWidth="1"/>
    <col min="7" max="7" width="9.19921875" style="137" customWidth="1"/>
    <col min="8" max="8" width="8.796875" style="137"/>
    <col min="9" max="9" width="4.5" style="137" customWidth="1"/>
    <col min="10" max="10" width="9" style="137" customWidth="1"/>
    <col min="11" max="16384" width="8.796875" style="137"/>
  </cols>
  <sheetData>
    <row r="1" spans="2:5" x14ac:dyDescent="0.25">
      <c r="B1" s="203" t="str">
        <f>inputPrYr!D3</f>
        <v>Milton Township</v>
      </c>
      <c r="C1" s="48"/>
      <c r="D1" s="48"/>
      <c r="E1" s="204">
        <f>inputPrYr!D9</f>
        <v>2015</v>
      </c>
    </row>
    <row r="2" spans="2:5" x14ac:dyDescent="0.25">
      <c r="B2" s="513" t="s">
        <v>737</v>
      </c>
      <c r="C2" s="48"/>
      <c r="D2" s="187"/>
      <c r="E2" s="50"/>
    </row>
    <row r="3" spans="2:5" x14ac:dyDescent="0.25">
      <c r="B3" s="48"/>
      <c r="C3" s="53"/>
      <c r="D3" s="53"/>
      <c r="E3" s="53"/>
    </row>
    <row r="4" spans="2:5" x14ac:dyDescent="0.25">
      <c r="B4" s="55" t="s">
        <v>249</v>
      </c>
      <c r="C4" s="359" t="s">
        <v>250</v>
      </c>
      <c r="D4" s="362" t="s">
        <v>251</v>
      </c>
      <c r="E4" s="57" t="s">
        <v>252</v>
      </c>
    </row>
    <row r="5" spans="2:5" x14ac:dyDescent="0.25">
      <c r="B5" s="455">
        <f>inputPrYr!B30</f>
        <v>0</v>
      </c>
      <c r="C5" s="360" t="str">
        <f>gen!C5</f>
        <v>Actual for 2013</v>
      </c>
      <c r="D5" s="360" t="str">
        <f>gen!D5</f>
        <v>Estimate for 2014</v>
      </c>
      <c r="E5" s="62" t="str">
        <f>gen!E5</f>
        <v>Year for 2015</v>
      </c>
    </row>
    <row r="6" spans="2:5" x14ac:dyDescent="0.25">
      <c r="B6" s="63" t="s">
        <v>60</v>
      </c>
      <c r="C6" s="286"/>
      <c r="D6" s="361">
        <f>C34</f>
        <v>0</v>
      </c>
      <c r="E6" s="239">
        <f>D34</f>
        <v>0</v>
      </c>
    </row>
    <row r="7" spans="2:5" x14ac:dyDescent="0.25">
      <c r="B7" s="63" t="s">
        <v>62</v>
      </c>
      <c r="C7" s="361"/>
      <c r="D7" s="361"/>
      <c r="E7" s="288"/>
    </row>
    <row r="8" spans="2:5" x14ac:dyDescent="0.25">
      <c r="B8" s="63" t="s">
        <v>255</v>
      </c>
      <c r="C8" s="286"/>
      <c r="D8" s="361">
        <f>IF(inputPrYr!H19&gt;0,inputPrYr!G30,inputPrYr!E30)</f>
        <v>0</v>
      </c>
      <c r="E8" s="288" t="s">
        <v>234</v>
      </c>
    </row>
    <row r="9" spans="2:5" x14ac:dyDescent="0.25">
      <c r="B9" s="63" t="s">
        <v>256</v>
      </c>
      <c r="C9" s="286"/>
      <c r="D9" s="286"/>
      <c r="E9" s="151"/>
    </row>
    <row r="10" spans="2:5" x14ac:dyDescent="0.25">
      <c r="B10" s="63" t="s">
        <v>257</v>
      </c>
      <c r="C10" s="286"/>
      <c r="D10" s="286"/>
      <c r="E10" s="239">
        <f>mvalloc!G21</f>
        <v>0</v>
      </c>
    </row>
    <row r="11" spans="2:5" x14ac:dyDescent="0.25">
      <c r="B11" s="63" t="s">
        <v>258</v>
      </c>
      <c r="C11" s="286"/>
      <c r="D11" s="286"/>
      <c r="E11" s="239">
        <f>mvalloc!I21</f>
        <v>0</v>
      </c>
    </row>
    <row r="12" spans="2:5" x14ac:dyDescent="0.25">
      <c r="B12" s="63" t="s">
        <v>51</v>
      </c>
      <c r="C12" s="286"/>
      <c r="D12" s="286"/>
      <c r="E12" s="239">
        <f>mvalloc!J21</f>
        <v>0</v>
      </c>
    </row>
    <row r="13" spans="2:5" x14ac:dyDescent="0.25">
      <c r="B13" s="290"/>
      <c r="C13" s="286"/>
      <c r="D13" s="286"/>
      <c r="E13" s="151"/>
    </row>
    <row r="14" spans="2:5" x14ac:dyDescent="0.25">
      <c r="B14" s="290"/>
      <c r="C14" s="286"/>
      <c r="D14" s="286"/>
      <c r="E14" s="151"/>
    </row>
    <row r="15" spans="2:5" x14ac:dyDescent="0.25">
      <c r="B15" s="290"/>
      <c r="C15" s="286"/>
      <c r="D15" s="286"/>
      <c r="E15" s="151"/>
    </row>
    <row r="16" spans="2:5" x14ac:dyDescent="0.25">
      <c r="B16" s="291"/>
      <c r="C16" s="286"/>
      <c r="D16" s="286"/>
      <c r="E16" s="151"/>
    </row>
    <row r="17" spans="2:11" x14ac:dyDescent="0.25">
      <c r="B17" s="291" t="s">
        <v>261</v>
      </c>
      <c r="C17" s="286"/>
      <c r="D17" s="286"/>
      <c r="E17" s="151"/>
    </row>
    <row r="18" spans="2:11" x14ac:dyDescent="0.25">
      <c r="B18" s="292" t="s">
        <v>207</v>
      </c>
      <c r="C18" s="286"/>
      <c r="D18" s="286"/>
      <c r="E18" s="151"/>
    </row>
    <row r="19" spans="2:11" x14ac:dyDescent="0.25">
      <c r="B19" s="292" t="s">
        <v>208</v>
      </c>
      <c r="C19" s="363" t="str">
        <f>IF(C20*0.1&lt;C18,"Exceed 10% Rule","")</f>
        <v/>
      </c>
      <c r="D19" s="363" t="str">
        <f>IF(D20*0.1&lt;D18,"Exceed 10% Rule","")</f>
        <v/>
      </c>
      <c r="E19" s="296" t="str">
        <f>IF(E20*0.1+E40&lt;E18,"Exceed 10% Rule","")</f>
        <v/>
      </c>
    </row>
    <row r="20" spans="2:11" x14ac:dyDescent="0.25">
      <c r="B20" s="294" t="s">
        <v>262</v>
      </c>
      <c r="C20" s="364">
        <f>SUM(C8:C18)</f>
        <v>0</v>
      </c>
      <c r="D20" s="364">
        <f>SUM(D8:D18)</f>
        <v>0</v>
      </c>
      <c r="E20" s="295">
        <f>SUM(E8:E18)</f>
        <v>0</v>
      </c>
    </row>
    <row r="21" spans="2:11" x14ac:dyDescent="0.25">
      <c r="B21" s="81" t="s">
        <v>263</v>
      </c>
      <c r="C21" s="364">
        <f>C20+C6</f>
        <v>0</v>
      </c>
      <c r="D21" s="364">
        <f>D20+D6</f>
        <v>0</v>
      </c>
      <c r="E21" s="295">
        <f>E20+E6</f>
        <v>0</v>
      </c>
    </row>
    <row r="22" spans="2:11" x14ac:dyDescent="0.25">
      <c r="B22" s="63" t="s">
        <v>264</v>
      </c>
      <c r="C22" s="361"/>
      <c r="D22" s="361"/>
      <c r="E22" s="239"/>
    </row>
    <row r="23" spans="2:11" x14ac:dyDescent="0.25">
      <c r="B23" s="291"/>
      <c r="C23" s="286"/>
      <c r="D23" s="286"/>
      <c r="E23" s="151"/>
    </row>
    <row r="24" spans="2:11" x14ac:dyDescent="0.25">
      <c r="B24" s="291"/>
      <c r="C24" s="286"/>
      <c r="D24" s="286"/>
      <c r="E24" s="151"/>
      <c r="G24" s="866" t="str">
        <f>CONCATENATE("Desired Carryover Into ",E1+1,"")</f>
        <v>Desired Carryover Into 2016</v>
      </c>
      <c r="H24" s="867"/>
      <c r="I24" s="867"/>
      <c r="J24" s="868"/>
      <c r="K24" s="582"/>
    </row>
    <row r="25" spans="2:11" x14ac:dyDescent="0.25">
      <c r="B25" s="291"/>
      <c r="C25" s="286"/>
      <c r="D25" s="286"/>
      <c r="E25" s="151"/>
      <c r="G25" s="614"/>
      <c r="H25" s="615"/>
      <c r="I25" s="616"/>
      <c r="J25" s="617"/>
      <c r="K25" s="582"/>
    </row>
    <row r="26" spans="2:11" x14ac:dyDescent="0.25">
      <c r="B26" s="291"/>
      <c r="C26" s="286"/>
      <c r="D26" s="286"/>
      <c r="E26" s="151"/>
      <c r="G26" s="618" t="s">
        <v>701</v>
      </c>
      <c r="H26" s="616"/>
      <c r="I26" s="616"/>
      <c r="J26" s="619">
        <v>0</v>
      </c>
      <c r="K26" s="582"/>
    </row>
    <row r="27" spans="2:11" x14ac:dyDescent="0.25">
      <c r="B27" s="286"/>
      <c r="C27" s="286"/>
      <c r="D27" s="286"/>
      <c r="E27" s="151"/>
      <c r="G27" s="614" t="s">
        <v>702</v>
      </c>
      <c r="H27" s="615"/>
      <c r="I27" s="615"/>
      <c r="J27" s="620" t="str">
        <f>IF(J26=0,"",ROUND((J26+E40-G39)/inputOth!E11*1000,3)-G44)</f>
        <v/>
      </c>
      <c r="K27" s="582"/>
    </row>
    <row r="28" spans="2:11" x14ac:dyDescent="0.25">
      <c r="B28" s="291"/>
      <c r="C28" s="286"/>
      <c r="D28" s="286"/>
      <c r="E28" s="151"/>
      <c r="G28" s="621" t="str">
        <f>CONCATENATE("",E1," Tot Exp/Non-Appr Must Be:")</f>
        <v>2015 Tot Exp/Non-Appr Must Be:</v>
      </c>
      <c r="H28" s="622"/>
      <c r="I28" s="623"/>
      <c r="J28" s="624">
        <f>IF(J26&gt;0,IF(E37&lt;E21,IF(J26=G39,E37,((J26-G39)*(1-D39))+E21),E37+(J26-G39)),0)</f>
        <v>0</v>
      </c>
      <c r="K28" s="582"/>
    </row>
    <row r="29" spans="2:11" x14ac:dyDescent="0.25">
      <c r="B29" s="291"/>
      <c r="C29" s="286"/>
      <c r="D29" s="286"/>
      <c r="E29" s="151"/>
      <c r="G29" s="625" t="s">
        <v>831</v>
      </c>
      <c r="H29" s="626"/>
      <c r="I29" s="626"/>
      <c r="J29" s="627">
        <f>IF(J26&gt;0,J28-E37,0)</f>
        <v>0</v>
      </c>
      <c r="K29" s="582"/>
    </row>
    <row r="30" spans="2:11" x14ac:dyDescent="0.25">
      <c r="B30" s="289" t="s">
        <v>209</v>
      </c>
      <c r="C30" s="286"/>
      <c r="D30" s="286"/>
      <c r="E30" s="162" t="str">
        <f>nhood!E16</f>
        <v/>
      </c>
      <c r="G30" s="582"/>
      <c r="H30" s="582"/>
      <c r="I30" s="582"/>
      <c r="J30" s="582"/>
      <c r="K30" s="582"/>
    </row>
    <row r="31" spans="2:11" x14ac:dyDescent="0.25">
      <c r="B31" s="289" t="s">
        <v>207</v>
      </c>
      <c r="C31" s="286"/>
      <c r="D31" s="286"/>
      <c r="E31" s="151"/>
      <c r="G31" s="866" t="str">
        <f>CONCATENATE("Projected Carryover Into ",E1+1,"")</f>
        <v>Projected Carryover Into 2016</v>
      </c>
      <c r="H31" s="869"/>
      <c r="I31" s="869"/>
      <c r="J31" s="870"/>
      <c r="K31" s="582"/>
    </row>
    <row r="32" spans="2:11" x14ac:dyDescent="0.25">
      <c r="B32" s="289" t="s">
        <v>698</v>
      </c>
      <c r="C32" s="363" t="str">
        <f>IF(C33*0.1&lt;C31,"Exceed 10% Rule","")</f>
        <v/>
      </c>
      <c r="D32" s="363" t="str">
        <f>IF(D33*0.1&lt;D31,"Exceed 10% Rule","")</f>
        <v/>
      </c>
      <c r="E32" s="296" t="str">
        <f>IF(E33*0.1&lt;E31,"Exceed 10% Rule","")</f>
        <v/>
      </c>
      <c r="G32" s="614"/>
      <c r="H32" s="616"/>
      <c r="I32" s="616"/>
      <c r="J32" s="629"/>
      <c r="K32" s="582"/>
    </row>
    <row r="33" spans="2:11" x14ac:dyDescent="0.25">
      <c r="B33" s="81" t="s">
        <v>265</v>
      </c>
      <c r="C33" s="364">
        <f>SUM(C23:C31)</f>
        <v>0</v>
      </c>
      <c r="D33" s="364">
        <f>SUM(D23:D31)</f>
        <v>0</v>
      </c>
      <c r="E33" s="295">
        <f>SUM(E23:E31)</f>
        <v>0</v>
      </c>
      <c r="G33" s="632">
        <f>D34</f>
        <v>0</v>
      </c>
      <c r="H33" s="633" t="str">
        <f>CONCATENATE("",E1-1," Ending Cash Balance (est.)")</f>
        <v>2014 Ending Cash Balance (est.)</v>
      </c>
      <c r="I33" s="634"/>
      <c r="J33" s="629"/>
      <c r="K33" s="582"/>
    </row>
    <row r="34" spans="2:11" x14ac:dyDescent="0.25">
      <c r="B34" s="63" t="s">
        <v>61</v>
      </c>
      <c r="C34" s="365">
        <f>C21-C33</f>
        <v>0</v>
      </c>
      <c r="D34" s="365">
        <f>D21-D33</f>
        <v>0</v>
      </c>
      <c r="E34" s="288" t="s">
        <v>234</v>
      </c>
      <c r="G34" s="632">
        <f>E20</f>
        <v>0</v>
      </c>
      <c r="H34" s="616" t="str">
        <f>CONCATENATE("",E1," Non-AV Receipts (est.)")</f>
        <v>2015 Non-AV Receipts (est.)</v>
      </c>
      <c r="I34" s="634"/>
      <c r="J34" s="629"/>
      <c r="K34" s="582"/>
    </row>
    <row r="35" spans="2:11" x14ac:dyDescent="0.2">
      <c r="B35" s="98" t="str">
        <f>CONCATENATE("",E1-2,"/",E1-1,"/",E1," Budget Authority Amount:")</f>
        <v>2013/2014/2015 Budget Authority Amount:</v>
      </c>
      <c r="C35" s="724">
        <f>inputOth!$B93</f>
        <v>0</v>
      </c>
      <c r="D35" s="724">
        <f>inputPrYr!$D30</f>
        <v>0</v>
      </c>
      <c r="E35" s="239">
        <f>E33</f>
        <v>0</v>
      </c>
      <c r="F35" s="297"/>
      <c r="G35" s="639">
        <f>IF(E39&gt;0,E38,E40)</f>
        <v>0</v>
      </c>
      <c r="H35" s="616" t="str">
        <f>CONCATENATE("",E1," Ad Valorem Tax (est.)")</f>
        <v>2015 Ad Valorem Tax (est.)</v>
      </c>
      <c r="I35" s="634"/>
      <c r="J35" s="629"/>
      <c r="K35" s="640" t="str">
        <f>IF(G35=E40,"","Note: Does not include Delinquent Taxes")</f>
        <v/>
      </c>
    </row>
    <row r="36" spans="2:11" x14ac:dyDescent="0.25">
      <c r="B36" s="99"/>
      <c r="C36" s="852" t="s">
        <v>695</v>
      </c>
      <c r="D36" s="853"/>
      <c r="E36" s="151"/>
      <c r="F36" s="699" t="str">
        <f>IF(E33/0.95-E33&lt;E36,"Exceeds 5%","")</f>
        <v/>
      </c>
      <c r="G36" s="632">
        <f>SUM(G33:G35)</f>
        <v>0</v>
      </c>
      <c r="H36" s="616" t="str">
        <f>CONCATENATE("Total ",E1," Resources Available")</f>
        <v>Total 2015 Resources Available</v>
      </c>
      <c r="I36" s="634"/>
      <c r="J36" s="629"/>
      <c r="K36" s="582"/>
    </row>
    <row r="37" spans="2:11" x14ac:dyDescent="0.25">
      <c r="B37" s="470" t="str">
        <f>CONCATENATE(C85,"     ",D85)</f>
        <v xml:space="preserve">     </v>
      </c>
      <c r="C37" s="854" t="s">
        <v>696</v>
      </c>
      <c r="D37" s="855"/>
      <c r="E37" s="239">
        <f>E33+E36</f>
        <v>0</v>
      </c>
      <c r="G37" s="643"/>
      <c r="H37" s="616"/>
      <c r="I37" s="616"/>
      <c r="J37" s="629"/>
      <c r="K37" s="582"/>
    </row>
    <row r="38" spans="2:11" x14ac:dyDescent="0.25">
      <c r="B38" s="470" t="str">
        <f>CONCATENATE(C86,"     ",D86)</f>
        <v xml:space="preserve">     </v>
      </c>
      <c r="C38" s="473"/>
      <c r="D38" s="472" t="s">
        <v>267</v>
      </c>
      <c r="E38" s="162">
        <f>IF(E37-E21&gt;0,E37-E21,0)</f>
        <v>0</v>
      </c>
      <c r="G38" s="639">
        <f>ROUND(C33*0.05+C33,0)</f>
        <v>0</v>
      </c>
      <c r="H38" s="616" t="str">
        <f>CONCATENATE("Less ",E1-2," Expenditures + 5%")</f>
        <v>Less 2013 Expenditures + 5%</v>
      </c>
      <c r="I38" s="616"/>
      <c r="J38" s="629"/>
      <c r="K38" s="582"/>
    </row>
    <row r="39" spans="2:11" x14ac:dyDescent="0.25">
      <c r="B39" s="190"/>
      <c r="C39" s="471" t="s">
        <v>697</v>
      </c>
      <c r="D39" s="683">
        <f>inputOth!$E$77</f>
        <v>0</v>
      </c>
      <c r="E39" s="239">
        <f>ROUND(IF(D39&gt;0,(E38*D39),0),0)</f>
        <v>0</v>
      </c>
      <c r="G39" s="647">
        <f>G36-G38</f>
        <v>0</v>
      </c>
      <c r="H39" s="648" t="str">
        <f>CONCATENATE("Projected ",E1+1," carryover (est.)")</f>
        <v>Projected 2016 carryover (est.)</v>
      </c>
      <c r="I39" s="649"/>
      <c r="J39" s="650"/>
      <c r="K39" s="582"/>
    </row>
    <row r="40" spans="2:11" x14ac:dyDescent="0.25">
      <c r="B40" s="48"/>
      <c r="C40" s="856" t="str">
        <f>CONCATENATE("Amount of  ",$E$1-1," Ad Valorem Tax")</f>
        <v>Amount of  2014 Ad Valorem Tax</v>
      </c>
      <c r="D40" s="857"/>
      <c r="E40" s="162">
        <f>E38+E39</f>
        <v>0</v>
      </c>
      <c r="G40" s="582"/>
      <c r="H40" s="582"/>
      <c r="I40" s="582"/>
      <c r="J40" s="582"/>
      <c r="K40" s="582"/>
    </row>
    <row r="41" spans="2:11" x14ac:dyDescent="0.25">
      <c r="B41" s="48"/>
      <c r="C41" s="529"/>
      <c r="D41" s="48"/>
      <c r="E41" s="48"/>
      <c r="G41" s="863" t="s">
        <v>832</v>
      </c>
      <c r="H41" s="864"/>
      <c r="I41" s="864"/>
      <c r="J41" s="865"/>
      <c r="K41" s="582"/>
    </row>
    <row r="42" spans="2:11" x14ac:dyDescent="0.25">
      <c r="B42" s="48"/>
      <c r="C42" s="529"/>
      <c r="D42" s="48"/>
      <c r="E42" s="48"/>
      <c r="G42" s="654"/>
      <c r="H42" s="633"/>
      <c r="I42" s="655"/>
      <c r="J42" s="656"/>
      <c r="K42" s="582"/>
    </row>
    <row r="43" spans="2:11" x14ac:dyDescent="0.25">
      <c r="B43" s="55" t="s">
        <v>249</v>
      </c>
      <c r="C43" s="53"/>
      <c r="D43" s="53"/>
      <c r="E43" s="53"/>
      <c r="G43" s="657" t="str">
        <f>summ!H28</f>
        <v xml:space="preserve"> </v>
      </c>
      <c r="H43" s="633" t="str">
        <f>CONCATENATE("",E1," Fund Mill Rate")</f>
        <v>2015 Fund Mill Rate</v>
      </c>
      <c r="I43" s="655"/>
      <c r="J43" s="656"/>
      <c r="K43" s="582"/>
    </row>
    <row r="44" spans="2:11" x14ac:dyDescent="0.25">
      <c r="B44" s="48"/>
      <c r="C44" s="359" t="s">
        <v>250</v>
      </c>
      <c r="D44" s="362" t="s">
        <v>251</v>
      </c>
      <c r="E44" s="57" t="s">
        <v>252</v>
      </c>
      <c r="G44" s="658" t="str">
        <f>summ!E28</f>
        <v xml:space="preserve">  </v>
      </c>
      <c r="H44" s="633" t="str">
        <f>CONCATENATE("",E1-1," Fund Mill Rate")</f>
        <v>2014 Fund Mill Rate</v>
      </c>
      <c r="I44" s="655"/>
      <c r="J44" s="656"/>
      <c r="K44" s="582"/>
    </row>
    <row r="45" spans="2:11" x14ac:dyDescent="0.25">
      <c r="B45" s="456">
        <f>inputPrYr!B31</f>
        <v>0</v>
      </c>
      <c r="C45" s="360" t="str">
        <f>C5</f>
        <v>Actual for 2013</v>
      </c>
      <c r="D45" s="360" t="str">
        <f>D5</f>
        <v>Estimate for 2014</v>
      </c>
      <c r="E45" s="62" t="str">
        <f>E5</f>
        <v>Year for 2015</v>
      </c>
      <c r="G45" s="660">
        <f>summ!H36</f>
        <v>12.68</v>
      </c>
      <c r="H45" s="633" t="str">
        <f>CONCATENATE("Total ",E1," Mill Rate")</f>
        <v>Total 2015 Mill Rate</v>
      </c>
      <c r="I45" s="655"/>
      <c r="J45" s="656"/>
      <c r="K45" s="582"/>
    </row>
    <row r="46" spans="2:11" x14ac:dyDescent="0.25">
      <c r="B46" s="63" t="s">
        <v>60</v>
      </c>
      <c r="C46" s="286"/>
      <c r="D46" s="361">
        <f>C74</f>
        <v>0</v>
      </c>
      <c r="E46" s="239">
        <f>D74</f>
        <v>0</v>
      </c>
      <c r="G46" s="658">
        <f>summ!E36</f>
        <v>12.68</v>
      </c>
      <c r="H46" s="661" t="str">
        <f>CONCATENATE("Total ",E1-1," Mill Rate")</f>
        <v>Total 2014 Mill Rate</v>
      </c>
      <c r="I46" s="662"/>
      <c r="J46" s="663"/>
      <c r="K46" s="582"/>
    </row>
    <row r="47" spans="2:11" x14ac:dyDescent="0.25">
      <c r="B47" s="63" t="s">
        <v>62</v>
      </c>
      <c r="C47" s="361"/>
      <c r="D47" s="361"/>
      <c r="E47" s="288"/>
      <c r="G47" s="582"/>
      <c r="H47" s="582"/>
      <c r="I47" s="582"/>
      <c r="J47" s="582"/>
      <c r="K47" s="582"/>
    </row>
    <row r="48" spans="2:11" x14ac:dyDescent="0.25">
      <c r="B48" s="63" t="s">
        <v>255</v>
      </c>
      <c r="C48" s="286"/>
      <c r="D48" s="361">
        <f>IF(inputPrYr!H19&gt;0,inputPrYr!G31,inputPrYr!E31)</f>
        <v>0</v>
      </c>
      <c r="E48" s="288" t="s">
        <v>234</v>
      </c>
      <c r="G48" s="763" t="s">
        <v>931</v>
      </c>
      <c r="H48" s="710"/>
      <c r="I48" s="709" t="str">
        <f>cert!E41</f>
        <v>No</v>
      </c>
      <c r="J48" s="582"/>
      <c r="K48" s="582"/>
    </row>
    <row r="49" spans="2:11" x14ac:dyDescent="0.25">
      <c r="B49" s="63" t="s">
        <v>256</v>
      </c>
      <c r="C49" s="286"/>
      <c r="D49" s="286"/>
      <c r="E49" s="151"/>
      <c r="G49" s="582"/>
      <c r="H49" s="582"/>
      <c r="I49" s="582"/>
      <c r="J49" s="582"/>
      <c r="K49" s="582"/>
    </row>
    <row r="50" spans="2:11" x14ac:dyDescent="0.25">
      <c r="B50" s="63" t="s">
        <v>257</v>
      </c>
      <c r="C50" s="286"/>
      <c r="D50" s="286"/>
      <c r="E50" s="239">
        <f>mvalloc!G22</f>
        <v>0</v>
      </c>
      <c r="G50" s="582"/>
      <c r="H50" s="582"/>
      <c r="I50" s="582"/>
      <c r="J50" s="582"/>
      <c r="K50" s="582"/>
    </row>
    <row r="51" spans="2:11" x14ac:dyDescent="0.25">
      <c r="B51" s="63" t="s">
        <v>258</v>
      </c>
      <c r="C51" s="286"/>
      <c r="D51" s="286"/>
      <c r="E51" s="239">
        <f>mvalloc!I22</f>
        <v>0</v>
      </c>
      <c r="G51" s="582"/>
      <c r="H51" s="582"/>
      <c r="I51" s="582"/>
      <c r="J51" s="582"/>
      <c r="K51" s="582"/>
    </row>
    <row r="52" spans="2:11" x14ac:dyDescent="0.25">
      <c r="B52" s="63" t="s">
        <v>51</v>
      </c>
      <c r="C52" s="286"/>
      <c r="D52" s="286"/>
      <c r="E52" s="239">
        <f>mvalloc!J22</f>
        <v>0</v>
      </c>
      <c r="G52" s="582"/>
      <c r="H52" s="582"/>
      <c r="I52" s="582"/>
      <c r="J52" s="582"/>
      <c r="K52" s="582"/>
    </row>
    <row r="53" spans="2:11" x14ac:dyDescent="0.25">
      <c r="B53" s="290"/>
      <c r="C53" s="286"/>
      <c r="D53" s="286"/>
      <c r="E53" s="151"/>
      <c r="G53" s="582"/>
      <c r="H53" s="582"/>
      <c r="I53" s="582"/>
      <c r="J53" s="582"/>
      <c r="K53" s="582"/>
    </row>
    <row r="54" spans="2:11" x14ac:dyDescent="0.25">
      <c r="B54" s="290"/>
      <c r="C54" s="286"/>
      <c r="D54" s="286"/>
      <c r="E54" s="151"/>
      <c r="G54" s="582"/>
      <c r="H54" s="582"/>
      <c r="I54" s="582"/>
      <c r="J54" s="582"/>
      <c r="K54" s="582"/>
    </row>
    <row r="55" spans="2:11" x14ac:dyDescent="0.25">
      <c r="B55" s="290"/>
      <c r="C55" s="286"/>
      <c r="D55" s="286"/>
      <c r="E55" s="151"/>
      <c r="G55" s="582"/>
      <c r="H55" s="582"/>
      <c r="I55" s="582"/>
      <c r="J55" s="582"/>
      <c r="K55" s="582"/>
    </row>
    <row r="56" spans="2:11" x14ac:dyDescent="0.25">
      <c r="B56" s="291"/>
      <c r="C56" s="286"/>
      <c r="D56" s="286"/>
      <c r="E56" s="151"/>
      <c r="G56" s="582"/>
      <c r="H56" s="582"/>
      <c r="I56" s="582"/>
      <c r="J56" s="582"/>
      <c r="K56" s="582"/>
    </row>
    <row r="57" spans="2:11" x14ac:dyDescent="0.25">
      <c r="B57" s="291" t="s">
        <v>261</v>
      </c>
      <c r="C57" s="286"/>
      <c r="D57" s="286"/>
      <c r="E57" s="151"/>
      <c r="G57" s="582"/>
      <c r="H57" s="582"/>
      <c r="I57" s="582"/>
      <c r="J57" s="582"/>
      <c r="K57" s="582"/>
    </row>
    <row r="58" spans="2:11" x14ac:dyDescent="0.25">
      <c r="B58" s="292" t="s">
        <v>207</v>
      </c>
      <c r="C58" s="286"/>
      <c r="D58" s="286"/>
      <c r="E58" s="151"/>
      <c r="G58" s="582"/>
      <c r="H58" s="582"/>
      <c r="I58" s="582"/>
      <c r="J58" s="582"/>
      <c r="K58" s="582"/>
    </row>
    <row r="59" spans="2:11" x14ac:dyDescent="0.25">
      <c r="B59" s="292" t="s">
        <v>208</v>
      </c>
      <c r="C59" s="363" t="str">
        <f>IF(C60*0.1&lt;C58,"Exceed 10% Rule","")</f>
        <v/>
      </c>
      <c r="D59" s="363" t="str">
        <f>IF(D60*0.1&lt;D58,"Exceed 10% Rule","")</f>
        <v/>
      </c>
      <c r="E59" s="296" t="str">
        <f>IF(E60*0.1+E80&lt;E58,"Exceed 10% Rule","")</f>
        <v/>
      </c>
      <c r="G59" s="582"/>
      <c r="H59" s="582"/>
      <c r="I59" s="582"/>
      <c r="J59" s="582"/>
      <c r="K59" s="582"/>
    </row>
    <row r="60" spans="2:11" x14ac:dyDescent="0.25">
      <c r="B60" s="294" t="s">
        <v>262</v>
      </c>
      <c r="C60" s="364">
        <f>SUM(C48:C58)</f>
        <v>0</v>
      </c>
      <c r="D60" s="364">
        <f>SUM(D48:D58)</f>
        <v>0</v>
      </c>
      <c r="E60" s="295">
        <f>SUM(E48:E58)</f>
        <v>0</v>
      </c>
      <c r="G60" s="582"/>
      <c r="H60" s="582"/>
      <c r="I60" s="582"/>
      <c r="J60" s="582"/>
      <c r="K60" s="582"/>
    </row>
    <row r="61" spans="2:11" x14ac:dyDescent="0.25">
      <c r="B61" s="81" t="s">
        <v>263</v>
      </c>
      <c r="C61" s="364">
        <f>C60+C46</f>
        <v>0</v>
      </c>
      <c r="D61" s="364">
        <f>D60+D46</f>
        <v>0</v>
      </c>
      <c r="E61" s="295">
        <f>E60+E46</f>
        <v>0</v>
      </c>
      <c r="G61" s="582"/>
      <c r="H61" s="582"/>
      <c r="I61" s="582"/>
      <c r="J61" s="582"/>
      <c r="K61" s="582"/>
    </row>
    <row r="62" spans="2:11" x14ac:dyDescent="0.25">
      <c r="B62" s="63" t="s">
        <v>264</v>
      </c>
      <c r="C62" s="361"/>
      <c r="D62" s="361"/>
      <c r="E62" s="239"/>
      <c r="G62" s="582"/>
      <c r="H62" s="582"/>
      <c r="I62" s="582"/>
      <c r="J62" s="582"/>
      <c r="K62" s="582"/>
    </row>
    <row r="63" spans="2:11" x14ac:dyDescent="0.25">
      <c r="B63" s="291"/>
      <c r="C63" s="286"/>
      <c r="D63" s="286"/>
      <c r="E63" s="151"/>
      <c r="G63" s="582"/>
      <c r="H63" s="582"/>
      <c r="I63" s="582"/>
      <c r="J63" s="582"/>
      <c r="K63" s="582"/>
    </row>
    <row r="64" spans="2:11" x14ac:dyDescent="0.25">
      <c r="B64" s="291"/>
      <c r="C64" s="286"/>
      <c r="D64" s="286"/>
      <c r="E64" s="151"/>
      <c r="G64" s="866" t="str">
        <f>CONCATENATE("Desired Carryover Into ",E1+1,"")</f>
        <v>Desired Carryover Into 2016</v>
      </c>
      <c r="H64" s="867"/>
      <c r="I64" s="867"/>
      <c r="J64" s="868"/>
      <c r="K64" s="582"/>
    </row>
    <row r="65" spans="2:11" x14ac:dyDescent="0.25">
      <c r="B65" s="291"/>
      <c r="C65" s="286"/>
      <c r="D65" s="286"/>
      <c r="E65" s="151"/>
      <c r="G65" s="614"/>
      <c r="H65" s="615"/>
      <c r="I65" s="616"/>
      <c r="J65" s="617"/>
      <c r="K65" s="582"/>
    </row>
    <row r="66" spans="2:11" x14ac:dyDescent="0.25">
      <c r="B66" s="291"/>
      <c r="C66" s="286"/>
      <c r="D66" s="286"/>
      <c r="E66" s="151"/>
      <c r="G66" s="618" t="s">
        <v>701</v>
      </c>
      <c r="H66" s="616"/>
      <c r="I66" s="616"/>
      <c r="J66" s="619">
        <v>0</v>
      </c>
      <c r="K66" s="582"/>
    </row>
    <row r="67" spans="2:11" x14ac:dyDescent="0.25">
      <c r="B67" s="291"/>
      <c r="C67" s="286"/>
      <c r="D67" s="286"/>
      <c r="E67" s="151"/>
      <c r="G67" s="614" t="s">
        <v>702</v>
      </c>
      <c r="H67" s="615"/>
      <c r="I67" s="615"/>
      <c r="J67" s="620" t="str">
        <f>IF(J66=0,"",ROUND((J66+E80-G79)/inputOth!E11*1000,3)-G84)</f>
        <v/>
      </c>
      <c r="K67" s="582"/>
    </row>
    <row r="68" spans="2:11" x14ac:dyDescent="0.25">
      <c r="B68" s="291"/>
      <c r="C68" s="286"/>
      <c r="D68" s="286"/>
      <c r="E68" s="151"/>
      <c r="G68" s="621" t="str">
        <f>CONCATENATE("",E1," Tot Exp/Non-Appr Must Be:")</f>
        <v>2015 Tot Exp/Non-Appr Must Be:</v>
      </c>
      <c r="H68" s="622"/>
      <c r="I68" s="623"/>
      <c r="J68" s="624">
        <f>IF(J66&gt;0,IF(E77&lt;E61,IF(J66=G79,E77,((J66-G79)*(1-D79))+E61),E77+(J66-G79)),0)</f>
        <v>0</v>
      </c>
      <c r="K68" s="582"/>
    </row>
    <row r="69" spans="2:11" x14ac:dyDescent="0.25">
      <c r="B69" s="291"/>
      <c r="C69" s="286"/>
      <c r="D69" s="286"/>
      <c r="E69" s="151"/>
      <c r="G69" s="625" t="s">
        <v>831</v>
      </c>
      <c r="H69" s="626"/>
      <c r="I69" s="626"/>
      <c r="J69" s="627">
        <f>IF(J66&gt;0,J68-E77,0)</f>
        <v>0</v>
      </c>
      <c r="K69" s="582"/>
    </row>
    <row r="70" spans="2:11" x14ac:dyDescent="0.25">
      <c r="B70" s="289" t="s">
        <v>209</v>
      </c>
      <c r="C70" s="286"/>
      <c r="D70" s="286"/>
      <c r="E70" s="162" t="str">
        <f>nhood!E17</f>
        <v/>
      </c>
      <c r="G70" s="582"/>
      <c r="H70" s="582"/>
      <c r="I70" s="582"/>
      <c r="J70" s="582"/>
      <c r="K70" s="582"/>
    </row>
    <row r="71" spans="2:11" x14ac:dyDescent="0.25">
      <c r="B71" s="289" t="s">
        <v>207</v>
      </c>
      <c r="C71" s="286"/>
      <c r="D71" s="286"/>
      <c r="E71" s="151"/>
      <c r="G71" s="866" t="str">
        <f>CONCATENATE("Projected Carryover Into ",E1+1,"")</f>
        <v>Projected Carryover Into 2016</v>
      </c>
      <c r="H71" s="871"/>
      <c r="I71" s="871"/>
      <c r="J71" s="870"/>
      <c r="K71" s="582"/>
    </row>
    <row r="72" spans="2:11" x14ac:dyDescent="0.25">
      <c r="B72" s="289" t="s">
        <v>698</v>
      </c>
      <c r="C72" s="363" t="str">
        <f>IF(C73*0.1&lt;C71,"Exceed 10% Rule","")</f>
        <v/>
      </c>
      <c r="D72" s="363" t="str">
        <f>IF(D73*0.1&lt;D71,"Exceed 10% Rule","")</f>
        <v/>
      </c>
      <c r="E72" s="296" t="str">
        <f>IF(E73*0.1&lt;E71,"Exceed 10% Rule","")</f>
        <v/>
      </c>
      <c r="G72" s="666"/>
      <c r="H72" s="615"/>
      <c r="I72" s="615"/>
      <c r="J72" s="667"/>
      <c r="K72" s="582"/>
    </row>
    <row r="73" spans="2:11" x14ac:dyDescent="0.25">
      <c r="B73" s="81" t="s">
        <v>265</v>
      </c>
      <c r="C73" s="364">
        <f>SUM(C63:C71)</f>
        <v>0</v>
      </c>
      <c r="D73" s="364">
        <f>SUM(D63:D71)</f>
        <v>0</v>
      </c>
      <c r="E73" s="295">
        <f>SUM(E63:E71)</f>
        <v>0</v>
      </c>
      <c r="G73" s="632">
        <f>D74</f>
        <v>0</v>
      </c>
      <c r="H73" s="633" t="str">
        <f>CONCATENATE("",E1-1," Ending Cash Balance (est.)")</f>
        <v>2014 Ending Cash Balance (est.)</v>
      </c>
      <c r="I73" s="634"/>
      <c r="J73" s="667"/>
      <c r="K73" s="582"/>
    </row>
    <row r="74" spans="2:11" x14ac:dyDescent="0.25">
      <c r="B74" s="63" t="s">
        <v>61</v>
      </c>
      <c r="C74" s="365">
        <f>C61-C73</f>
        <v>0</v>
      </c>
      <c r="D74" s="365">
        <f>D61-D73</f>
        <v>0</v>
      </c>
      <c r="E74" s="288" t="s">
        <v>234</v>
      </c>
      <c r="G74" s="632">
        <f>E60</f>
        <v>0</v>
      </c>
      <c r="H74" s="616" t="str">
        <f>CONCATENATE("",E1," Non-AV Receipts (est.)")</f>
        <v>2015 Non-AV Receipts (est.)</v>
      </c>
      <c r="I74" s="634"/>
      <c r="J74" s="667"/>
      <c r="K74" s="582"/>
    </row>
    <row r="75" spans="2:11" x14ac:dyDescent="0.25">
      <c r="B75" s="98" t="str">
        <f>CONCATENATE("",E1-2,"/",E1-1,"/",E1," Budget Authority Amount:")</f>
        <v>2013/2014/2015 Budget Authority Amount:</v>
      </c>
      <c r="C75" s="724">
        <f>inputOth!$B94</f>
        <v>0</v>
      </c>
      <c r="D75" s="724">
        <f>inputPrYr!$D31</f>
        <v>0</v>
      </c>
      <c r="E75" s="239">
        <f>E73</f>
        <v>0</v>
      </c>
      <c r="F75" s="297"/>
      <c r="G75" s="639">
        <f>IF(E79&gt;0,E78,E80)</f>
        <v>0</v>
      </c>
      <c r="H75" s="616" t="str">
        <f>CONCATENATE("",E1," Ad Valorem Tax (est.)")</f>
        <v>2015 Ad Valorem Tax (est.)</v>
      </c>
      <c r="I75" s="634"/>
      <c r="J75" s="667"/>
      <c r="K75" s="640" t="str">
        <f>IF(G75=E80,"","Note: Does not include Delinquent Taxes")</f>
        <v/>
      </c>
    </row>
    <row r="76" spans="2:11" x14ac:dyDescent="0.25">
      <c r="B76" s="99"/>
      <c r="C76" s="852" t="s">
        <v>695</v>
      </c>
      <c r="D76" s="853"/>
      <c r="E76" s="151"/>
      <c r="F76" s="699" t="str">
        <f>IF(E73/0.95-E73&lt;E76,"Exceeds 5%","")</f>
        <v/>
      </c>
      <c r="G76" s="669">
        <f>SUM(G73:G75)</f>
        <v>0</v>
      </c>
      <c r="H76" s="616" t="str">
        <f>CONCATENATE("Total ",E1," Resources Available")</f>
        <v>Total 2015 Resources Available</v>
      </c>
      <c r="I76" s="670"/>
      <c r="J76" s="667"/>
      <c r="K76" s="582"/>
    </row>
    <row r="77" spans="2:11" x14ac:dyDescent="0.25">
      <c r="B77" s="470" t="str">
        <f>CONCATENATE(C87,"     ",D87)</f>
        <v xml:space="preserve">     </v>
      </c>
      <c r="C77" s="854" t="s">
        <v>696</v>
      </c>
      <c r="D77" s="855"/>
      <c r="E77" s="239">
        <f>E73+E76</f>
        <v>0</v>
      </c>
      <c r="G77" s="671"/>
      <c r="H77" s="672"/>
      <c r="I77" s="615"/>
      <c r="J77" s="667"/>
      <c r="K77" s="582"/>
    </row>
    <row r="78" spans="2:11" x14ac:dyDescent="0.25">
      <c r="B78" s="470" t="str">
        <f>CONCATENATE(C88,"     ",D88)</f>
        <v xml:space="preserve">     </v>
      </c>
      <c r="C78" s="473"/>
      <c r="D78" s="472" t="s">
        <v>267</v>
      </c>
      <c r="E78" s="162">
        <f>IF(E77-E61&gt;0,E77-E61,0)</f>
        <v>0</v>
      </c>
      <c r="G78" s="639">
        <f>ROUND(C73*0.05+C73,0)</f>
        <v>0</v>
      </c>
      <c r="H78" s="616" t="str">
        <f>CONCATENATE("Less ",E1-2," Expenditures + 5%")</f>
        <v>Less 2013 Expenditures + 5%</v>
      </c>
      <c r="I78" s="670"/>
      <c r="J78" s="667"/>
      <c r="K78" s="582"/>
    </row>
    <row r="79" spans="2:11" x14ac:dyDescent="0.25">
      <c r="B79" s="190"/>
      <c r="C79" s="471" t="s">
        <v>697</v>
      </c>
      <c r="D79" s="683">
        <f>inputOth!$E$77</f>
        <v>0</v>
      </c>
      <c r="E79" s="239">
        <f>ROUND(IF(D79&gt;0,(E78*D79),0),0)</f>
        <v>0</v>
      </c>
      <c r="G79" s="647">
        <f>G76-G78</f>
        <v>0</v>
      </c>
      <c r="H79" s="648" t="str">
        <f>CONCATENATE("Projected ",E1+1," carryover (est.)")</f>
        <v>Projected 2016 carryover (est.)</v>
      </c>
      <c r="I79" s="673"/>
      <c r="J79" s="674"/>
      <c r="K79" s="582"/>
    </row>
    <row r="80" spans="2:11" x14ac:dyDescent="0.25">
      <c r="B80" s="48"/>
      <c r="C80" s="856" t="str">
        <f>CONCATENATE("Amount of  ",$E$1-1," Ad Valorem Tax")</f>
        <v>Amount of  2014 Ad Valorem Tax</v>
      </c>
      <c r="D80" s="857"/>
      <c r="E80" s="162">
        <f>E78+E79</f>
        <v>0</v>
      </c>
      <c r="G80" s="582"/>
      <c r="H80" s="582"/>
      <c r="I80" s="582"/>
      <c r="J80" s="582"/>
      <c r="K80" s="582"/>
    </row>
    <row r="81" spans="2:11" x14ac:dyDescent="0.25">
      <c r="B81" s="190" t="s">
        <v>248</v>
      </c>
      <c r="C81" s="191"/>
      <c r="D81" s="48"/>
      <c r="E81" s="48"/>
      <c r="G81" s="863" t="s">
        <v>832</v>
      </c>
      <c r="H81" s="864"/>
      <c r="I81" s="864"/>
      <c r="J81" s="865"/>
      <c r="K81" s="582"/>
    </row>
    <row r="82" spans="2:11" x14ac:dyDescent="0.25">
      <c r="B82" s="95"/>
      <c r="G82" s="654"/>
      <c r="H82" s="633"/>
      <c r="I82" s="655"/>
      <c r="J82" s="656"/>
      <c r="K82" s="582"/>
    </row>
    <row r="83" spans="2:11" x14ac:dyDescent="0.25">
      <c r="G83" s="657" t="str">
        <f>summ!H29</f>
        <v xml:space="preserve"> </v>
      </c>
      <c r="H83" s="633" t="str">
        <f>CONCATENATE("",E1," Fund Mill Rate")</f>
        <v>2015 Fund Mill Rate</v>
      </c>
      <c r="I83" s="655"/>
      <c r="J83" s="656"/>
      <c r="K83" s="582"/>
    </row>
    <row r="84" spans="2:11" x14ac:dyDescent="0.25">
      <c r="G84" s="658" t="str">
        <f>summ!E29</f>
        <v xml:space="preserve">  </v>
      </c>
      <c r="H84" s="633" t="str">
        <f>CONCATENATE("",E1-1," Fund Mill Rate")</f>
        <v>2014 Fund Mill Rate</v>
      </c>
      <c r="I84" s="655"/>
      <c r="J84" s="656"/>
      <c r="K84" s="582"/>
    </row>
    <row r="85" spans="2:11" hidden="1" x14ac:dyDescent="0.25">
      <c r="C85" s="137" t="str">
        <f>IF(C33&gt;C35,"See Tab A","")</f>
        <v/>
      </c>
      <c r="D85" s="137" t="str">
        <f>IF(D33&gt;D35,"See Tab C","")</f>
        <v/>
      </c>
      <c r="G85" s="660">
        <f>[1]summ!I36</f>
        <v>0</v>
      </c>
      <c r="H85" s="633" t="str">
        <f>CONCATENATE("Total ",E1," Mill Rate")</f>
        <v>Total 2015 Mill Rate</v>
      </c>
      <c r="I85" s="655"/>
      <c r="J85" s="656"/>
      <c r="K85" s="582"/>
    </row>
    <row r="86" spans="2:11" hidden="1" x14ac:dyDescent="0.25">
      <c r="C86" s="137" t="str">
        <f>IF(C34&lt;0,"See Tab B","")</f>
        <v/>
      </c>
      <c r="D86" s="137" t="str">
        <f>IF(D34&lt;0,"See Tab D","")</f>
        <v/>
      </c>
      <c r="G86" s="658">
        <f>[1]summ!F36</f>
        <v>0</v>
      </c>
      <c r="H86" s="661" t="str">
        <f>CONCATENATE("Total ",E1-1," Mill Rate")</f>
        <v>Total 2014 Mill Rate</v>
      </c>
      <c r="I86" s="662"/>
      <c r="J86" s="663"/>
      <c r="K86" s="582"/>
    </row>
    <row r="87" spans="2:11" hidden="1" x14ac:dyDescent="0.25">
      <c r="C87" s="137" t="str">
        <f>IF(C73&gt;C75,"See Tab A","")</f>
        <v/>
      </c>
      <c r="D87" s="137" t="str">
        <f>IF(D73&gt;D75,"See Tab C","")</f>
        <v/>
      </c>
    </row>
    <row r="88" spans="2:11" hidden="1" x14ac:dyDescent="0.25">
      <c r="C88" s="137" t="str">
        <f>IF(C74&lt;0,"See Tab B","")</f>
        <v/>
      </c>
      <c r="D88" s="137" t="str">
        <f>IF(D74&lt;0,"See Tab D","")</f>
        <v/>
      </c>
    </row>
    <row r="89" spans="2:11" x14ac:dyDescent="0.25">
      <c r="G89" s="660">
        <f>summ!H36</f>
        <v>12.68</v>
      </c>
      <c r="H89" s="633" t="str">
        <f>CONCATENATE("Total ",E1," Mill Rate")</f>
        <v>Total 2015 Mill Rate</v>
      </c>
      <c r="I89" s="655"/>
      <c r="J89" s="656"/>
    </row>
    <row r="90" spans="2:11" x14ac:dyDescent="0.25">
      <c r="G90" s="658">
        <f>summ!E36</f>
        <v>12.68</v>
      </c>
      <c r="H90" s="661" t="str">
        <f>CONCATENATE("Total ",E1-1," Mill Rate")</f>
        <v>Total 2014 Mill Rate</v>
      </c>
      <c r="I90" s="662"/>
      <c r="J90" s="663"/>
    </row>
    <row r="92" spans="2:11" x14ac:dyDescent="0.25">
      <c r="G92" s="764" t="s">
        <v>931</v>
      </c>
      <c r="H92" s="710"/>
      <c r="I92" s="709" t="str">
        <f>cert!E41</f>
        <v>No</v>
      </c>
    </row>
  </sheetData>
  <sheetProtection sheet="1"/>
  <mergeCells count="12">
    <mergeCell ref="G24:J24"/>
    <mergeCell ref="G31:J31"/>
    <mergeCell ref="G41:J41"/>
    <mergeCell ref="G64:J64"/>
    <mergeCell ref="G71:J71"/>
    <mergeCell ref="G81:J81"/>
    <mergeCell ref="C36:D36"/>
    <mergeCell ref="C37:D37"/>
    <mergeCell ref="C76:D76"/>
    <mergeCell ref="C77:D77"/>
    <mergeCell ref="C80:D80"/>
    <mergeCell ref="C40:D40"/>
  </mergeCells>
  <phoneticPr fontId="0" type="noConversion"/>
  <conditionalFormatting sqref="C71">
    <cfRule type="cellIs" dxfId="63" priority="3" stopIfTrue="1" operator="greaterThan">
      <formula>$C$73*0.1</formula>
    </cfRule>
  </conditionalFormatting>
  <conditionalFormatting sqref="D71">
    <cfRule type="cellIs" dxfId="62" priority="4" stopIfTrue="1" operator="greaterThan">
      <formula>$D$73*0.1</formula>
    </cfRule>
  </conditionalFormatting>
  <conditionalFormatting sqref="E71">
    <cfRule type="cellIs" dxfId="61" priority="5" stopIfTrue="1" operator="greaterThan">
      <formula>$E$73*0.1</formula>
    </cfRule>
  </conditionalFormatting>
  <conditionalFormatting sqref="C58">
    <cfRule type="cellIs" dxfId="60" priority="6" stopIfTrue="1" operator="greaterThan">
      <formula>$C$60*0.1</formula>
    </cfRule>
  </conditionalFormatting>
  <conditionalFormatting sqref="D58">
    <cfRule type="cellIs" dxfId="59" priority="7" stopIfTrue="1" operator="greaterThan">
      <formula>$D$60*0.1</formula>
    </cfRule>
  </conditionalFormatting>
  <conditionalFormatting sqref="E76">
    <cfRule type="cellIs" dxfId="58" priority="8" stopIfTrue="1" operator="greaterThan">
      <formula>$E$73/0.95-$E$73</formula>
    </cfRule>
  </conditionalFormatting>
  <conditionalFormatting sqref="C31">
    <cfRule type="cellIs" dxfId="57" priority="9" stopIfTrue="1" operator="greaterThan">
      <formula>$C$33*0.1</formula>
    </cfRule>
  </conditionalFormatting>
  <conditionalFormatting sqref="D31">
    <cfRule type="cellIs" dxfId="56" priority="10" stopIfTrue="1" operator="greaterThan">
      <formula>$D$33*0.1</formula>
    </cfRule>
  </conditionalFormatting>
  <conditionalFormatting sqref="E31">
    <cfRule type="cellIs" dxfId="55" priority="11" stopIfTrue="1" operator="greaterThan">
      <formula>$E$33*0.1</formula>
    </cfRule>
  </conditionalFormatting>
  <conditionalFormatting sqref="C18">
    <cfRule type="cellIs" dxfId="54" priority="12" stopIfTrue="1" operator="greaterThan">
      <formula>$C$20*0.1</formula>
    </cfRule>
  </conditionalFormatting>
  <conditionalFormatting sqref="D18">
    <cfRule type="cellIs" dxfId="53" priority="13" stopIfTrue="1" operator="greaterThan">
      <formula>$D$20*0.1</formula>
    </cfRule>
  </conditionalFormatting>
  <conditionalFormatting sqref="E36">
    <cfRule type="cellIs" dxfId="52" priority="14" stopIfTrue="1" operator="greaterThan">
      <formula>$E$33/0.95-$E$33</formula>
    </cfRule>
  </conditionalFormatting>
  <conditionalFormatting sqref="C74 C34">
    <cfRule type="cellIs" dxfId="51" priority="15" stopIfTrue="1" operator="lessThan">
      <formula>0</formula>
    </cfRule>
  </conditionalFormatting>
  <conditionalFormatting sqref="C73">
    <cfRule type="cellIs" dxfId="50" priority="16" stopIfTrue="1" operator="greaterThan">
      <formula>$C$75</formula>
    </cfRule>
  </conditionalFormatting>
  <conditionalFormatting sqref="D73">
    <cfRule type="cellIs" dxfId="49" priority="17" stopIfTrue="1" operator="greaterThan">
      <formula>$D$75</formula>
    </cfRule>
  </conditionalFormatting>
  <conditionalFormatting sqref="C33">
    <cfRule type="cellIs" dxfId="48" priority="18" stopIfTrue="1" operator="greaterThan">
      <formula>$C$35</formula>
    </cfRule>
  </conditionalFormatting>
  <conditionalFormatting sqref="D33">
    <cfRule type="cellIs" dxfId="47" priority="19" stopIfTrue="1" operator="greaterThan">
      <formula>$D$35</formula>
    </cfRule>
  </conditionalFormatting>
  <conditionalFormatting sqref="E18">
    <cfRule type="cellIs" dxfId="46" priority="20" stopIfTrue="1" operator="greaterThan">
      <formula>$E$20*0.1+$E$40</formula>
    </cfRule>
  </conditionalFormatting>
  <conditionalFormatting sqref="E58">
    <cfRule type="cellIs" dxfId="45" priority="21" stopIfTrue="1" operator="greaterThan">
      <formula>$E$60*0.1+$E$80</formula>
    </cfRule>
  </conditionalFormatting>
  <conditionalFormatting sqref="D34 D74">
    <cfRule type="cellIs" dxfId="44"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H93"/>
  <sheetViews>
    <sheetView topLeftCell="A58" workbookViewId="0">
      <selection activeCell="E64" sqref="E64"/>
    </sheetView>
  </sheetViews>
  <sheetFormatPr defaultColWidth="8.796875" defaultRowHeight="15.75" x14ac:dyDescent="0.25"/>
  <cols>
    <col min="1" max="1" width="10.69921875" style="137" customWidth="1"/>
    <col min="2" max="2" width="20.69921875" style="137" customWidth="1"/>
    <col min="3" max="3" width="11.69921875" style="137" customWidth="1"/>
    <col min="4" max="4" width="15" style="137" customWidth="1"/>
    <col min="5" max="5" width="14.09765625" style="137" customWidth="1"/>
    <col min="6" max="6" width="2.69921875" style="137" customWidth="1"/>
    <col min="7" max="7" width="18.59765625" style="137" customWidth="1"/>
    <col min="8" max="16384" width="8.796875" style="137"/>
  </cols>
  <sheetData>
    <row r="1" spans="1:8" x14ac:dyDescent="0.25">
      <c r="A1" s="136" t="s">
        <v>124</v>
      </c>
      <c r="B1" s="48"/>
      <c r="C1" s="48"/>
      <c r="D1" s="48"/>
      <c r="E1" s="48"/>
    </row>
    <row r="2" spans="1:8" x14ac:dyDescent="0.25">
      <c r="A2" s="138" t="s">
        <v>204</v>
      </c>
      <c r="B2" s="48"/>
      <c r="C2" s="48"/>
      <c r="D2" s="48"/>
      <c r="E2" s="48"/>
    </row>
    <row r="3" spans="1:8" x14ac:dyDescent="0.25">
      <c r="A3" s="138" t="s">
        <v>202</v>
      </c>
      <c r="B3" s="48"/>
      <c r="C3" s="48"/>
      <c r="D3" s="713" t="s">
        <v>958</v>
      </c>
      <c r="E3" s="54"/>
    </row>
    <row r="4" spans="1:8" x14ac:dyDescent="0.25">
      <c r="A4" s="138" t="s">
        <v>203</v>
      </c>
      <c r="B4" s="48"/>
      <c r="C4" s="48"/>
      <c r="D4" s="713" t="s">
        <v>959</v>
      </c>
      <c r="E4" s="54"/>
    </row>
    <row r="5" spans="1:8" x14ac:dyDescent="0.25">
      <c r="A5" s="48"/>
      <c r="B5" s="48"/>
      <c r="C5" s="48"/>
      <c r="D5" s="48"/>
      <c r="E5" s="48"/>
    </row>
    <row r="6" spans="1:8" x14ac:dyDescent="0.25">
      <c r="A6" s="139" t="s">
        <v>125</v>
      </c>
      <c r="B6" s="48"/>
      <c r="C6" s="48"/>
      <c r="D6" s="160" t="s">
        <v>960</v>
      </c>
      <c r="E6" s="48"/>
    </row>
    <row r="7" spans="1:8" x14ac:dyDescent="0.25">
      <c r="A7" s="139" t="s">
        <v>126</v>
      </c>
      <c r="B7" s="48"/>
      <c r="C7" s="48"/>
      <c r="D7" s="160"/>
      <c r="E7" s="48"/>
    </row>
    <row r="8" spans="1:8" x14ac:dyDescent="0.25">
      <c r="A8" s="48"/>
      <c r="B8" s="48"/>
      <c r="C8" s="48"/>
      <c r="D8" s="48"/>
      <c r="E8" s="48"/>
    </row>
    <row r="9" spans="1:8" x14ac:dyDescent="0.25">
      <c r="A9" s="139" t="s">
        <v>76</v>
      </c>
      <c r="B9" s="48"/>
      <c r="C9" s="48"/>
      <c r="D9" s="140">
        <v>2015</v>
      </c>
      <c r="E9" s="48"/>
    </row>
    <row r="10" spans="1:8" x14ac:dyDescent="0.25">
      <c r="A10" s="48"/>
      <c r="B10" s="48"/>
      <c r="C10" s="48"/>
      <c r="D10" s="48"/>
      <c r="E10" s="48"/>
    </row>
    <row r="11" spans="1:8" x14ac:dyDescent="0.25">
      <c r="A11" s="141" t="s">
        <v>78</v>
      </c>
      <c r="B11" s="142"/>
      <c r="C11" s="142"/>
      <c r="D11" s="142"/>
      <c r="E11" s="142"/>
      <c r="F11" s="48"/>
      <c r="G11" s="788" t="s">
        <v>773</v>
      </c>
      <c r="H11" s="789"/>
    </row>
    <row r="12" spans="1:8" x14ac:dyDescent="0.25">
      <c r="A12" s="141" t="s">
        <v>142</v>
      </c>
      <c r="B12" s="142"/>
      <c r="C12" s="142"/>
      <c r="D12" s="142"/>
      <c r="E12" s="142"/>
      <c r="F12" s="48"/>
      <c r="G12" s="790"/>
      <c r="H12" s="789"/>
    </row>
    <row r="13" spans="1:8" x14ac:dyDescent="0.25">
      <c r="A13" s="48"/>
      <c r="B13" s="48"/>
      <c r="C13" s="48"/>
      <c r="D13" s="48"/>
      <c r="E13" s="48"/>
      <c r="F13" s="48"/>
      <c r="G13" s="790"/>
      <c r="H13" s="789"/>
    </row>
    <row r="14" spans="1:8" x14ac:dyDescent="0.25">
      <c r="A14" s="786" t="s">
        <v>86</v>
      </c>
      <c r="B14" s="787"/>
      <c r="C14" s="787"/>
      <c r="D14" s="787"/>
      <c r="E14" s="787"/>
      <c r="F14" s="48"/>
      <c r="G14" s="790"/>
      <c r="H14" s="789"/>
    </row>
    <row r="15" spans="1:8" x14ac:dyDescent="0.25">
      <c r="A15" s="138"/>
      <c r="B15" s="48"/>
      <c r="C15" s="48"/>
      <c r="D15" s="48"/>
      <c r="E15" s="48"/>
      <c r="F15" s="48"/>
      <c r="G15" s="790"/>
      <c r="H15" s="789"/>
    </row>
    <row r="16" spans="1:8" x14ac:dyDescent="0.25">
      <c r="A16" s="143" t="s">
        <v>77</v>
      </c>
      <c r="B16" s="144"/>
      <c r="C16" s="48"/>
      <c r="D16" s="51"/>
      <c r="E16" s="145"/>
      <c r="F16" s="48"/>
      <c r="G16" s="790"/>
      <c r="H16" s="789"/>
    </row>
    <row r="17" spans="1:8" x14ac:dyDescent="0.25">
      <c r="A17" s="146" t="str">
        <f>CONCATENATE("the ",D9-1," Budget, Certificate Page:")</f>
        <v>the 2014 Budget, Certificate Page:</v>
      </c>
      <c r="B17" s="147"/>
      <c r="C17" s="51"/>
      <c r="D17" s="48"/>
      <c r="E17" s="48"/>
      <c r="F17" s="48"/>
      <c r="G17" s="54"/>
      <c r="H17" s="171"/>
    </row>
    <row r="18" spans="1:8" x14ac:dyDescent="0.25">
      <c r="A18" s="146" t="s">
        <v>298</v>
      </c>
      <c r="B18" s="147"/>
      <c r="C18" s="51"/>
      <c r="D18" s="148">
        <f>D9-1</f>
        <v>2014</v>
      </c>
      <c r="E18" s="148">
        <f>D9-2</f>
        <v>2013</v>
      </c>
      <c r="G18" s="208" t="s">
        <v>774</v>
      </c>
      <c r="H18" s="71" t="s">
        <v>268</v>
      </c>
    </row>
    <row r="19" spans="1:8" x14ac:dyDescent="0.25">
      <c r="A19" s="55" t="s">
        <v>216</v>
      </c>
      <c r="B19" s="48"/>
      <c r="C19" s="149" t="s">
        <v>215</v>
      </c>
      <c r="D19" s="150" t="s">
        <v>328</v>
      </c>
      <c r="E19" s="150" t="s">
        <v>255</v>
      </c>
      <c r="G19" s="210" t="str">
        <f>CONCATENATE("",E18," Ad Valorem Tax")</f>
        <v>2013 Ad Valorem Tax</v>
      </c>
      <c r="H19" s="553">
        <v>0</v>
      </c>
    </row>
    <row r="20" spans="1:8" x14ac:dyDescent="0.25">
      <c r="A20" s="48"/>
      <c r="B20" s="87" t="s">
        <v>217</v>
      </c>
      <c r="C20" s="66" t="s">
        <v>218</v>
      </c>
      <c r="D20" s="151">
        <v>46270</v>
      </c>
      <c r="E20" s="151">
        <v>41529</v>
      </c>
      <c r="G20" s="239">
        <f>IF(H19&gt;0,ROUND(E20-(E20*H19),0),0)</f>
        <v>0</v>
      </c>
    </row>
    <row r="21" spans="1:8" x14ac:dyDescent="0.25">
      <c r="A21" s="48"/>
      <c r="B21" s="87" t="s">
        <v>289</v>
      </c>
      <c r="C21" s="66" t="s">
        <v>83</v>
      </c>
      <c r="D21" s="151"/>
      <c r="E21" s="151"/>
      <c r="G21" s="239">
        <f>IF(H19&gt;0,ROUND(E21-(E21*H19),0),0)</f>
        <v>0</v>
      </c>
    </row>
    <row r="22" spans="1:8" x14ac:dyDescent="0.25">
      <c r="A22" s="48"/>
      <c r="B22" s="87" t="s">
        <v>746</v>
      </c>
      <c r="C22" s="66" t="s">
        <v>747</v>
      </c>
      <c r="D22" s="151"/>
      <c r="E22" s="151"/>
      <c r="G22" s="239">
        <f>IF(H19&gt;0,ROUND(E22-(E22*H19),0),0)</f>
        <v>0</v>
      </c>
    </row>
    <row r="23" spans="1:8" x14ac:dyDescent="0.25">
      <c r="A23" s="48"/>
      <c r="B23" s="87" t="s">
        <v>219</v>
      </c>
      <c r="C23" s="152" t="s">
        <v>205</v>
      </c>
      <c r="D23" s="151">
        <v>43730</v>
      </c>
      <c r="E23" s="151">
        <v>34105</v>
      </c>
      <c r="G23" s="239">
        <f>IF(H19&gt;0,ROUND(E23-(E23*H19),0),0)</f>
        <v>0</v>
      </c>
    </row>
    <row r="24" spans="1:8" x14ac:dyDescent="0.25">
      <c r="A24" s="48"/>
      <c r="B24" s="87" t="s">
        <v>296</v>
      </c>
      <c r="C24" s="71" t="s">
        <v>297</v>
      </c>
      <c r="D24" s="151"/>
      <c r="E24" s="151"/>
      <c r="G24" s="239">
        <f>IF(H19&gt;0,ROUND(E24-(E24*H19),0),0)</f>
        <v>0</v>
      </c>
    </row>
    <row r="25" spans="1:8" x14ac:dyDescent="0.25">
      <c r="A25" s="48"/>
      <c r="B25" s="87" t="s">
        <v>157</v>
      </c>
      <c r="C25" s="71" t="s">
        <v>158</v>
      </c>
      <c r="D25" s="151"/>
      <c r="E25" s="151"/>
      <c r="G25" s="239">
        <f>IF(H19&gt;0,ROUND(E25-(E25*H19),0),0)</f>
        <v>0</v>
      </c>
    </row>
    <row r="26" spans="1:8" x14ac:dyDescent="0.25">
      <c r="A26" s="48"/>
      <c r="B26" s="186" t="s">
        <v>356</v>
      </c>
      <c r="C26" s="71" t="s">
        <v>357</v>
      </c>
      <c r="D26" s="151"/>
      <c r="E26" s="151"/>
      <c r="G26" s="239">
        <f>IF(H19&gt;0,ROUND(E26-(E26*H19),0),0)</f>
        <v>0</v>
      </c>
    </row>
    <row r="27" spans="1:8" x14ac:dyDescent="0.25">
      <c r="A27" s="48"/>
      <c r="B27" s="153"/>
      <c r="C27" s="454"/>
      <c r="D27" s="151"/>
      <c r="E27" s="151"/>
      <c r="G27" s="239">
        <f>IF(H19&gt;0,ROUND(E27-(E27*H19),0),0)</f>
        <v>0</v>
      </c>
    </row>
    <row r="28" spans="1:8" x14ac:dyDescent="0.25">
      <c r="A28" s="48"/>
      <c r="B28" s="153"/>
      <c r="C28" s="454"/>
      <c r="D28" s="151"/>
      <c r="E28" s="151"/>
      <c r="G28" s="239">
        <f>IF(H19&gt;0,ROUND(E28-(E28*H19),0),0)</f>
        <v>0</v>
      </c>
    </row>
    <row r="29" spans="1:8" x14ac:dyDescent="0.25">
      <c r="A29" s="48"/>
      <c r="B29" s="153"/>
      <c r="C29" s="454"/>
      <c r="D29" s="151"/>
      <c r="E29" s="151"/>
      <c r="G29" s="239">
        <f>IF(H19&gt;0,ROUND(E29-(E29*H19),0),0)</f>
        <v>0</v>
      </c>
    </row>
    <row r="30" spans="1:8" x14ac:dyDescent="0.25">
      <c r="A30" s="48"/>
      <c r="B30" s="153"/>
      <c r="C30" s="454"/>
      <c r="D30" s="151"/>
      <c r="E30" s="151"/>
      <c r="G30" s="239">
        <f>IF(H19&gt;0,ROUND(E30-(E30*H19),0),0)</f>
        <v>0</v>
      </c>
      <c r="H30" s="554"/>
    </row>
    <row r="31" spans="1:8" x14ac:dyDescent="0.25">
      <c r="A31" s="48"/>
      <c r="B31" s="153"/>
      <c r="C31" s="454"/>
      <c r="D31" s="151"/>
      <c r="E31" s="151"/>
      <c r="G31" s="239">
        <f>IF(H19&gt;0,ROUND(E31-(E31*H19),0),0)</f>
        <v>0</v>
      </c>
      <c r="H31" s="554"/>
    </row>
    <row r="32" spans="1:8" x14ac:dyDescent="0.25">
      <c r="A32" s="154" t="str">
        <f>CONCATENATE("Total Ad Valorem Tax for ",D9-1,"")</f>
        <v>Total Ad Valorem Tax for 2014</v>
      </c>
      <c r="B32" s="61"/>
      <c r="C32" s="155"/>
      <c r="D32" s="156"/>
      <c r="E32" s="157">
        <f>SUM(E20:E31)</f>
        <v>75634</v>
      </c>
    </row>
    <row r="33" spans="1:5" x14ac:dyDescent="0.25">
      <c r="A33" s="54"/>
      <c r="B33" s="54"/>
      <c r="C33" s="54"/>
      <c r="D33" s="158"/>
      <c r="E33" s="159"/>
    </row>
    <row r="34" spans="1:5" x14ac:dyDescent="0.25">
      <c r="A34" s="48" t="s">
        <v>72</v>
      </c>
      <c r="B34" s="48"/>
      <c r="C34" s="48"/>
      <c r="D34" s="48"/>
      <c r="E34" s="48"/>
    </row>
    <row r="35" spans="1:5" x14ac:dyDescent="0.25">
      <c r="A35" s="48"/>
      <c r="B35" s="160"/>
      <c r="C35" s="48"/>
      <c r="D35" s="161"/>
      <c r="E35" s="54"/>
    </row>
    <row r="36" spans="1:5" x14ac:dyDescent="0.25">
      <c r="A36" s="48"/>
      <c r="B36" s="160"/>
      <c r="C36" s="48"/>
      <c r="D36" s="161"/>
      <c r="E36" s="54"/>
    </row>
    <row r="37" spans="1:5" x14ac:dyDescent="0.25">
      <c r="A37" s="48"/>
      <c r="B37" s="160"/>
      <c r="C37" s="48"/>
      <c r="D37" s="161"/>
      <c r="E37" s="48"/>
    </row>
    <row r="38" spans="1:5" x14ac:dyDescent="0.25">
      <c r="A38" s="48"/>
      <c r="B38" s="160"/>
      <c r="C38" s="48"/>
      <c r="D38" s="161"/>
      <c r="E38" s="48"/>
    </row>
    <row r="39" spans="1:5" x14ac:dyDescent="0.25">
      <c r="A39" s="61" t="str">
        <f>CONCATENATE("Total Expenditures for ",D9-1,"")</f>
        <v>Total Expenditures for 2014</v>
      </c>
      <c r="B39" s="61"/>
      <c r="C39" s="61"/>
      <c r="D39" s="162">
        <f>SUM(D20:D31,D35:D38)</f>
        <v>90000</v>
      </c>
      <c r="E39" s="48"/>
    </row>
    <row r="40" spans="1:5" x14ac:dyDescent="0.25">
      <c r="A40" s="90" t="s">
        <v>323</v>
      </c>
      <c r="B40" s="54"/>
      <c r="C40" s="54"/>
      <c r="D40" s="48"/>
      <c r="E40" s="48"/>
    </row>
    <row r="41" spans="1:5" x14ac:dyDescent="0.25">
      <c r="A41" s="327">
        <v>1</v>
      </c>
      <c r="B41" s="160"/>
      <c r="C41" s="54"/>
      <c r="D41" s="48"/>
      <c r="E41" s="48"/>
    </row>
    <row r="42" spans="1:5" x14ac:dyDescent="0.25">
      <c r="A42" s="327">
        <v>2</v>
      </c>
      <c r="B42" s="160"/>
      <c r="C42" s="54"/>
      <c r="D42" s="48"/>
      <c r="E42" s="48"/>
    </row>
    <row r="43" spans="1:5" x14ac:dyDescent="0.25">
      <c r="A43" s="327">
        <v>3</v>
      </c>
      <c r="B43" s="160"/>
      <c r="C43" s="54"/>
      <c r="D43" s="48"/>
      <c r="E43" s="48"/>
    </row>
    <row r="44" spans="1:5" x14ac:dyDescent="0.25">
      <c r="A44" s="327">
        <v>4</v>
      </c>
      <c r="B44" s="160"/>
      <c r="C44" s="54"/>
      <c r="D44" s="48"/>
      <c r="E44" s="48"/>
    </row>
    <row r="45" spans="1:5" x14ac:dyDescent="0.25">
      <c r="A45" s="327">
        <v>5</v>
      </c>
      <c r="B45" s="160"/>
      <c r="C45" s="54"/>
      <c r="D45" s="48"/>
      <c r="E45" s="48"/>
    </row>
    <row r="46" spans="1:5" x14ac:dyDescent="0.25">
      <c r="A46" s="48"/>
      <c r="B46" s="48"/>
      <c r="C46" s="48"/>
      <c r="D46" s="48"/>
      <c r="E46" s="48"/>
    </row>
    <row r="47" spans="1:5" ht="15.75" customHeight="1" x14ac:dyDescent="0.25">
      <c r="A47" s="143" t="s">
        <v>77</v>
      </c>
      <c r="B47" s="144"/>
      <c r="C47" s="48"/>
      <c r="D47" s="784" t="str">
        <f>CONCATENATE("",D9-3," Tax Rate         (",D9-2," Column)")</f>
        <v>2012 Tax Rate         (2013 Column)</v>
      </c>
      <c r="E47" s="48"/>
    </row>
    <row r="48" spans="1:5" x14ac:dyDescent="0.25">
      <c r="A48" s="146" t="str">
        <f>CONCATENATE("the ",D9-1," Budget, Budget Summary Page:")</f>
        <v>the 2014 Budget, Budget Summary Page:</v>
      </c>
      <c r="B48" s="163"/>
      <c r="C48" s="48"/>
      <c r="D48" s="785"/>
      <c r="E48" s="48"/>
    </row>
    <row r="49" spans="1:5" x14ac:dyDescent="0.25">
      <c r="A49" s="48"/>
      <c r="B49" s="73" t="str">
        <f>B20</f>
        <v>General</v>
      </c>
      <c r="C49" s="48"/>
      <c r="D49" s="164">
        <v>4.3719999999999999</v>
      </c>
      <c r="E49" s="48"/>
    </row>
    <row r="50" spans="1:5" x14ac:dyDescent="0.25">
      <c r="A50" s="48"/>
      <c r="B50" s="73" t="str">
        <f>B21</f>
        <v>Debt Service</v>
      </c>
      <c r="C50" s="48"/>
      <c r="D50" s="165"/>
      <c r="E50" s="48"/>
    </row>
    <row r="51" spans="1:5" x14ac:dyDescent="0.25">
      <c r="A51" s="48"/>
      <c r="B51" s="73" t="str">
        <f>B22</f>
        <v>Library</v>
      </c>
      <c r="C51" s="48"/>
      <c r="D51" s="165"/>
      <c r="E51" s="48"/>
    </row>
    <row r="52" spans="1:5" x14ac:dyDescent="0.25">
      <c r="A52" s="48"/>
      <c r="B52" s="73" t="str">
        <f t="shared" ref="B52:B59" si="0">B23</f>
        <v>Road</v>
      </c>
      <c r="C52" s="48"/>
      <c r="D52" s="165">
        <v>6.0129999999999999</v>
      </c>
      <c r="E52" s="48"/>
    </row>
    <row r="53" spans="1:5" x14ac:dyDescent="0.25">
      <c r="A53" s="48"/>
      <c r="B53" s="87" t="str">
        <f t="shared" si="0"/>
        <v>Special Road</v>
      </c>
      <c r="C53" s="48"/>
      <c r="D53" s="165"/>
      <c r="E53" s="48"/>
    </row>
    <row r="54" spans="1:5" x14ac:dyDescent="0.25">
      <c r="A54" s="48"/>
      <c r="B54" s="87" t="str">
        <f t="shared" si="0"/>
        <v>Noxious Weed</v>
      </c>
      <c r="C54" s="48"/>
      <c r="D54" s="165"/>
      <c r="E54" s="48"/>
    </row>
    <row r="55" spans="1:5" x14ac:dyDescent="0.25">
      <c r="A55" s="48"/>
      <c r="B55" s="87" t="str">
        <f t="shared" si="0"/>
        <v>Fire Protection</v>
      </c>
      <c r="C55" s="48"/>
      <c r="D55" s="165"/>
      <c r="E55" s="48"/>
    </row>
    <row r="56" spans="1:5" x14ac:dyDescent="0.25">
      <c r="A56" s="48"/>
      <c r="B56" s="87">
        <f t="shared" si="0"/>
        <v>0</v>
      </c>
      <c r="C56" s="48"/>
      <c r="D56" s="165"/>
      <c r="E56" s="48"/>
    </row>
    <row r="57" spans="1:5" x14ac:dyDescent="0.25">
      <c r="A57" s="48"/>
      <c r="B57" s="87">
        <f t="shared" si="0"/>
        <v>0</v>
      </c>
      <c r="C57" s="48"/>
      <c r="D57" s="165"/>
      <c r="E57" s="48"/>
    </row>
    <row r="58" spans="1:5" x14ac:dyDescent="0.25">
      <c r="A58" s="48"/>
      <c r="B58" s="87">
        <f t="shared" si="0"/>
        <v>0</v>
      </c>
      <c r="C58" s="48"/>
      <c r="D58" s="165"/>
      <c r="E58" s="48"/>
    </row>
    <row r="59" spans="1:5" x14ac:dyDescent="0.25">
      <c r="A59" s="48"/>
      <c r="B59" s="87">
        <f t="shared" si="0"/>
        <v>0</v>
      </c>
      <c r="C59" s="48"/>
      <c r="D59" s="165"/>
      <c r="E59" s="48"/>
    </row>
    <row r="60" spans="1:5" x14ac:dyDescent="0.25">
      <c r="A60" s="48"/>
      <c r="B60" s="87">
        <f>B31</f>
        <v>0</v>
      </c>
      <c r="C60" s="48"/>
      <c r="D60" s="165"/>
      <c r="E60" s="48"/>
    </row>
    <row r="61" spans="1:5" ht="16.5" thickBot="1" x14ac:dyDescent="0.3">
      <c r="A61" s="60" t="str">
        <f>CONCATENATE("Total ",D9-3," Tax Levy Rate")</f>
        <v>Total 2012 Tax Levy Rate</v>
      </c>
      <c r="B61" s="166"/>
      <c r="C61" s="72"/>
      <c r="D61" s="167">
        <f>SUM(D49:D60)</f>
        <v>10.385</v>
      </c>
      <c r="E61" s="48"/>
    </row>
    <row r="62" spans="1:5" ht="16.5" thickTop="1" x14ac:dyDescent="0.25">
      <c r="A62" s="48"/>
      <c r="B62" s="48"/>
      <c r="C62" s="48"/>
      <c r="D62" s="48"/>
      <c r="E62" s="48"/>
    </row>
    <row r="63" spans="1:5" x14ac:dyDescent="0.25">
      <c r="A63" s="168" t="str">
        <f>CONCATENATE("Total Tax Levy (",D9-2," budget column)")</f>
        <v>Total Tax Levy (2013 budget column)</v>
      </c>
      <c r="B63" s="144"/>
      <c r="C63" s="54"/>
      <c r="D63" s="54"/>
      <c r="E63" s="262">
        <v>62210</v>
      </c>
    </row>
    <row r="64" spans="1:5" x14ac:dyDescent="0.25">
      <c r="A64" s="168" t="str">
        <f>CONCATENATE("Assessed Valuation (",D9-2," budget column):")</f>
        <v>Assessed Valuation (2013 budget column):</v>
      </c>
      <c r="B64" s="144"/>
      <c r="C64" s="48"/>
      <c r="D64" s="48"/>
      <c r="E64" s="714">
        <v>7896443</v>
      </c>
    </row>
    <row r="65" spans="1:5" x14ac:dyDescent="0.25">
      <c r="A65" s="48"/>
      <c r="B65" s="48"/>
      <c r="C65" s="48"/>
      <c r="D65" s="48"/>
      <c r="E65" s="169"/>
    </row>
    <row r="66" spans="1:5" x14ac:dyDescent="0.25">
      <c r="A66" s="170" t="s">
        <v>143</v>
      </c>
      <c r="B66" s="170"/>
      <c r="C66" s="171"/>
      <c r="D66" s="172">
        <f>D9-3</f>
        <v>2012</v>
      </c>
      <c r="E66" s="172">
        <f>D9-2</f>
        <v>2013</v>
      </c>
    </row>
    <row r="67" spans="1:5" x14ac:dyDescent="0.25">
      <c r="A67" s="170" t="s">
        <v>92</v>
      </c>
      <c r="B67" s="170"/>
      <c r="C67" s="173"/>
      <c r="D67" s="161">
        <v>0</v>
      </c>
      <c r="E67" s="161">
        <v>0</v>
      </c>
    </row>
    <row r="68" spans="1:5" x14ac:dyDescent="0.25">
      <c r="A68" s="174" t="s">
        <v>139</v>
      </c>
      <c r="B68" s="174"/>
      <c r="C68" s="175"/>
      <c r="D68" s="161">
        <v>0</v>
      </c>
      <c r="E68" s="161">
        <v>0</v>
      </c>
    </row>
    <row r="69" spans="1:5" x14ac:dyDescent="0.25">
      <c r="A69" s="174" t="s">
        <v>93</v>
      </c>
      <c r="B69" s="174"/>
      <c r="C69" s="175"/>
      <c r="D69" s="161">
        <v>0</v>
      </c>
      <c r="E69" s="161">
        <v>0</v>
      </c>
    </row>
    <row r="70" spans="1:5" x14ac:dyDescent="0.25">
      <c r="A70" s="174"/>
      <c r="B70" s="174"/>
      <c r="C70" s="176"/>
      <c r="D70" s="161"/>
      <c r="E70" s="161"/>
    </row>
    <row r="71" spans="1:5" x14ac:dyDescent="0.25">
      <c r="A71" s="91"/>
      <c r="B71" s="91"/>
      <c r="C71" s="91"/>
      <c r="D71" s="91"/>
      <c r="E71" s="91"/>
    </row>
    <row r="72" spans="1:5" x14ac:dyDescent="0.25">
      <c r="A72" s="91"/>
      <c r="B72" s="91"/>
      <c r="C72" s="91"/>
      <c r="D72" s="91"/>
      <c r="E72" s="91"/>
    </row>
    <row r="73" spans="1:5" x14ac:dyDescent="0.25">
      <c r="A73" s="91"/>
      <c r="B73" s="91"/>
      <c r="C73" s="91"/>
      <c r="D73" s="91"/>
      <c r="E73" s="91"/>
    </row>
    <row r="74" spans="1:5" x14ac:dyDescent="0.25">
      <c r="A74" s="91"/>
      <c r="B74" s="91"/>
      <c r="C74" s="91"/>
      <c r="D74" s="91"/>
      <c r="E74" s="91"/>
    </row>
    <row r="75" spans="1:5" x14ac:dyDescent="0.25">
      <c r="A75" s="91"/>
      <c r="B75" s="91"/>
      <c r="C75" s="91"/>
      <c r="D75" s="91"/>
      <c r="E75" s="91"/>
    </row>
    <row r="76" spans="1:5" x14ac:dyDescent="0.25">
      <c r="A76" s="91"/>
      <c r="B76" s="91"/>
      <c r="C76" s="91"/>
      <c r="D76" s="91"/>
      <c r="E76" s="91"/>
    </row>
    <row r="77" spans="1:5" x14ac:dyDescent="0.25">
      <c r="A77" s="91"/>
      <c r="B77" s="91"/>
      <c r="C77" s="91"/>
      <c r="D77" s="91"/>
      <c r="E77" s="91"/>
    </row>
    <row r="78" spans="1:5" x14ac:dyDescent="0.25">
      <c r="A78" s="91"/>
      <c r="B78" s="91"/>
      <c r="C78" s="91"/>
      <c r="D78" s="91"/>
      <c r="E78" s="91"/>
    </row>
    <row r="79" spans="1:5" x14ac:dyDescent="0.25">
      <c r="A79" s="91"/>
      <c r="B79" s="91"/>
      <c r="C79" s="91"/>
      <c r="D79" s="91"/>
      <c r="E79" s="91"/>
    </row>
    <row r="80" spans="1:5" x14ac:dyDescent="0.25">
      <c r="A80" s="91"/>
      <c r="B80" s="91"/>
      <c r="C80" s="91"/>
      <c r="D80" s="91"/>
      <c r="E80" s="91"/>
    </row>
    <row r="81" spans="1:7" s="177" customFormat="1" x14ac:dyDescent="0.25">
      <c r="A81" s="91"/>
      <c r="B81" s="91"/>
      <c r="C81" s="91"/>
      <c r="D81" s="91"/>
      <c r="E81" s="91"/>
    </row>
    <row r="82" spans="1:7" x14ac:dyDescent="0.25">
      <c r="A82" s="91"/>
      <c r="B82" s="91"/>
      <c r="C82" s="91"/>
      <c r="D82" s="91"/>
      <c r="E82" s="91"/>
    </row>
    <row r="83" spans="1:7" x14ac:dyDescent="0.25">
      <c r="A83" s="91"/>
      <c r="B83" s="91"/>
      <c r="C83" s="91"/>
      <c r="D83" s="91"/>
      <c r="E83" s="91"/>
    </row>
    <row r="84" spans="1:7" x14ac:dyDescent="0.25">
      <c r="A84" s="91"/>
      <c r="B84" s="91"/>
      <c r="C84" s="91"/>
      <c r="D84" s="91"/>
      <c r="E84" s="91"/>
    </row>
    <row r="85" spans="1:7" x14ac:dyDescent="0.25">
      <c r="A85" s="91"/>
      <c r="B85" s="91"/>
      <c r="C85" s="91"/>
      <c r="D85" s="91"/>
      <c r="E85" s="91"/>
    </row>
    <row r="86" spans="1:7" x14ac:dyDescent="0.25">
      <c r="A86" s="91"/>
      <c r="B86" s="91"/>
      <c r="C86" s="91"/>
      <c r="D86" s="91"/>
      <c r="E86" s="91"/>
    </row>
    <row r="87" spans="1:7" x14ac:dyDescent="0.25">
      <c r="A87" s="91"/>
      <c r="B87" s="91"/>
      <c r="C87" s="91"/>
      <c r="D87" s="91"/>
      <c r="E87" s="91"/>
    </row>
    <row r="88" spans="1:7" x14ac:dyDescent="0.25">
      <c r="A88" s="91"/>
      <c r="B88" s="91"/>
      <c r="C88" s="91"/>
      <c r="D88" s="91"/>
      <c r="E88" s="91"/>
    </row>
    <row r="89" spans="1:7" x14ac:dyDescent="0.25">
      <c r="A89" s="91"/>
      <c r="B89" s="91"/>
      <c r="C89" s="91"/>
      <c r="D89" s="91"/>
      <c r="E89" s="91"/>
    </row>
    <row r="90" spans="1:7" x14ac:dyDescent="0.25">
      <c r="A90" s="91"/>
      <c r="B90" s="91"/>
      <c r="C90" s="91"/>
      <c r="D90" s="91"/>
      <c r="E90" s="91"/>
    </row>
    <row r="91" spans="1:7" s="95" customFormat="1" x14ac:dyDescent="0.25">
      <c r="A91" s="91"/>
      <c r="B91" s="91"/>
      <c r="C91" s="91"/>
      <c r="D91" s="91"/>
      <c r="E91" s="91"/>
      <c r="G91" s="137"/>
    </row>
    <row r="92" spans="1:7" s="95" customFormat="1" x14ac:dyDescent="0.25">
      <c r="A92" s="91"/>
      <c r="B92" s="91"/>
      <c r="C92" s="91"/>
      <c r="D92" s="91"/>
      <c r="E92" s="91"/>
      <c r="G92" s="137"/>
    </row>
    <row r="93" spans="1:7" x14ac:dyDescent="0.25">
      <c r="A93" s="91"/>
      <c r="B93" s="91"/>
      <c r="C93" s="91"/>
      <c r="D93" s="91"/>
      <c r="E93" s="91"/>
    </row>
  </sheetData>
  <mergeCells count="3">
    <mergeCell ref="D47:D48"/>
    <mergeCell ref="A14:E14"/>
    <mergeCell ref="G11:H16"/>
  </mergeCells>
  <phoneticPr fontId="0" type="noConversion"/>
  <pageMargins left="0.3" right="0.3" top="0.5" bottom="0.5" header="0.3" footer="0.3"/>
  <pageSetup fitToHeight="2" orientation="portrait" blackAndWhite="1" horizontalDpi="4294967292" verticalDpi="96"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1:E65"/>
  <sheetViews>
    <sheetView workbookViewId="0">
      <selection activeCell="O101" sqref="O101"/>
    </sheetView>
  </sheetViews>
  <sheetFormatPr defaultColWidth="8.796875" defaultRowHeight="15.75" x14ac:dyDescent="0.25"/>
  <cols>
    <col min="1" max="1" width="2.3984375" style="95" customWidth="1"/>
    <col min="2" max="2" width="31" style="95" customWidth="1"/>
    <col min="3" max="5" width="14.19921875" style="95" customWidth="1"/>
    <col min="6" max="16384" width="8.796875" style="95"/>
  </cols>
  <sheetData>
    <row r="1" spans="2:5" x14ac:dyDescent="0.25">
      <c r="B1" s="203" t="str">
        <f>inputPrYr!D3</f>
        <v>Milton Township</v>
      </c>
      <c r="C1" s="48"/>
      <c r="D1" s="48"/>
      <c r="E1" s="204">
        <f>inputPrYr!D9</f>
        <v>2015</v>
      </c>
    </row>
    <row r="2" spans="2:5" x14ac:dyDescent="0.25">
      <c r="B2" s="48"/>
      <c r="C2" s="48"/>
      <c r="D2" s="48"/>
      <c r="E2" s="190"/>
    </row>
    <row r="3" spans="2:5" x14ac:dyDescent="0.25">
      <c r="B3" s="139" t="s">
        <v>73</v>
      </c>
      <c r="C3" s="53"/>
      <c r="D3" s="53"/>
      <c r="E3" s="53"/>
    </row>
    <row r="4" spans="2:5" x14ac:dyDescent="0.25">
      <c r="B4" s="55" t="s">
        <v>249</v>
      </c>
      <c r="C4" s="184" t="s">
        <v>250</v>
      </c>
      <c r="D4" s="57" t="s">
        <v>251</v>
      </c>
      <c r="E4" s="57" t="s">
        <v>252</v>
      </c>
    </row>
    <row r="5" spans="2:5" x14ac:dyDescent="0.25">
      <c r="B5" s="455">
        <f>inputPrYr!B35</f>
        <v>0</v>
      </c>
      <c r="C5" s="62" t="str">
        <f>gen!C5</f>
        <v>Actual for 2013</v>
      </c>
      <c r="D5" s="62" t="str">
        <f>gen!D5</f>
        <v>Estimate for 2014</v>
      </c>
      <c r="E5" s="62" t="str">
        <f>gen!E5</f>
        <v>Year for 2015</v>
      </c>
    </row>
    <row r="6" spans="2:5" x14ac:dyDescent="0.25">
      <c r="B6" s="308" t="s">
        <v>74</v>
      </c>
      <c r="C6" s="151"/>
      <c r="D6" s="239">
        <f>C29</f>
        <v>0</v>
      </c>
      <c r="E6" s="239">
        <f>D29</f>
        <v>0</v>
      </c>
    </row>
    <row r="7" spans="2:5" s="137" customFormat="1" x14ac:dyDescent="0.25">
      <c r="B7" s="309" t="s">
        <v>62</v>
      </c>
      <c r="C7" s="73"/>
      <c r="D7" s="73"/>
      <c r="E7" s="73"/>
    </row>
    <row r="8" spans="2:5" x14ac:dyDescent="0.25">
      <c r="B8" s="290"/>
      <c r="C8" s="151"/>
      <c r="D8" s="151"/>
      <c r="E8" s="151"/>
    </row>
    <row r="9" spans="2:5" x14ac:dyDescent="0.25">
      <c r="B9" s="290"/>
      <c r="C9" s="151"/>
      <c r="D9" s="151"/>
      <c r="E9" s="151"/>
    </row>
    <row r="10" spans="2:5" x14ac:dyDescent="0.25">
      <c r="B10" s="290"/>
      <c r="C10" s="151"/>
      <c r="D10" s="151"/>
      <c r="E10" s="151"/>
    </row>
    <row r="11" spans="2:5" x14ac:dyDescent="0.25">
      <c r="B11" s="290"/>
      <c r="C11" s="151"/>
      <c r="D11" s="151"/>
      <c r="E11" s="151"/>
    </row>
    <row r="12" spans="2:5" x14ac:dyDescent="0.25">
      <c r="B12" s="310" t="s">
        <v>261</v>
      </c>
      <c r="C12" s="151"/>
      <c r="D12" s="151"/>
      <c r="E12" s="151"/>
    </row>
    <row r="13" spans="2:5" x14ac:dyDescent="0.25">
      <c r="B13" s="292" t="s">
        <v>207</v>
      </c>
      <c r="C13" s="151"/>
      <c r="D13" s="287"/>
      <c r="E13" s="287"/>
    </row>
    <row r="14" spans="2:5" x14ac:dyDescent="0.25">
      <c r="B14" s="292" t="s">
        <v>208</v>
      </c>
      <c r="C14" s="296" t="str">
        <f>IF(C15*0.1&lt;C13,"Exceed 10% Rule","")</f>
        <v/>
      </c>
      <c r="D14" s="293" t="str">
        <f>IF(D15*0.1&lt;D13,"Exceed 10% Rule","")</f>
        <v/>
      </c>
      <c r="E14" s="293" t="str">
        <f>IF(E15*0.1&lt;E13,"Exceed 10% Rule","")</f>
        <v/>
      </c>
    </row>
    <row r="15" spans="2:5" x14ac:dyDescent="0.25">
      <c r="B15" s="81" t="s">
        <v>262</v>
      </c>
      <c r="C15" s="295">
        <f>SUM(C8:C13)</f>
        <v>0</v>
      </c>
      <c r="D15" s="295">
        <f>SUM(D8:D13)</f>
        <v>0</v>
      </c>
      <c r="E15" s="295">
        <f>SUM(E8:E13)</f>
        <v>0</v>
      </c>
    </row>
    <row r="16" spans="2:5" x14ac:dyDescent="0.25">
      <c r="B16" s="81" t="s">
        <v>263</v>
      </c>
      <c r="C16" s="304">
        <f>C6+C15</f>
        <v>0</v>
      </c>
      <c r="D16" s="304">
        <f>D6+D15</f>
        <v>0</v>
      </c>
      <c r="E16" s="304">
        <f>E6+E15</f>
        <v>0</v>
      </c>
    </row>
    <row r="17" spans="2:5" x14ac:dyDescent="0.25">
      <c r="B17" s="63" t="s">
        <v>264</v>
      </c>
      <c r="C17" s="239"/>
      <c r="D17" s="239"/>
      <c r="E17" s="239"/>
    </row>
    <row r="18" spans="2:5" x14ac:dyDescent="0.25">
      <c r="B18" s="290"/>
      <c r="C18" s="151"/>
      <c r="D18" s="151"/>
      <c r="E18" s="151"/>
    </row>
    <row r="19" spans="2:5" x14ac:dyDescent="0.25">
      <c r="B19" s="290"/>
      <c r="C19" s="151"/>
      <c r="D19" s="151"/>
      <c r="E19" s="151"/>
    </row>
    <row r="20" spans="2:5" x14ac:dyDescent="0.25">
      <c r="B20" s="290"/>
      <c r="C20" s="151"/>
      <c r="D20" s="151"/>
      <c r="E20" s="151"/>
    </row>
    <row r="21" spans="2:5" x14ac:dyDescent="0.25">
      <c r="B21" s="290"/>
      <c r="C21" s="151"/>
      <c r="D21" s="151"/>
      <c r="E21" s="151"/>
    </row>
    <row r="22" spans="2:5" x14ac:dyDescent="0.25">
      <c r="B22" s="290"/>
      <c r="C22" s="151"/>
      <c r="D22" s="151"/>
      <c r="E22" s="151"/>
    </row>
    <row r="23" spans="2:5" x14ac:dyDescent="0.25">
      <c r="B23" s="290"/>
      <c r="C23" s="151"/>
      <c r="D23" s="151"/>
      <c r="E23" s="151"/>
    </row>
    <row r="24" spans="2:5" x14ac:dyDescent="0.25">
      <c r="B24" s="290"/>
      <c r="C24" s="151"/>
      <c r="D24" s="151"/>
      <c r="E24" s="151"/>
    </row>
    <row r="25" spans="2:5" x14ac:dyDescent="0.25">
      <c r="B25" s="290"/>
      <c r="C25" s="151"/>
      <c r="D25" s="151"/>
      <c r="E25" s="151"/>
    </row>
    <row r="26" spans="2:5" x14ac:dyDescent="0.25">
      <c r="B26" s="289" t="s">
        <v>207</v>
      </c>
      <c r="C26" s="151"/>
      <c r="D26" s="287"/>
      <c r="E26" s="287"/>
    </row>
    <row r="27" spans="2:5" x14ac:dyDescent="0.25">
      <c r="B27" s="289" t="s">
        <v>698</v>
      </c>
      <c r="C27" s="296" t="str">
        <f>IF(C28*0.1&lt;C26,"Exceed 10% Rule","")</f>
        <v/>
      </c>
      <c r="D27" s="293" t="str">
        <f>IF(D28*0.1&lt;D26,"Exceed 10% Rule","")</f>
        <v/>
      </c>
      <c r="E27" s="293" t="str">
        <f>IF(E28*0.1&lt;E26,"Exceed 10% Rule","")</f>
        <v/>
      </c>
    </row>
    <row r="28" spans="2:5" x14ac:dyDescent="0.25">
      <c r="B28" s="81" t="s">
        <v>265</v>
      </c>
      <c r="C28" s="295">
        <f>SUM(C18:C26)</f>
        <v>0</v>
      </c>
      <c r="D28" s="295">
        <f>SUM(D18:D26)</f>
        <v>0</v>
      </c>
      <c r="E28" s="295">
        <f>SUM(E18:E26)</f>
        <v>0</v>
      </c>
    </row>
    <row r="29" spans="2:5" x14ac:dyDescent="0.25">
      <c r="B29" s="63" t="s">
        <v>61</v>
      </c>
      <c r="C29" s="162">
        <f>C16-C28</f>
        <v>0</v>
      </c>
      <c r="D29" s="162">
        <f>D16-D28</f>
        <v>0</v>
      </c>
      <c r="E29" s="162">
        <f>E16-E28</f>
        <v>0</v>
      </c>
    </row>
    <row r="30" spans="2:5" x14ac:dyDescent="0.25">
      <c r="B30" s="98" t="str">
        <f>CONCATENATE("",E1-2,"/",E1-1,"/",E1," Budget Authority Amount:")</f>
        <v>2013/2014/2015 Budget Authority Amount:</v>
      </c>
      <c r="C30" s="724">
        <f>inputOth!B95</f>
        <v>0</v>
      </c>
      <c r="D30" s="724">
        <f>inputPrYr!D35</f>
        <v>0</v>
      </c>
      <c r="E30" s="728">
        <f>E28</f>
        <v>0</v>
      </c>
    </row>
    <row r="31" spans="2:5" x14ac:dyDescent="0.25">
      <c r="B31" s="99"/>
      <c r="C31" s="298" t="str">
        <f>IF(C28&gt;C30,"See Tab A","")</f>
        <v/>
      </c>
      <c r="D31" s="298" t="str">
        <f>IF(D28&gt;D30,"See Tab C","")</f>
        <v/>
      </c>
      <c r="E31" s="729" t="str">
        <f>IF(E29&lt;0,"See Tab E","")</f>
        <v/>
      </c>
    </row>
    <row r="32" spans="2:5" x14ac:dyDescent="0.25">
      <c r="B32" s="99"/>
      <c r="C32" s="298" t="str">
        <f>IF(C29&lt;0,"See Tab B","")</f>
        <v/>
      </c>
      <c r="D32" s="169"/>
      <c r="E32" s="169"/>
    </row>
    <row r="33" spans="2:5" x14ac:dyDescent="0.25">
      <c r="B33" s="48"/>
      <c r="C33" s="169"/>
      <c r="D33" s="169"/>
      <c r="E33" s="169"/>
    </row>
    <row r="34" spans="2:5" x14ac:dyDescent="0.25">
      <c r="B34" s="55" t="s">
        <v>249</v>
      </c>
      <c r="C34" s="53"/>
      <c r="D34" s="53"/>
      <c r="E34" s="53"/>
    </row>
    <row r="35" spans="2:5" x14ac:dyDescent="0.25">
      <c r="B35" s="48"/>
      <c r="C35" s="184" t="s">
        <v>250</v>
      </c>
      <c r="D35" s="57" t="s">
        <v>251</v>
      </c>
      <c r="E35" s="57" t="s">
        <v>252</v>
      </c>
    </row>
    <row r="36" spans="2:5" x14ac:dyDescent="0.25">
      <c r="B36" s="456">
        <f>inputPrYr!B36</f>
        <v>0</v>
      </c>
      <c r="C36" s="62" t="str">
        <f>C5</f>
        <v>Actual for 2013</v>
      </c>
      <c r="D36" s="62" t="str">
        <f>D5</f>
        <v>Estimate for 2014</v>
      </c>
      <c r="E36" s="62" t="str">
        <f>E5</f>
        <v>Year for 2015</v>
      </c>
    </row>
    <row r="37" spans="2:5" x14ac:dyDescent="0.25">
      <c r="B37" s="308" t="s">
        <v>74</v>
      </c>
      <c r="C37" s="151"/>
      <c r="D37" s="239">
        <f>C60</f>
        <v>0</v>
      </c>
      <c r="E37" s="239">
        <f>D60</f>
        <v>0</v>
      </c>
    </row>
    <row r="38" spans="2:5" s="137" customFormat="1" x14ac:dyDescent="0.25">
      <c r="B38" s="308" t="s">
        <v>62</v>
      </c>
      <c r="C38" s="73"/>
      <c r="D38" s="73"/>
      <c r="E38" s="73"/>
    </row>
    <row r="39" spans="2:5" x14ac:dyDescent="0.25">
      <c r="B39" s="290"/>
      <c r="C39" s="151"/>
      <c r="D39" s="151"/>
      <c r="E39" s="151"/>
    </row>
    <row r="40" spans="2:5" x14ac:dyDescent="0.25">
      <c r="B40" s="290"/>
      <c r="C40" s="151"/>
      <c r="D40" s="151"/>
      <c r="E40" s="151"/>
    </row>
    <row r="41" spans="2:5" x14ac:dyDescent="0.25">
      <c r="B41" s="290"/>
      <c r="C41" s="151"/>
      <c r="D41" s="151"/>
      <c r="E41" s="151"/>
    </row>
    <row r="42" spans="2:5" x14ac:dyDescent="0.25">
      <c r="B42" s="290"/>
      <c r="C42" s="151"/>
      <c r="D42" s="151"/>
      <c r="E42" s="151"/>
    </row>
    <row r="43" spans="2:5" x14ac:dyDescent="0.25">
      <c r="B43" s="310" t="s">
        <v>261</v>
      </c>
      <c r="C43" s="151"/>
      <c r="D43" s="151"/>
      <c r="E43" s="151"/>
    </row>
    <row r="44" spans="2:5" x14ac:dyDescent="0.25">
      <c r="B44" s="292" t="s">
        <v>207</v>
      </c>
      <c r="C44" s="151"/>
      <c r="D44" s="287"/>
      <c r="E44" s="287"/>
    </row>
    <row r="45" spans="2:5" x14ac:dyDescent="0.25">
      <c r="B45" s="292" t="s">
        <v>208</v>
      </c>
      <c r="C45" s="296" t="str">
        <f>IF(C46*0.1&lt;C44,"Exceed 10% Rule","")</f>
        <v/>
      </c>
      <c r="D45" s="293" t="str">
        <f>IF(D46*0.1&lt;D44,"Exceed 10% Rule","")</f>
        <v/>
      </c>
      <c r="E45" s="293" t="str">
        <f>IF(E46*0.1&lt;E44,"Exceed 10% Rule","")</f>
        <v/>
      </c>
    </row>
    <row r="46" spans="2:5" x14ac:dyDescent="0.25">
      <c r="B46" s="81" t="s">
        <v>262</v>
      </c>
      <c r="C46" s="295">
        <f>SUM(C39:C44)</f>
        <v>0</v>
      </c>
      <c r="D46" s="295">
        <f>SUM(D39:D44)</f>
        <v>0</v>
      </c>
      <c r="E46" s="295">
        <f>SUM(E39:E44)</f>
        <v>0</v>
      </c>
    </row>
    <row r="47" spans="2:5" x14ac:dyDescent="0.25">
      <c r="B47" s="81" t="s">
        <v>263</v>
      </c>
      <c r="C47" s="295">
        <f>C37+C46</f>
        <v>0</v>
      </c>
      <c r="D47" s="295">
        <f>D37+D46</f>
        <v>0</v>
      </c>
      <c r="E47" s="295">
        <f>E37+E46</f>
        <v>0</v>
      </c>
    </row>
    <row r="48" spans="2:5" x14ac:dyDescent="0.25">
      <c r="B48" s="63" t="s">
        <v>264</v>
      </c>
      <c r="C48" s="239"/>
      <c r="D48" s="239"/>
      <c r="E48" s="239"/>
    </row>
    <row r="49" spans="2:5" x14ac:dyDescent="0.25">
      <c r="B49" s="290"/>
      <c r="C49" s="151"/>
      <c r="D49" s="151"/>
      <c r="E49" s="151"/>
    </row>
    <row r="50" spans="2:5" x14ac:dyDescent="0.25">
      <c r="B50" s="290"/>
      <c r="C50" s="151"/>
      <c r="D50" s="151"/>
      <c r="E50" s="151"/>
    </row>
    <row r="51" spans="2:5" x14ac:dyDescent="0.25">
      <c r="B51" s="290"/>
      <c r="C51" s="151"/>
      <c r="D51" s="151"/>
      <c r="E51" s="151"/>
    </row>
    <row r="52" spans="2:5" x14ac:dyDescent="0.25">
      <c r="B52" s="290"/>
      <c r="C52" s="151"/>
      <c r="D52" s="151"/>
      <c r="E52" s="151"/>
    </row>
    <row r="53" spans="2:5" x14ac:dyDescent="0.25">
      <c r="B53" s="290"/>
      <c r="C53" s="151"/>
      <c r="D53" s="151"/>
      <c r="E53" s="151"/>
    </row>
    <row r="54" spans="2:5" x14ac:dyDescent="0.25">
      <c r="B54" s="290"/>
      <c r="C54" s="151"/>
      <c r="D54" s="151"/>
      <c r="E54" s="151"/>
    </row>
    <row r="55" spans="2:5" x14ac:dyDescent="0.25">
      <c r="B55" s="290"/>
      <c r="C55" s="151"/>
      <c r="D55" s="151"/>
      <c r="E55" s="151"/>
    </row>
    <row r="56" spans="2:5" x14ac:dyDescent="0.25">
      <c r="B56" s="290"/>
      <c r="C56" s="151"/>
      <c r="D56" s="151"/>
      <c r="E56" s="151"/>
    </row>
    <row r="57" spans="2:5" x14ac:dyDescent="0.25">
      <c r="B57" s="289" t="s">
        <v>207</v>
      </c>
      <c r="C57" s="151"/>
      <c r="D57" s="287"/>
      <c r="E57" s="287"/>
    </row>
    <row r="58" spans="2:5" x14ac:dyDescent="0.25">
      <c r="B58" s="289" t="s">
        <v>698</v>
      </c>
      <c r="C58" s="296" t="str">
        <f>IF(C59*0.1&lt;C57,"Exceed 10% Rule","")</f>
        <v/>
      </c>
      <c r="D58" s="293" t="str">
        <f>IF(D59*0.1&lt;D57,"Exceed 10% Rule","")</f>
        <v/>
      </c>
      <c r="E58" s="293" t="str">
        <f>IF(E59*0.1&lt;E57,"Exceed 10% Rule","")</f>
        <v/>
      </c>
    </row>
    <row r="59" spans="2:5" x14ac:dyDescent="0.25">
      <c r="B59" s="81" t="s">
        <v>265</v>
      </c>
      <c r="C59" s="295">
        <f>SUM(C49:C57)</f>
        <v>0</v>
      </c>
      <c r="D59" s="295">
        <f>SUM(D49:D57)</f>
        <v>0</v>
      </c>
      <c r="E59" s="295">
        <f>SUM(E49:E57)</f>
        <v>0</v>
      </c>
    </row>
    <row r="60" spans="2:5" x14ac:dyDescent="0.25">
      <c r="B60" s="63" t="s">
        <v>61</v>
      </c>
      <c r="C60" s="162">
        <f>C47-C59</f>
        <v>0</v>
      </c>
      <c r="D60" s="162">
        <f>D47-D59</f>
        <v>0</v>
      </c>
      <c r="E60" s="162">
        <f>E47-E59</f>
        <v>0</v>
      </c>
    </row>
    <row r="61" spans="2:5" x14ac:dyDescent="0.25">
      <c r="B61" s="98" t="str">
        <f>CONCATENATE("",E1-2,"/",E1-1,"/",E1," Budget Authority Amount:")</f>
        <v>2013/2014/2015 Budget Authority Amount:</v>
      </c>
      <c r="C61" s="724">
        <f>inputOth!B96</f>
        <v>0</v>
      </c>
      <c r="D61" s="724">
        <f>inputPrYr!D36</f>
        <v>0</v>
      </c>
      <c r="E61" s="728">
        <f>E59</f>
        <v>0</v>
      </c>
    </row>
    <row r="62" spans="2:5" x14ac:dyDescent="0.25">
      <c r="B62" s="99"/>
      <c r="C62" s="298" t="str">
        <f>IF(C59&gt;C61,"See Tab A","")</f>
        <v/>
      </c>
      <c r="D62" s="298" t="str">
        <f>IF(D59&gt;D61,"See Tab C","")</f>
        <v/>
      </c>
      <c r="E62" s="730" t="str">
        <f>IF(E60&lt;0,"See Tab E","")</f>
        <v/>
      </c>
    </row>
    <row r="63" spans="2:5" x14ac:dyDescent="0.25">
      <c r="B63" s="99"/>
      <c r="C63" s="298" t="str">
        <f>IF(C60&lt;0,"See Tab B","")</f>
        <v/>
      </c>
      <c r="D63" s="328" t="str">
        <f>IF(D60&lt;0,"See Tab D","")</f>
        <v/>
      </c>
      <c r="E63" s="48"/>
    </row>
    <row r="64" spans="2:5" x14ac:dyDescent="0.25">
      <c r="B64" s="48"/>
      <c r="C64" s="48"/>
      <c r="D64" s="48"/>
      <c r="E64" s="48"/>
    </row>
    <row r="65" spans="2:5" x14ac:dyDescent="0.25">
      <c r="B65" s="190" t="s">
        <v>248</v>
      </c>
      <c r="C65" s="134"/>
      <c r="D65" s="48"/>
      <c r="E65" s="48"/>
    </row>
  </sheetData>
  <sheetProtection sheet="1"/>
  <phoneticPr fontId="12" type="noConversion"/>
  <conditionalFormatting sqref="C13">
    <cfRule type="cellIs" dxfId="43" priority="11" stopIfTrue="1" operator="greaterThan">
      <formula>$C$15*0.1</formula>
    </cfRule>
  </conditionalFormatting>
  <conditionalFormatting sqref="D13">
    <cfRule type="cellIs" dxfId="42" priority="12" stopIfTrue="1" operator="greaterThan">
      <formula>$D$15*0.1</formula>
    </cfRule>
  </conditionalFormatting>
  <conditionalFormatting sqref="E13">
    <cfRule type="cellIs" dxfId="41" priority="13" stopIfTrue="1" operator="greaterThan">
      <formula>$E$15*0.1</formula>
    </cfRule>
  </conditionalFormatting>
  <conditionalFormatting sqref="C26">
    <cfRule type="cellIs" dxfId="40" priority="14" stopIfTrue="1" operator="greaterThan">
      <formula>$C$28*0.1</formula>
    </cfRule>
  </conditionalFormatting>
  <conditionalFormatting sqref="D26">
    <cfRule type="cellIs" dxfId="39" priority="15" stopIfTrue="1" operator="greaterThan">
      <formula>$D$28*0.1</formula>
    </cfRule>
  </conditionalFormatting>
  <conditionalFormatting sqref="E26">
    <cfRule type="cellIs" dxfId="38" priority="16" stopIfTrue="1" operator="greaterThan">
      <formula>$E$28*0.1</formula>
    </cfRule>
  </conditionalFormatting>
  <conditionalFormatting sqref="C57">
    <cfRule type="cellIs" dxfId="37" priority="17" stopIfTrue="1" operator="greaterThan">
      <formula>$C$59*0.1</formula>
    </cfRule>
  </conditionalFormatting>
  <conditionalFormatting sqref="D57">
    <cfRule type="cellIs" dxfId="36" priority="18" stopIfTrue="1" operator="greaterThan">
      <formula>$D$59*0.1</formula>
    </cfRule>
  </conditionalFormatting>
  <conditionalFormatting sqref="E57">
    <cfRule type="cellIs" dxfId="35" priority="19" stopIfTrue="1" operator="greaterThan">
      <formula>$E$59*0.1</formula>
    </cfRule>
  </conditionalFormatting>
  <conditionalFormatting sqref="C44">
    <cfRule type="cellIs" dxfId="34" priority="20" stopIfTrue="1" operator="greaterThan">
      <formula>$C$46*0.1</formula>
    </cfRule>
  </conditionalFormatting>
  <conditionalFormatting sqref="D44">
    <cfRule type="cellIs" dxfId="33" priority="21" stopIfTrue="1" operator="greaterThan">
      <formula>$D$46*0.1</formula>
    </cfRule>
  </conditionalFormatting>
  <conditionalFormatting sqref="E44">
    <cfRule type="cellIs" dxfId="32" priority="22" stopIfTrue="1" operator="greaterThan">
      <formula>$E$46*0.1</formula>
    </cfRule>
  </conditionalFormatting>
  <conditionalFormatting sqref="C59">
    <cfRule type="cellIs" dxfId="31" priority="10" stopIfTrue="1" operator="greaterThan">
      <formula>$C$61</formula>
    </cfRule>
  </conditionalFormatting>
  <conditionalFormatting sqref="C60">
    <cfRule type="cellIs" dxfId="30" priority="9" stopIfTrue="1" operator="lessThan">
      <formula>0</formula>
    </cfRule>
  </conditionalFormatting>
  <conditionalFormatting sqref="D59">
    <cfRule type="cellIs" dxfId="29" priority="8" stopIfTrue="1" operator="greaterThan">
      <formula>$D$61</formula>
    </cfRule>
  </conditionalFormatting>
  <conditionalFormatting sqref="E60">
    <cfRule type="cellIs" dxfId="28" priority="7" stopIfTrue="1" operator="lessThan">
      <formula>0</formula>
    </cfRule>
  </conditionalFormatting>
  <conditionalFormatting sqref="D29">
    <cfRule type="cellIs" dxfId="27" priority="6" stopIfTrue="1" operator="lessThan">
      <formula>0</formula>
    </cfRule>
  </conditionalFormatting>
  <conditionalFormatting sqref="E29">
    <cfRule type="cellIs" dxfId="26" priority="5" stopIfTrue="1" operator="lessThan">
      <formula>0</formula>
    </cfRule>
  </conditionalFormatting>
  <conditionalFormatting sqref="D28">
    <cfRule type="cellIs" dxfId="25" priority="4" stopIfTrue="1" operator="greaterThan">
      <formula>$D$30</formula>
    </cfRule>
  </conditionalFormatting>
  <conditionalFormatting sqref="C29">
    <cfRule type="cellIs" dxfId="24" priority="3" stopIfTrue="1" operator="lessThan">
      <formula>0</formula>
    </cfRule>
  </conditionalFormatting>
  <conditionalFormatting sqref="C28">
    <cfRule type="cellIs" dxfId="23" priority="2" stopIfTrue="1" operator="greaterThan">
      <formula>$C$30</formula>
    </cfRule>
  </conditionalFormatting>
  <conditionalFormatting sqref="D60">
    <cfRule type="cellIs" dxfId="22"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B1:E65"/>
  <sheetViews>
    <sheetView workbookViewId="0">
      <selection activeCell="O114" sqref="O114"/>
    </sheetView>
  </sheetViews>
  <sheetFormatPr defaultColWidth="8.796875" defaultRowHeight="15.75" x14ac:dyDescent="0.25"/>
  <cols>
    <col min="1" max="1" width="2.3984375" style="95" customWidth="1"/>
    <col min="2" max="2" width="31" style="95" customWidth="1"/>
    <col min="3" max="5" width="14.19921875" style="95" customWidth="1"/>
    <col min="6" max="16384" width="8.796875" style="95"/>
  </cols>
  <sheetData>
    <row r="1" spans="2:5" x14ac:dyDescent="0.25">
      <c r="B1" s="203" t="str">
        <f>inputPrYr!D3</f>
        <v>Milton Township</v>
      </c>
      <c r="C1" s="48"/>
      <c r="D1" s="48"/>
      <c r="E1" s="204">
        <f>inputPrYr!D9</f>
        <v>2015</v>
      </c>
    </row>
    <row r="2" spans="2:5" x14ac:dyDescent="0.25">
      <c r="B2" s="48"/>
      <c r="C2" s="48"/>
      <c r="D2" s="48"/>
      <c r="E2" s="190"/>
    </row>
    <row r="3" spans="2:5" x14ac:dyDescent="0.25">
      <c r="B3" s="139" t="s">
        <v>73</v>
      </c>
      <c r="C3" s="53"/>
      <c r="D3" s="53"/>
      <c r="E3" s="53"/>
    </row>
    <row r="4" spans="2:5" x14ac:dyDescent="0.25">
      <c r="B4" s="55" t="s">
        <v>249</v>
      </c>
      <c r="C4" s="184" t="s">
        <v>250</v>
      </c>
      <c r="D4" s="57" t="s">
        <v>251</v>
      </c>
      <c r="E4" s="57" t="s">
        <v>252</v>
      </c>
    </row>
    <row r="5" spans="2:5" x14ac:dyDescent="0.25">
      <c r="B5" s="158">
        <f>inputPrYr!B37</f>
        <v>0</v>
      </c>
      <c r="C5" s="62" t="str">
        <f>gen!C5</f>
        <v>Actual for 2013</v>
      </c>
      <c r="D5" s="62" t="str">
        <f>gen!D5</f>
        <v>Estimate for 2014</v>
      </c>
      <c r="E5" s="62" t="str">
        <f>gen!E5</f>
        <v>Year for 2015</v>
      </c>
    </row>
    <row r="6" spans="2:5" x14ac:dyDescent="0.25">
      <c r="B6" s="308" t="s">
        <v>74</v>
      </c>
      <c r="C6" s="151"/>
      <c r="D6" s="239">
        <f>C29</f>
        <v>0</v>
      </c>
      <c r="E6" s="239">
        <f>D29</f>
        <v>0</v>
      </c>
    </row>
    <row r="7" spans="2:5" s="137" customFormat="1" x14ac:dyDescent="0.25">
      <c r="B7" s="309" t="s">
        <v>62</v>
      </c>
      <c r="C7" s="73"/>
      <c r="D7" s="73"/>
      <c r="E7" s="73"/>
    </row>
    <row r="8" spans="2:5" x14ac:dyDescent="0.25">
      <c r="B8" s="290"/>
      <c r="C8" s="151"/>
      <c r="D8" s="151"/>
      <c r="E8" s="151"/>
    </row>
    <row r="9" spans="2:5" x14ac:dyDescent="0.25">
      <c r="B9" s="290"/>
      <c r="C9" s="151"/>
      <c r="D9" s="151"/>
      <c r="E9" s="151"/>
    </row>
    <row r="10" spans="2:5" x14ac:dyDescent="0.25">
      <c r="B10" s="290"/>
      <c r="C10" s="151"/>
      <c r="D10" s="151"/>
      <c r="E10" s="151"/>
    </row>
    <row r="11" spans="2:5" x14ac:dyDescent="0.25">
      <c r="B11" s="290"/>
      <c r="C11" s="151"/>
      <c r="D11" s="151"/>
      <c r="E11" s="151"/>
    </row>
    <row r="12" spans="2:5" x14ac:dyDescent="0.25">
      <c r="B12" s="310" t="s">
        <v>261</v>
      </c>
      <c r="C12" s="151"/>
      <c r="D12" s="151"/>
      <c r="E12" s="151"/>
    </row>
    <row r="13" spans="2:5" x14ac:dyDescent="0.25">
      <c r="B13" s="292" t="s">
        <v>207</v>
      </c>
      <c r="C13" s="151"/>
      <c r="D13" s="287"/>
      <c r="E13" s="287"/>
    </row>
    <row r="14" spans="2:5" x14ac:dyDescent="0.25">
      <c r="B14" s="292" t="s">
        <v>208</v>
      </c>
      <c r="C14" s="296" t="str">
        <f>IF(C15*0.1&lt;C13,"Exceed 10% Rule","")</f>
        <v/>
      </c>
      <c r="D14" s="293" t="str">
        <f>IF(D15*0.1&lt;D13,"Exceed 10% Rule","")</f>
        <v/>
      </c>
      <c r="E14" s="293" t="str">
        <f>IF(E15*0.1&lt;E13,"Exceed 10% Rule","")</f>
        <v/>
      </c>
    </row>
    <row r="15" spans="2:5" x14ac:dyDescent="0.25">
      <c r="B15" s="81" t="s">
        <v>262</v>
      </c>
      <c r="C15" s="295">
        <f>SUM(C8:C13)</f>
        <v>0</v>
      </c>
      <c r="D15" s="295">
        <f>SUM(D8:D13)</f>
        <v>0</v>
      </c>
      <c r="E15" s="295">
        <f>SUM(E8:E13)</f>
        <v>0</v>
      </c>
    </row>
    <row r="16" spans="2:5" x14ac:dyDescent="0.25">
      <c r="B16" s="81" t="s">
        <v>263</v>
      </c>
      <c r="C16" s="295">
        <f>C6+C15</f>
        <v>0</v>
      </c>
      <c r="D16" s="295">
        <f>D6+D15</f>
        <v>0</v>
      </c>
      <c r="E16" s="295">
        <f>E6+E15</f>
        <v>0</v>
      </c>
    </row>
    <row r="17" spans="2:5" x14ac:dyDescent="0.25">
      <c r="B17" s="63" t="s">
        <v>264</v>
      </c>
      <c r="C17" s="239"/>
      <c r="D17" s="239"/>
      <c r="E17" s="239"/>
    </row>
    <row r="18" spans="2:5" x14ac:dyDescent="0.25">
      <c r="B18" s="290"/>
      <c r="C18" s="151"/>
      <c r="D18" s="151"/>
      <c r="E18" s="151"/>
    </row>
    <row r="19" spans="2:5" x14ac:dyDescent="0.25">
      <c r="B19" s="290"/>
      <c r="C19" s="151"/>
      <c r="D19" s="151"/>
      <c r="E19" s="151"/>
    </row>
    <row r="20" spans="2:5" x14ac:dyDescent="0.25">
      <c r="B20" s="290"/>
      <c r="C20" s="151"/>
      <c r="D20" s="151"/>
      <c r="E20" s="151"/>
    </row>
    <row r="21" spans="2:5" x14ac:dyDescent="0.25">
      <c r="B21" s="290"/>
      <c r="C21" s="151"/>
      <c r="D21" s="151"/>
      <c r="E21" s="151"/>
    </row>
    <row r="22" spans="2:5" x14ac:dyDescent="0.25">
      <c r="B22" s="290"/>
      <c r="C22" s="151"/>
      <c r="D22" s="151"/>
      <c r="E22" s="151"/>
    </row>
    <row r="23" spans="2:5" x14ac:dyDescent="0.25">
      <c r="B23" s="290"/>
      <c r="C23" s="151"/>
      <c r="D23" s="151"/>
      <c r="E23" s="151"/>
    </row>
    <row r="24" spans="2:5" x14ac:dyDescent="0.25">
      <c r="B24" s="290"/>
      <c r="C24" s="151"/>
      <c r="D24" s="151"/>
      <c r="E24" s="151"/>
    </row>
    <row r="25" spans="2:5" x14ac:dyDescent="0.25">
      <c r="B25" s="290"/>
      <c r="C25" s="151"/>
      <c r="D25" s="151"/>
      <c r="E25" s="151"/>
    </row>
    <row r="26" spans="2:5" x14ac:dyDescent="0.25">
      <c r="B26" s="289" t="s">
        <v>207</v>
      </c>
      <c r="C26" s="151"/>
      <c r="D26" s="287"/>
      <c r="E26" s="287"/>
    </row>
    <row r="27" spans="2:5" x14ac:dyDescent="0.25">
      <c r="B27" s="289" t="s">
        <v>698</v>
      </c>
      <c r="C27" s="296" t="str">
        <f>IF(C28*0.1&lt;C26,"Exceed 10% Rule","")</f>
        <v/>
      </c>
      <c r="D27" s="293" t="str">
        <f>IF(D28*0.1&lt;D26,"Exceed 10% Rule","")</f>
        <v/>
      </c>
      <c r="E27" s="293" t="str">
        <f>IF(E28*0.1&lt;E26,"Exceed 10% Rule","")</f>
        <v/>
      </c>
    </row>
    <row r="28" spans="2:5" x14ac:dyDescent="0.25">
      <c r="B28" s="81" t="s">
        <v>265</v>
      </c>
      <c r="C28" s="295">
        <f>SUM(C18:C26)</f>
        <v>0</v>
      </c>
      <c r="D28" s="295">
        <f>SUM(D18:D26)</f>
        <v>0</v>
      </c>
      <c r="E28" s="295">
        <f>SUM(E18:E26)</f>
        <v>0</v>
      </c>
    </row>
    <row r="29" spans="2:5" x14ac:dyDescent="0.25">
      <c r="B29" s="63" t="s">
        <v>61</v>
      </c>
      <c r="C29" s="162">
        <f>C16-C28</f>
        <v>0</v>
      </c>
      <c r="D29" s="162">
        <f>D16-D28</f>
        <v>0</v>
      </c>
      <c r="E29" s="162">
        <f>E16-E28</f>
        <v>0</v>
      </c>
    </row>
    <row r="30" spans="2:5" x14ac:dyDescent="0.25">
      <c r="B30" s="98" t="str">
        <f>CONCATENATE("",E1-2,"/",E1-1,"/",E1," Budget Authority Amount:")</f>
        <v>2013/2014/2015 Budget Authority Amount:</v>
      </c>
      <c r="C30" s="724">
        <f>inputOth!B97</f>
        <v>0</v>
      </c>
      <c r="D30" s="724">
        <f>inputPrYr!D37</f>
        <v>0</v>
      </c>
      <c r="E30" s="728">
        <f>E28</f>
        <v>0</v>
      </c>
    </row>
    <row r="31" spans="2:5" x14ac:dyDescent="0.25">
      <c r="B31" s="99"/>
      <c r="C31" s="298" t="str">
        <f>IF(C28&gt;C30,"See Tab A","")</f>
        <v/>
      </c>
      <c r="D31" s="298" t="str">
        <f>IF(D28&gt;D30,"See Tab C","")</f>
        <v/>
      </c>
      <c r="E31" s="729" t="str">
        <f>IF(E29&lt;0,"See Tab E","")</f>
        <v/>
      </c>
    </row>
    <row r="32" spans="2:5" x14ac:dyDescent="0.25">
      <c r="B32" s="99"/>
      <c r="C32" s="298" t="str">
        <f>IF(C29&lt;0,"See Tab B","")</f>
        <v/>
      </c>
      <c r="D32" s="169"/>
      <c r="E32" s="169"/>
    </row>
    <row r="33" spans="2:5" x14ac:dyDescent="0.25">
      <c r="B33" s="48"/>
      <c r="C33" s="169"/>
      <c r="D33" s="169"/>
      <c r="E33" s="169"/>
    </row>
    <row r="34" spans="2:5" x14ac:dyDescent="0.25">
      <c r="B34" s="55" t="s">
        <v>249</v>
      </c>
      <c r="C34" s="53"/>
      <c r="D34" s="53"/>
      <c r="E34" s="53"/>
    </row>
    <row r="35" spans="2:5" x14ac:dyDescent="0.25">
      <c r="B35" s="48"/>
      <c r="C35" s="184" t="s">
        <v>250</v>
      </c>
      <c r="D35" s="57" t="s">
        <v>251</v>
      </c>
      <c r="E35" s="57" t="s">
        <v>252</v>
      </c>
    </row>
    <row r="36" spans="2:5" x14ac:dyDescent="0.25">
      <c r="B36" s="219">
        <f>inputPrYr!B38</f>
        <v>0</v>
      </c>
      <c r="C36" s="62" t="str">
        <f>C5</f>
        <v>Actual for 2013</v>
      </c>
      <c r="D36" s="62" t="str">
        <f>D5</f>
        <v>Estimate for 2014</v>
      </c>
      <c r="E36" s="62" t="str">
        <f>E5</f>
        <v>Year for 2015</v>
      </c>
    </row>
    <row r="37" spans="2:5" x14ac:dyDescent="0.25">
      <c r="B37" s="308" t="s">
        <v>74</v>
      </c>
      <c r="C37" s="151"/>
      <c r="D37" s="239">
        <f>C60</f>
        <v>0</v>
      </c>
      <c r="E37" s="239">
        <f>D60</f>
        <v>0</v>
      </c>
    </row>
    <row r="38" spans="2:5" s="137" customFormat="1" x14ac:dyDescent="0.25">
      <c r="B38" s="308" t="s">
        <v>62</v>
      </c>
      <c r="C38" s="73"/>
      <c r="D38" s="73"/>
      <c r="E38" s="73"/>
    </row>
    <row r="39" spans="2:5" x14ac:dyDescent="0.25">
      <c r="B39" s="290"/>
      <c r="C39" s="151"/>
      <c r="D39" s="151"/>
      <c r="E39" s="151"/>
    </row>
    <row r="40" spans="2:5" x14ac:dyDescent="0.25">
      <c r="B40" s="290"/>
      <c r="C40" s="151"/>
      <c r="D40" s="151"/>
      <c r="E40" s="151"/>
    </row>
    <row r="41" spans="2:5" x14ac:dyDescent="0.25">
      <c r="B41" s="290"/>
      <c r="C41" s="151"/>
      <c r="D41" s="151"/>
      <c r="E41" s="151"/>
    </row>
    <row r="42" spans="2:5" x14ac:dyDescent="0.25">
      <c r="B42" s="290"/>
      <c r="C42" s="151"/>
      <c r="D42" s="151"/>
      <c r="E42" s="151"/>
    </row>
    <row r="43" spans="2:5" x14ac:dyDescent="0.25">
      <c r="B43" s="310" t="s">
        <v>261</v>
      </c>
      <c r="C43" s="151"/>
      <c r="D43" s="151"/>
      <c r="E43" s="151"/>
    </row>
    <row r="44" spans="2:5" x14ac:dyDescent="0.25">
      <c r="B44" s="292" t="s">
        <v>207</v>
      </c>
      <c r="C44" s="151"/>
      <c r="D44" s="287"/>
      <c r="E44" s="287"/>
    </row>
    <row r="45" spans="2:5" x14ac:dyDescent="0.25">
      <c r="B45" s="292" t="s">
        <v>208</v>
      </c>
      <c r="C45" s="296" t="str">
        <f>IF(C46*0.1&lt;C44,"Exceed 10% Rule","")</f>
        <v/>
      </c>
      <c r="D45" s="293" t="str">
        <f>IF(D46*0.1&lt;D44,"Exceed 10% Rule","")</f>
        <v/>
      </c>
      <c r="E45" s="293" t="str">
        <f>IF(E46*0.1&lt;E44,"Exceed 10% Rule","")</f>
        <v/>
      </c>
    </row>
    <row r="46" spans="2:5" x14ac:dyDescent="0.25">
      <c r="B46" s="81" t="s">
        <v>262</v>
      </c>
      <c r="C46" s="295">
        <f>SUM(C39:C44)</f>
        <v>0</v>
      </c>
      <c r="D46" s="295">
        <f>SUM(D39:D44)</f>
        <v>0</v>
      </c>
      <c r="E46" s="295">
        <f>SUM(E39:E44)</f>
        <v>0</v>
      </c>
    </row>
    <row r="47" spans="2:5" x14ac:dyDescent="0.25">
      <c r="B47" s="81" t="s">
        <v>263</v>
      </c>
      <c r="C47" s="295">
        <f>C37+C46</f>
        <v>0</v>
      </c>
      <c r="D47" s="295">
        <f>D37+D46</f>
        <v>0</v>
      </c>
      <c r="E47" s="295">
        <f>E37+E46</f>
        <v>0</v>
      </c>
    </row>
    <row r="48" spans="2:5" x14ac:dyDescent="0.25">
      <c r="B48" s="63" t="s">
        <v>264</v>
      </c>
      <c r="C48" s="239"/>
      <c r="D48" s="239"/>
      <c r="E48" s="239"/>
    </row>
    <row r="49" spans="2:5" x14ac:dyDescent="0.25">
      <c r="B49" s="290"/>
      <c r="C49" s="151"/>
      <c r="D49" s="151"/>
      <c r="E49" s="151"/>
    </row>
    <row r="50" spans="2:5" x14ac:dyDescent="0.25">
      <c r="B50" s="290"/>
      <c r="C50" s="151"/>
      <c r="D50" s="151"/>
      <c r="E50" s="151"/>
    </row>
    <row r="51" spans="2:5" x14ac:dyDescent="0.25">
      <c r="B51" s="290"/>
      <c r="C51" s="151"/>
      <c r="D51" s="151"/>
      <c r="E51" s="151"/>
    </row>
    <row r="52" spans="2:5" x14ac:dyDescent="0.25">
      <c r="B52" s="290"/>
      <c r="C52" s="151"/>
      <c r="D52" s="151"/>
      <c r="E52" s="151"/>
    </row>
    <row r="53" spans="2:5" x14ac:dyDescent="0.25">
      <c r="B53" s="290"/>
      <c r="C53" s="151"/>
      <c r="D53" s="151"/>
      <c r="E53" s="151"/>
    </row>
    <row r="54" spans="2:5" x14ac:dyDescent="0.25">
      <c r="B54" s="290"/>
      <c r="C54" s="151"/>
      <c r="D54" s="151"/>
      <c r="E54" s="151"/>
    </row>
    <row r="55" spans="2:5" x14ac:dyDescent="0.25">
      <c r="B55" s="290"/>
      <c r="C55" s="151"/>
      <c r="D55" s="151"/>
      <c r="E55" s="151"/>
    </row>
    <row r="56" spans="2:5" x14ac:dyDescent="0.25">
      <c r="B56" s="290"/>
      <c r="C56" s="151"/>
      <c r="D56" s="151"/>
      <c r="E56" s="151"/>
    </row>
    <row r="57" spans="2:5" x14ac:dyDescent="0.25">
      <c r="B57" s="289" t="s">
        <v>207</v>
      </c>
      <c r="C57" s="151"/>
      <c r="D57" s="287"/>
      <c r="E57" s="287"/>
    </row>
    <row r="58" spans="2:5" x14ac:dyDescent="0.25">
      <c r="B58" s="289" t="s">
        <v>698</v>
      </c>
      <c r="C58" s="296" t="str">
        <f>IF(C59*0.1&lt;C57,"Exceed 10% Rule","")</f>
        <v/>
      </c>
      <c r="D58" s="293" t="str">
        <f>IF(D59*0.1&lt;D57,"Exceed 10% Rule","")</f>
        <v/>
      </c>
      <c r="E58" s="293" t="str">
        <f>IF(E59*0.1&lt;E57,"Exceed 10% Rule","")</f>
        <v/>
      </c>
    </row>
    <row r="59" spans="2:5" x14ac:dyDescent="0.25">
      <c r="B59" s="81" t="s">
        <v>265</v>
      </c>
      <c r="C59" s="295">
        <f>SUM(C49:C57)</f>
        <v>0</v>
      </c>
      <c r="D59" s="295">
        <f>SUM(D49:D57)</f>
        <v>0</v>
      </c>
      <c r="E59" s="295">
        <f>SUM(E49:E57)</f>
        <v>0</v>
      </c>
    </row>
    <row r="60" spans="2:5" x14ac:dyDescent="0.25">
      <c r="B60" s="63" t="s">
        <v>61</v>
      </c>
      <c r="C60" s="162">
        <f>C47-C59</f>
        <v>0</v>
      </c>
      <c r="D60" s="162">
        <f>D47-D59</f>
        <v>0</v>
      </c>
      <c r="E60" s="162">
        <f>E47-E59</f>
        <v>0</v>
      </c>
    </row>
    <row r="61" spans="2:5" x14ac:dyDescent="0.25">
      <c r="B61" s="98" t="str">
        <f>CONCATENATE("",E1-2,"/",E1-1,"/",E1," Budget Authority Amount:")</f>
        <v>2013/2014/2015 Budget Authority Amount:</v>
      </c>
      <c r="C61" s="724">
        <f>inputOth!B98</f>
        <v>0</v>
      </c>
      <c r="D61" s="724">
        <f>inputPrYr!D38</f>
        <v>0</v>
      </c>
      <c r="E61" s="728">
        <f>E59</f>
        <v>0</v>
      </c>
    </row>
    <row r="62" spans="2:5" x14ac:dyDescent="0.25">
      <c r="B62" s="99"/>
      <c r="C62" s="298" t="str">
        <f>IF(C59&gt;C61,"See Tab A","")</f>
        <v/>
      </c>
      <c r="D62" s="298" t="str">
        <f>IF(D59&gt;D61,"See Tab C","")</f>
        <v/>
      </c>
      <c r="E62" s="730" t="str">
        <f>IF(E60&lt;0,"See Tab E","")</f>
        <v/>
      </c>
    </row>
    <row r="63" spans="2:5" x14ac:dyDescent="0.25">
      <c r="B63" s="99"/>
      <c r="C63" s="298" t="str">
        <f>IF(C60&lt;0,"See Tab B","")</f>
        <v/>
      </c>
      <c r="D63" s="328" t="str">
        <f>IF(D60&lt;0,"See Tab D","")</f>
        <v/>
      </c>
      <c r="E63" s="48"/>
    </row>
    <row r="64" spans="2:5" x14ac:dyDescent="0.25">
      <c r="B64" s="48"/>
      <c r="C64" s="48"/>
      <c r="D64" s="48"/>
      <c r="E64" s="48"/>
    </row>
    <row r="65" spans="2:5" x14ac:dyDescent="0.25">
      <c r="B65" s="190" t="s">
        <v>699</v>
      </c>
      <c r="C65" s="134"/>
      <c r="D65" s="48"/>
      <c r="E65" s="48"/>
    </row>
  </sheetData>
  <sheetProtection sheet="1"/>
  <phoneticPr fontId="12" type="noConversion"/>
  <conditionalFormatting sqref="C26">
    <cfRule type="cellIs" dxfId="21" priority="11" stopIfTrue="1" operator="greaterThan">
      <formula>$C$28*0.1</formula>
    </cfRule>
  </conditionalFormatting>
  <conditionalFormatting sqref="D26">
    <cfRule type="cellIs" dxfId="20" priority="12" stopIfTrue="1" operator="greaterThan">
      <formula>$D$28*0.1</formula>
    </cfRule>
  </conditionalFormatting>
  <conditionalFormatting sqref="E26">
    <cfRule type="cellIs" dxfId="19" priority="13" stopIfTrue="1" operator="greaterThan">
      <formula>$E$28*0.1</formula>
    </cfRule>
  </conditionalFormatting>
  <conditionalFormatting sqref="C57">
    <cfRule type="cellIs" dxfId="18" priority="14" stopIfTrue="1" operator="greaterThan">
      <formula>$C$59*0.1</formula>
    </cfRule>
  </conditionalFormatting>
  <conditionalFormatting sqref="D57">
    <cfRule type="cellIs" dxfId="17" priority="15" stopIfTrue="1" operator="greaterThan">
      <formula>$D$59*0.1</formula>
    </cfRule>
  </conditionalFormatting>
  <conditionalFormatting sqref="E57">
    <cfRule type="cellIs" dxfId="16" priority="16" stopIfTrue="1" operator="greaterThan">
      <formula>$E$59*0.1</formula>
    </cfRule>
  </conditionalFormatting>
  <conditionalFormatting sqref="C44">
    <cfRule type="cellIs" dxfId="15" priority="17" stopIfTrue="1" operator="greaterThan">
      <formula>$C$46*0.1</formula>
    </cfRule>
  </conditionalFormatting>
  <conditionalFormatting sqref="D44">
    <cfRule type="cellIs" dxfId="14" priority="18" stopIfTrue="1" operator="greaterThan">
      <formula>$D$46*0.1</formula>
    </cfRule>
  </conditionalFormatting>
  <conditionalFormatting sqref="E44">
    <cfRule type="cellIs" dxfId="13" priority="19" stopIfTrue="1" operator="greaterThan">
      <formula>$E$46*0.1</formula>
    </cfRule>
  </conditionalFormatting>
  <conditionalFormatting sqref="C13">
    <cfRule type="cellIs" dxfId="12" priority="20" stopIfTrue="1" operator="greaterThan">
      <formula>$C$15*0.1</formula>
    </cfRule>
  </conditionalFormatting>
  <conditionalFormatting sqref="D13">
    <cfRule type="cellIs" dxfId="11" priority="21" stopIfTrue="1" operator="greaterThan">
      <formula>$D$15*0.1</formula>
    </cfRule>
  </conditionalFormatting>
  <conditionalFormatting sqref="E13">
    <cfRule type="cellIs" dxfId="10" priority="22" stopIfTrue="1" operator="greaterThan">
      <formula>$E$15*0.1</formula>
    </cfRule>
  </conditionalFormatting>
  <conditionalFormatting sqref="C28">
    <cfRule type="cellIs" dxfId="9" priority="10" stopIfTrue="1" operator="greaterThan">
      <formula>$C$30</formula>
    </cfRule>
  </conditionalFormatting>
  <conditionalFormatting sqref="C29">
    <cfRule type="cellIs" dxfId="8" priority="9" stopIfTrue="1" operator="lessThan">
      <formula>0</formula>
    </cfRule>
  </conditionalFormatting>
  <conditionalFormatting sqref="D28">
    <cfRule type="cellIs" dxfId="7" priority="8" stopIfTrue="1" operator="greaterThan">
      <formula>$D$30</formula>
    </cfRule>
  </conditionalFormatting>
  <conditionalFormatting sqref="E29">
    <cfRule type="cellIs" dxfId="6" priority="7" stopIfTrue="1" operator="lessThan">
      <formula>0</formula>
    </cfRule>
  </conditionalFormatting>
  <conditionalFormatting sqref="C59">
    <cfRule type="cellIs" dxfId="5" priority="6" stopIfTrue="1" operator="greaterThan">
      <formula>$C$61</formula>
    </cfRule>
  </conditionalFormatting>
  <conditionalFormatting sqref="C60">
    <cfRule type="cellIs" dxfId="4" priority="5" stopIfTrue="1" operator="lessThan">
      <formula>0</formula>
    </cfRule>
  </conditionalFormatting>
  <conditionalFormatting sqref="D59">
    <cfRule type="cellIs" dxfId="3" priority="4" stopIfTrue="1" operator="greaterThan">
      <formula>$D$61</formula>
    </cfRule>
  </conditionalFormatting>
  <conditionalFormatting sqref="E60">
    <cfRule type="cellIs" dxfId="2" priority="3" stopIfTrue="1" operator="lessThan">
      <formula>0</formula>
    </cfRule>
  </conditionalFormatting>
  <conditionalFormatting sqref="D29">
    <cfRule type="cellIs" dxfId="1" priority="2" stopIfTrue="1" operator="lessThan">
      <formula>0</formula>
    </cfRule>
  </conditionalFormatting>
  <conditionalFormatting sqref="D60">
    <cfRule type="cellIs" dxfId="0"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1"/>
  <sheetViews>
    <sheetView workbookViewId="0">
      <selection activeCell="F33" sqref="F33"/>
    </sheetView>
  </sheetViews>
  <sheetFormatPr defaultColWidth="8.796875" defaultRowHeight="15.75" x14ac:dyDescent="0.25"/>
  <cols>
    <col min="1" max="1" width="10.3984375" style="95" customWidth="1"/>
    <col min="2" max="2" width="6.69921875" style="95" customWidth="1"/>
    <col min="3" max="3" width="10.3984375" style="95" customWidth="1"/>
    <col min="4" max="4" width="6.69921875" style="95" customWidth="1"/>
    <col min="5" max="5" width="10.3984375" style="95" customWidth="1"/>
    <col min="6" max="6" width="6.69921875" style="95" customWidth="1"/>
    <col min="7" max="7" width="10.3984375" style="95" customWidth="1"/>
    <col min="8" max="8" width="6.69921875" style="95" customWidth="1"/>
    <col min="9" max="9" width="10.3984375" style="95" customWidth="1"/>
    <col min="10" max="16384" width="8.796875" style="95"/>
  </cols>
  <sheetData>
    <row r="1" spans="1:11" x14ac:dyDescent="0.25">
      <c r="A1" s="103" t="str">
        <f>inputPrYr!$D$3</f>
        <v>Milton Township</v>
      </c>
      <c r="B1" s="100"/>
      <c r="C1" s="94"/>
      <c r="D1" s="94"/>
      <c r="E1" s="94"/>
      <c r="F1" s="101" t="s">
        <v>311</v>
      </c>
      <c r="G1" s="94"/>
      <c r="H1" s="94"/>
      <c r="I1" s="94"/>
      <c r="J1" s="94"/>
      <c r="K1" s="94">
        <f>inputPrYr!$D$9</f>
        <v>2015</v>
      </c>
    </row>
    <row r="2" spans="1:11" x14ac:dyDescent="0.25">
      <c r="A2" s="94"/>
      <c r="B2" s="94"/>
      <c r="C2" s="94"/>
      <c r="D2" s="94"/>
      <c r="E2" s="94"/>
      <c r="F2" s="102" t="str">
        <f>CONCATENATE("(Only the actual budget year for ",K1-2," is to be shown)")</f>
        <v>(Only the actual budget year for 2013 is to be shown)</v>
      </c>
      <c r="G2" s="94"/>
      <c r="H2" s="94"/>
      <c r="I2" s="94"/>
      <c r="J2" s="94"/>
      <c r="K2" s="94"/>
    </row>
    <row r="3" spans="1:11" x14ac:dyDescent="0.25">
      <c r="A3" s="94" t="s">
        <v>312</v>
      </c>
      <c r="B3" s="94"/>
      <c r="C3" s="94"/>
      <c r="D3" s="94"/>
      <c r="E3" s="94"/>
      <c r="F3" s="100"/>
      <c r="G3" s="94"/>
      <c r="H3" s="94"/>
      <c r="I3" s="94"/>
      <c r="J3" s="94"/>
      <c r="K3" s="94"/>
    </row>
    <row r="4" spans="1:11" x14ac:dyDescent="0.25">
      <c r="A4" s="94" t="s">
        <v>313</v>
      </c>
      <c r="B4" s="94"/>
      <c r="C4" s="94" t="s">
        <v>314</v>
      </c>
      <c r="D4" s="94"/>
      <c r="E4" s="94" t="s">
        <v>315</v>
      </c>
      <c r="F4" s="100"/>
      <c r="G4" s="94" t="s">
        <v>316</v>
      </c>
      <c r="H4" s="94"/>
      <c r="I4" s="94" t="s">
        <v>317</v>
      </c>
      <c r="J4" s="94"/>
      <c r="K4" s="94"/>
    </row>
    <row r="5" spans="1:11" x14ac:dyDescent="0.25">
      <c r="A5" s="874">
        <f>inputPrYr!B41</f>
        <v>0</v>
      </c>
      <c r="B5" s="875"/>
      <c r="C5" s="874">
        <f>inputPrYr!B42</f>
        <v>0</v>
      </c>
      <c r="D5" s="875"/>
      <c r="E5" s="874">
        <f>inputPrYr!B43</f>
        <v>0</v>
      </c>
      <c r="F5" s="875"/>
      <c r="G5" s="876">
        <f>inputPrYr!B44</f>
        <v>0</v>
      </c>
      <c r="H5" s="875"/>
      <c r="I5" s="876">
        <f>inputPrYr!B45</f>
        <v>0</v>
      </c>
      <c r="J5" s="875"/>
      <c r="K5" s="105"/>
    </row>
    <row r="6" spans="1:11" x14ac:dyDescent="0.25">
      <c r="A6" s="106" t="s">
        <v>318</v>
      </c>
      <c r="B6" s="107"/>
      <c r="C6" s="108" t="s">
        <v>318</v>
      </c>
      <c r="D6" s="109"/>
      <c r="E6" s="108" t="s">
        <v>318</v>
      </c>
      <c r="F6" s="110"/>
      <c r="G6" s="108" t="s">
        <v>318</v>
      </c>
      <c r="H6" s="104"/>
      <c r="I6" s="108" t="s">
        <v>318</v>
      </c>
      <c r="J6" s="94"/>
      <c r="K6" s="111" t="s">
        <v>220</v>
      </c>
    </row>
    <row r="7" spans="1:11" x14ac:dyDescent="0.25">
      <c r="A7" s="112" t="s">
        <v>319</v>
      </c>
      <c r="B7" s="113"/>
      <c r="C7" s="114" t="s">
        <v>319</v>
      </c>
      <c r="D7" s="113"/>
      <c r="E7" s="114" t="s">
        <v>319</v>
      </c>
      <c r="F7" s="113"/>
      <c r="G7" s="114" t="s">
        <v>319</v>
      </c>
      <c r="H7" s="113"/>
      <c r="I7" s="114" t="s">
        <v>319</v>
      </c>
      <c r="J7" s="113"/>
      <c r="K7" s="115">
        <f>SUM(B7+D7+F7+H7+J7)</f>
        <v>0</v>
      </c>
    </row>
    <row r="8" spans="1:11" x14ac:dyDescent="0.25">
      <c r="A8" s="116" t="s">
        <v>62</v>
      </c>
      <c r="B8" s="117"/>
      <c r="C8" s="116" t="s">
        <v>62</v>
      </c>
      <c r="D8" s="118"/>
      <c r="E8" s="116" t="s">
        <v>62</v>
      </c>
      <c r="F8" s="100"/>
      <c r="G8" s="116" t="s">
        <v>62</v>
      </c>
      <c r="H8" s="94"/>
      <c r="I8" s="116" t="s">
        <v>62</v>
      </c>
      <c r="J8" s="94"/>
      <c r="K8" s="100"/>
    </row>
    <row r="9" spans="1:11" x14ac:dyDescent="0.25">
      <c r="A9" s="119"/>
      <c r="B9" s="113"/>
      <c r="C9" s="119"/>
      <c r="D9" s="113"/>
      <c r="E9" s="119"/>
      <c r="F9" s="113"/>
      <c r="G9" s="119"/>
      <c r="H9" s="113"/>
      <c r="I9" s="119"/>
      <c r="J9" s="113"/>
      <c r="K9" s="100"/>
    </row>
    <row r="10" spans="1:11" x14ac:dyDescent="0.25">
      <c r="A10" s="119"/>
      <c r="B10" s="113"/>
      <c r="C10" s="119"/>
      <c r="D10" s="113"/>
      <c r="E10" s="119"/>
      <c r="F10" s="113"/>
      <c r="G10" s="119"/>
      <c r="H10" s="113"/>
      <c r="I10" s="119"/>
      <c r="J10" s="113"/>
      <c r="K10" s="100"/>
    </row>
    <row r="11" spans="1:11" x14ac:dyDescent="0.25">
      <c r="A11" s="119"/>
      <c r="B11" s="113"/>
      <c r="C11" s="120"/>
      <c r="D11" s="121"/>
      <c r="E11" s="120"/>
      <c r="F11" s="113"/>
      <c r="G11" s="120"/>
      <c r="H11" s="113"/>
      <c r="I11" s="122"/>
      <c r="J11" s="113"/>
      <c r="K11" s="100"/>
    </row>
    <row r="12" spans="1:11" x14ac:dyDescent="0.25">
      <c r="A12" s="119"/>
      <c r="B12" s="123"/>
      <c r="C12" s="119"/>
      <c r="D12" s="124"/>
      <c r="E12" s="125"/>
      <c r="F12" s="113"/>
      <c r="G12" s="125"/>
      <c r="H12" s="113"/>
      <c r="I12" s="125"/>
      <c r="J12" s="113"/>
      <c r="K12" s="100"/>
    </row>
    <row r="13" spans="1:11" x14ac:dyDescent="0.25">
      <c r="A13" s="126"/>
      <c r="B13" s="127"/>
      <c r="C13" s="128"/>
      <c r="D13" s="124"/>
      <c r="E13" s="128"/>
      <c r="F13" s="113"/>
      <c r="G13" s="128"/>
      <c r="H13" s="113"/>
      <c r="I13" s="122"/>
      <c r="J13" s="113"/>
      <c r="K13" s="100"/>
    </row>
    <row r="14" spans="1:11" x14ac:dyDescent="0.25">
      <c r="A14" s="119"/>
      <c r="B14" s="113"/>
      <c r="C14" s="125"/>
      <c r="D14" s="124"/>
      <c r="E14" s="125"/>
      <c r="F14" s="113"/>
      <c r="G14" s="125"/>
      <c r="H14" s="113"/>
      <c r="I14" s="125"/>
      <c r="J14" s="113"/>
      <c r="K14" s="100"/>
    </row>
    <row r="15" spans="1:11" x14ac:dyDescent="0.25">
      <c r="A15" s="119"/>
      <c r="B15" s="113"/>
      <c r="C15" s="125"/>
      <c r="D15" s="124"/>
      <c r="E15" s="125"/>
      <c r="F15" s="113"/>
      <c r="G15" s="125"/>
      <c r="H15" s="113"/>
      <c r="I15" s="125"/>
      <c r="J15" s="113"/>
      <c r="K15" s="100"/>
    </row>
    <row r="16" spans="1:11" x14ac:dyDescent="0.25">
      <c r="A16" s="119"/>
      <c r="B16" s="127"/>
      <c r="C16" s="119"/>
      <c r="D16" s="124"/>
      <c r="E16" s="119"/>
      <c r="F16" s="113"/>
      <c r="G16" s="125"/>
      <c r="H16" s="113"/>
      <c r="I16" s="119"/>
      <c r="J16" s="113"/>
      <c r="K16" s="100"/>
    </row>
    <row r="17" spans="1:12" x14ac:dyDescent="0.25">
      <c r="A17" s="116" t="s">
        <v>262</v>
      </c>
      <c r="B17" s="115">
        <f>SUM(B9:B16)</f>
        <v>0</v>
      </c>
      <c r="C17" s="116" t="s">
        <v>262</v>
      </c>
      <c r="D17" s="115">
        <f>SUM(D9:D16)</f>
        <v>0</v>
      </c>
      <c r="E17" s="116" t="s">
        <v>262</v>
      </c>
      <c r="F17" s="129">
        <f>SUM(F9:F16)</f>
        <v>0</v>
      </c>
      <c r="G17" s="116" t="s">
        <v>262</v>
      </c>
      <c r="H17" s="115">
        <f>SUM(H9:H16)</f>
        <v>0</v>
      </c>
      <c r="I17" s="116" t="s">
        <v>262</v>
      </c>
      <c r="J17" s="115">
        <f>SUM(J9:J16)</f>
        <v>0</v>
      </c>
      <c r="K17" s="115">
        <f>SUM(B17+D17+F17+H17+J17)</f>
        <v>0</v>
      </c>
    </row>
    <row r="18" spans="1:12" x14ac:dyDescent="0.25">
      <c r="A18" s="116" t="s">
        <v>263</v>
      </c>
      <c r="B18" s="115">
        <f>SUM(B7+B17)</f>
        <v>0</v>
      </c>
      <c r="C18" s="116" t="s">
        <v>263</v>
      </c>
      <c r="D18" s="115">
        <f>SUM(D7+D17)</f>
        <v>0</v>
      </c>
      <c r="E18" s="116" t="s">
        <v>263</v>
      </c>
      <c r="F18" s="115">
        <f>SUM(F7+F17)</f>
        <v>0</v>
      </c>
      <c r="G18" s="116" t="s">
        <v>263</v>
      </c>
      <c r="H18" s="115">
        <f>SUM(H7+H17)</f>
        <v>0</v>
      </c>
      <c r="I18" s="116" t="s">
        <v>263</v>
      </c>
      <c r="J18" s="115">
        <f>SUM(J7+J17)</f>
        <v>0</v>
      </c>
      <c r="K18" s="115">
        <f>SUM(B18+D18+F18+H18+J18)</f>
        <v>0</v>
      </c>
    </row>
    <row r="19" spans="1:12" x14ac:dyDescent="0.25">
      <c r="A19" s="116" t="s">
        <v>264</v>
      </c>
      <c r="B19" s="117"/>
      <c r="C19" s="116" t="s">
        <v>264</v>
      </c>
      <c r="D19" s="118"/>
      <c r="E19" s="116" t="s">
        <v>264</v>
      </c>
      <c r="F19" s="100"/>
      <c r="G19" s="116" t="s">
        <v>264</v>
      </c>
      <c r="H19" s="94"/>
      <c r="I19" s="116" t="s">
        <v>264</v>
      </c>
      <c r="J19" s="94"/>
      <c r="K19" s="100"/>
    </row>
    <row r="20" spans="1:12" x14ac:dyDescent="0.25">
      <c r="A20" s="119"/>
      <c r="B20" s="113"/>
      <c r="C20" s="125"/>
      <c r="D20" s="113"/>
      <c r="E20" s="125"/>
      <c r="F20" s="113"/>
      <c r="G20" s="125"/>
      <c r="H20" s="113"/>
      <c r="I20" s="125"/>
      <c r="J20" s="113"/>
      <c r="K20" s="100"/>
    </row>
    <row r="21" spans="1:12" x14ac:dyDescent="0.25">
      <c r="A21" s="119"/>
      <c r="B21" s="113"/>
      <c r="C21" s="125"/>
      <c r="D21" s="113"/>
      <c r="E21" s="125"/>
      <c r="F21" s="113"/>
      <c r="G21" s="125"/>
      <c r="H21" s="113"/>
      <c r="I21" s="125"/>
      <c r="J21" s="113"/>
      <c r="K21" s="100"/>
    </row>
    <row r="22" spans="1:12" x14ac:dyDescent="0.25">
      <c r="A22" s="119"/>
      <c r="B22" s="113"/>
      <c r="C22" s="128"/>
      <c r="D22" s="113"/>
      <c r="E22" s="128"/>
      <c r="F22" s="113"/>
      <c r="G22" s="128"/>
      <c r="H22" s="113"/>
      <c r="I22" s="122"/>
      <c r="J22" s="113"/>
      <c r="K22" s="100"/>
    </row>
    <row r="23" spans="1:12" x14ac:dyDescent="0.25">
      <c r="A23" s="119"/>
      <c r="B23" s="113"/>
      <c r="C23" s="125"/>
      <c r="D23" s="113"/>
      <c r="E23" s="125"/>
      <c r="F23" s="113"/>
      <c r="G23" s="125"/>
      <c r="H23" s="113"/>
      <c r="I23" s="125"/>
      <c r="J23" s="113"/>
      <c r="K23" s="100"/>
    </row>
    <row r="24" spans="1:12" x14ac:dyDescent="0.25">
      <c r="A24" s="119"/>
      <c r="B24" s="113"/>
      <c r="C24" s="128"/>
      <c r="D24" s="113"/>
      <c r="E24" s="128"/>
      <c r="F24" s="113"/>
      <c r="G24" s="128"/>
      <c r="H24" s="113"/>
      <c r="I24" s="122"/>
      <c r="J24" s="113"/>
      <c r="K24" s="100"/>
    </row>
    <row r="25" spans="1:12" x14ac:dyDescent="0.25">
      <c r="A25" s="119"/>
      <c r="B25" s="113"/>
      <c r="C25" s="125"/>
      <c r="D25" s="113"/>
      <c r="E25" s="125"/>
      <c r="F25" s="113"/>
      <c r="G25" s="125"/>
      <c r="H25" s="113"/>
      <c r="I25" s="125"/>
      <c r="J25" s="113"/>
      <c r="K25" s="100"/>
    </row>
    <row r="26" spans="1:12" x14ac:dyDescent="0.25">
      <c r="A26" s="119"/>
      <c r="B26" s="113"/>
      <c r="C26" s="125"/>
      <c r="D26" s="113"/>
      <c r="E26" s="125"/>
      <c r="F26" s="113"/>
      <c r="G26" s="125"/>
      <c r="H26" s="113"/>
      <c r="I26" s="125"/>
      <c r="J26" s="113"/>
      <c r="K26" s="100"/>
    </row>
    <row r="27" spans="1:12" x14ac:dyDescent="0.25">
      <c r="A27" s="119"/>
      <c r="B27" s="113"/>
      <c r="C27" s="119"/>
      <c r="D27" s="113"/>
      <c r="E27" s="119"/>
      <c r="F27" s="113"/>
      <c r="G27" s="125"/>
      <c r="H27" s="113"/>
      <c r="I27" s="125"/>
      <c r="J27" s="113"/>
      <c r="K27" s="100"/>
    </row>
    <row r="28" spans="1:12" x14ac:dyDescent="0.25">
      <c r="A28" s="116" t="s">
        <v>265</v>
      </c>
      <c r="B28" s="115">
        <f>SUM(B20:B27)</f>
        <v>0</v>
      </c>
      <c r="C28" s="116" t="s">
        <v>265</v>
      </c>
      <c r="D28" s="115">
        <f>SUM(D20:D27)</f>
        <v>0</v>
      </c>
      <c r="E28" s="116" t="s">
        <v>265</v>
      </c>
      <c r="F28" s="129">
        <f>SUM(F20:F27)</f>
        <v>0</v>
      </c>
      <c r="G28" s="116" t="s">
        <v>265</v>
      </c>
      <c r="H28" s="129">
        <f>SUM(H20:H27)</f>
        <v>0</v>
      </c>
      <c r="I28" s="116" t="s">
        <v>265</v>
      </c>
      <c r="J28" s="115">
        <f>SUM(J20:J27)</f>
        <v>0</v>
      </c>
      <c r="K28" s="115">
        <f>SUM(B28+D28+F28+H28+J28)</f>
        <v>0</v>
      </c>
    </row>
    <row r="29" spans="1:12" x14ac:dyDescent="0.25">
      <c r="A29" s="116" t="s">
        <v>320</v>
      </c>
      <c r="B29" s="115">
        <f>SUM(B18-B28)</f>
        <v>0</v>
      </c>
      <c r="C29" s="116" t="s">
        <v>320</v>
      </c>
      <c r="D29" s="115">
        <f>SUM(D18-D28)</f>
        <v>0</v>
      </c>
      <c r="E29" s="116" t="s">
        <v>320</v>
      </c>
      <c r="F29" s="115">
        <f>SUM(F18-F28)</f>
        <v>0</v>
      </c>
      <c r="G29" s="116" t="s">
        <v>320</v>
      </c>
      <c r="H29" s="115">
        <f>SUM(H18-H28)</f>
        <v>0</v>
      </c>
      <c r="I29" s="116" t="s">
        <v>320</v>
      </c>
      <c r="J29" s="115">
        <f>SUM(J18-J28)</f>
        <v>0</v>
      </c>
      <c r="K29" s="130">
        <f>SUM(B29+D29+F29+H29+J29)</f>
        <v>0</v>
      </c>
      <c r="L29" s="95" t="s">
        <v>321</v>
      </c>
    </row>
    <row r="30" spans="1:12" x14ac:dyDescent="0.25">
      <c r="A30" s="116"/>
      <c r="B30" s="329" t="str">
        <f>IF(B29&lt;0,"See Tab B","")</f>
        <v/>
      </c>
      <c r="C30" s="116"/>
      <c r="D30" s="329" t="str">
        <f>IF(D29&lt;0,"See Tab B","")</f>
        <v/>
      </c>
      <c r="E30" s="116"/>
      <c r="F30" s="329" t="str">
        <f>IF(F29&lt;0,"See Tab B","")</f>
        <v/>
      </c>
      <c r="G30" s="94"/>
      <c r="H30" s="329" t="str">
        <f>IF(H29&lt;0,"See Tab B","")</f>
        <v/>
      </c>
      <c r="I30" s="94"/>
      <c r="J30" s="329" t="str">
        <f>IF(J29&lt;0,"See Tab B","")</f>
        <v/>
      </c>
      <c r="K30" s="130">
        <f>SUM(K7+K17-K28)</f>
        <v>0</v>
      </c>
      <c r="L30" s="95" t="s">
        <v>321</v>
      </c>
    </row>
    <row r="31" spans="1:12" x14ac:dyDescent="0.25">
      <c r="A31" s="94"/>
      <c r="B31" s="131"/>
      <c r="C31" s="94"/>
      <c r="D31" s="100"/>
      <c r="E31" s="94"/>
      <c r="F31" s="94"/>
      <c r="G31" s="132" t="s">
        <v>322</v>
      </c>
      <c r="H31" s="132"/>
      <c r="I31" s="132"/>
      <c r="J31" s="132"/>
      <c r="K31" s="94"/>
    </row>
    <row r="32" spans="1:12" x14ac:dyDescent="0.25">
      <c r="A32" s="94"/>
      <c r="B32" s="131"/>
      <c r="C32" s="94"/>
      <c r="D32" s="94"/>
      <c r="E32" s="94"/>
      <c r="F32" s="94"/>
      <c r="G32" s="94"/>
      <c r="H32" s="94"/>
      <c r="I32" s="94"/>
      <c r="J32" s="94"/>
      <c r="K32" s="94"/>
    </row>
    <row r="33" spans="1:11" x14ac:dyDescent="0.25">
      <c r="A33" s="94"/>
      <c r="B33" s="131"/>
      <c r="C33" s="94"/>
      <c r="D33" s="94"/>
      <c r="E33" s="133" t="s">
        <v>248</v>
      </c>
      <c r="F33" s="134"/>
      <c r="G33" s="94"/>
      <c r="H33" s="94"/>
      <c r="I33" s="94"/>
      <c r="J33" s="94"/>
      <c r="K33" s="94"/>
    </row>
    <row r="34" spans="1:11" x14ac:dyDescent="0.25">
      <c r="B34" s="135"/>
    </row>
    <row r="35" spans="1:11" x14ac:dyDescent="0.25">
      <c r="B35" s="135"/>
    </row>
    <row r="36" spans="1:11" x14ac:dyDescent="0.25">
      <c r="B36" s="135"/>
    </row>
    <row r="37" spans="1:11" x14ac:dyDescent="0.25">
      <c r="B37" s="135"/>
    </row>
    <row r="38" spans="1:11" x14ac:dyDescent="0.25">
      <c r="B38" s="135"/>
    </row>
    <row r="39" spans="1:11" x14ac:dyDescent="0.25">
      <c r="B39" s="135"/>
    </row>
    <row r="40" spans="1:11" x14ac:dyDescent="0.25">
      <c r="B40" s="135"/>
    </row>
    <row r="41" spans="1:11" x14ac:dyDescent="0.25">
      <c r="B41" s="135"/>
    </row>
  </sheetData>
  <sheetProtection sheet="1"/>
  <mergeCells count="5">
    <mergeCell ref="A5:B5"/>
    <mergeCell ref="C5:D5"/>
    <mergeCell ref="E5:F5"/>
    <mergeCell ref="G5:H5"/>
    <mergeCell ref="I5:J5"/>
  </mergeCells>
  <pageMargins left="0.7" right="0.7" top="0.75" bottom="0.75" header="0.3" footer="0.3"/>
  <pageSetup scale="67" orientation="portrait" blackAndWhite="1" r:id="rId1"/>
  <headerFooter>
    <oddHeader>&amp;RState of Kansas
Township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workbookViewId="0"/>
  </sheetViews>
  <sheetFormatPr defaultColWidth="8.796875" defaultRowHeight="15.75" x14ac:dyDescent="0.25"/>
  <cols>
    <col min="1" max="1" width="62.3984375" style="91" customWidth="1"/>
    <col min="2" max="16384" width="8.796875" style="91"/>
  </cols>
  <sheetData>
    <row r="1" spans="1:1" ht="20.25" x14ac:dyDescent="0.25">
      <c r="A1" s="330" t="s">
        <v>329</v>
      </c>
    </row>
    <row r="2" spans="1:1" ht="53.25" customHeight="1" x14ac:dyDescent="0.25">
      <c r="A2" s="196" t="s">
        <v>330</v>
      </c>
    </row>
    <row r="3" spans="1:1" x14ac:dyDescent="0.25">
      <c r="A3" s="331"/>
    </row>
    <row r="4" spans="1:1" ht="58.5" customHeight="1" x14ac:dyDescent="0.25">
      <c r="A4" s="196" t="s">
        <v>331</v>
      </c>
    </row>
    <row r="5" spans="1:1" x14ac:dyDescent="0.25">
      <c r="A5" s="95"/>
    </row>
    <row r="6" spans="1:1" ht="55.5" customHeight="1" x14ac:dyDescent="0.25">
      <c r="A6" s="196" t="s">
        <v>332</v>
      </c>
    </row>
    <row r="7" spans="1:1" x14ac:dyDescent="0.25">
      <c r="A7" s="331"/>
    </row>
    <row r="8" spans="1:1" ht="42.75" customHeight="1" x14ac:dyDescent="0.25">
      <c r="A8" s="196" t="s">
        <v>333</v>
      </c>
    </row>
    <row r="9" spans="1:1" x14ac:dyDescent="0.25">
      <c r="A9" s="95"/>
    </row>
    <row r="10" spans="1:1" ht="31.5" x14ac:dyDescent="0.25">
      <c r="A10" s="196" t="s">
        <v>334</v>
      </c>
    </row>
    <row r="11" spans="1:1" x14ac:dyDescent="0.25">
      <c r="A11" s="331"/>
    </row>
    <row r="12" spans="1:1" ht="69.75" customHeight="1" x14ac:dyDescent="0.25">
      <c r="A12" s="196" t="s">
        <v>335</v>
      </c>
    </row>
    <row r="13" spans="1:1" x14ac:dyDescent="0.25">
      <c r="A13" s="331"/>
    </row>
    <row r="14" spans="1:1" ht="40.5" customHeight="1" x14ac:dyDescent="0.25">
      <c r="A14" s="196" t="s">
        <v>336</v>
      </c>
    </row>
    <row r="15" spans="1:1" x14ac:dyDescent="0.25">
      <c r="A15" s="95"/>
    </row>
    <row r="16" spans="1:1" ht="56.25" customHeight="1" x14ac:dyDescent="0.25">
      <c r="A16" s="196" t="s">
        <v>337</v>
      </c>
    </row>
    <row r="17" spans="1:1" x14ac:dyDescent="0.25">
      <c r="A17" s="331"/>
    </row>
    <row r="18" spans="1:1" ht="54.75" customHeight="1" x14ac:dyDescent="0.25">
      <c r="A18" s="196" t="s">
        <v>338</v>
      </c>
    </row>
    <row r="19" spans="1:1" x14ac:dyDescent="0.25">
      <c r="A19" s="331"/>
    </row>
    <row r="20" spans="1:1" ht="55.5" customHeight="1" x14ac:dyDescent="0.25">
      <c r="A20" s="196" t="s">
        <v>339</v>
      </c>
    </row>
    <row r="21" spans="1:1" x14ac:dyDescent="0.25">
      <c r="A21" s="331"/>
    </row>
    <row r="22" spans="1:1" ht="76.5" customHeight="1" x14ac:dyDescent="0.25">
      <c r="A22" s="196" t="s">
        <v>340</v>
      </c>
    </row>
  </sheetData>
  <sheetProtection sheet="1"/>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O113"/>
  <sheetViews>
    <sheetView topLeftCell="A22" workbookViewId="0">
      <selection activeCell="H36" sqref="H36"/>
    </sheetView>
  </sheetViews>
  <sheetFormatPr defaultColWidth="8.796875" defaultRowHeight="15.75" x14ac:dyDescent="0.25"/>
  <cols>
    <col min="1" max="1" width="20.69921875" style="137" customWidth="1"/>
    <col min="2" max="2" width="12.69921875" style="137" customWidth="1"/>
    <col min="3" max="3" width="9.69921875" style="137" customWidth="1"/>
    <col min="4" max="4" width="12.69921875" style="137" customWidth="1"/>
    <col min="5" max="5" width="9.69921875" style="137" customWidth="1"/>
    <col min="6" max="6" width="12.69921875" style="137" customWidth="1"/>
    <col min="7" max="7" width="10.69921875" style="137" customWidth="1"/>
    <col min="8" max="8" width="9.69921875" style="137" customWidth="1"/>
    <col min="9" max="11" width="8.796875" style="137"/>
    <col min="12" max="12" width="10.69921875" style="137" customWidth="1"/>
    <col min="13" max="13" width="8.5" style="137" customWidth="1"/>
    <col min="14" max="16384" width="8.796875" style="137"/>
  </cols>
  <sheetData>
    <row r="1" spans="1:9" x14ac:dyDescent="0.25">
      <c r="A1" s="48"/>
      <c r="B1" s="48"/>
      <c r="C1" s="48"/>
      <c r="D1" s="48"/>
      <c r="E1" s="48"/>
      <c r="F1" s="48"/>
      <c r="G1" s="48"/>
      <c r="H1" s="49">
        <f>inputPrYr!D9</f>
        <v>2015</v>
      </c>
    </row>
    <row r="2" spans="1:9" x14ac:dyDescent="0.25">
      <c r="A2" s="833" t="s">
        <v>23</v>
      </c>
      <c r="B2" s="809"/>
      <c r="C2" s="809"/>
      <c r="D2" s="809"/>
      <c r="E2" s="809"/>
      <c r="F2" s="809"/>
      <c r="G2" s="809"/>
      <c r="H2" s="809"/>
    </row>
    <row r="3" spans="1:9" x14ac:dyDescent="0.25">
      <c r="A3" s="48"/>
      <c r="B3" s="48"/>
      <c r="C3" s="48"/>
      <c r="D3" s="48"/>
      <c r="E3" s="48"/>
      <c r="F3" s="55" t="s">
        <v>276</v>
      </c>
      <c r="G3" s="55" t="s">
        <v>277</v>
      </c>
      <c r="H3" s="48"/>
    </row>
    <row r="4" spans="1:9" x14ac:dyDescent="0.25">
      <c r="A4" s="820" t="s">
        <v>278</v>
      </c>
      <c r="B4" s="820"/>
      <c r="C4" s="820"/>
      <c r="D4" s="820"/>
      <c r="E4" s="820"/>
      <c r="F4" s="820"/>
      <c r="G4" s="820"/>
      <c r="H4" s="820"/>
    </row>
    <row r="5" spans="1:9" x14ac:dyDescent="0.25">
      <c r="A5" s="822" t="str">
        <f>inputPrYr!D3</f>
        <v>Milton Township</v>
      </c>
      <c r="B5" s="822"/>
      <c r="C5" s="822"/>
      <c r="D5" s="822"/>
      <c r="E5" s="822"/>
      <c r="F5" s="822"/>
      <c r="G5" s="822"/>
      <c r="H5" s="822"/>
    </row>
    <row r="6" spans="1:9" x14ac:dyDescent="0.25">
      <c r="A6" s="822" t="str">
        <f>inputPrYr!D4</f>
        <v>Butler County</v>
      </c>
      <c r="B6" s="822"/>
      <c r="C6" s="822"/>
      <c r="D6" s="822"/>
      <c r="E6" s="822"/>
      <c r="F6" s="822"/>
      <c r="G6" s="822"/>
      <c r="H6" s="822"/>
    </row>
    <row r="7" spans="1:9" x14ac:dyDescent="0.25">
      <c r="A7" s="889" t="str">
        <f>CONCATENATE("will meet on ",inputBudSum!B8," at ",inputBudSum!B10," at ",inputBudSum!B12," for the purpose of hearing and")</f>
        <v>will meet on August 4, 2014 at 7:00 p.m. at Whitewater City Building at 202 N. Elm, Whitewater for the purpose of hearing and</v>
      </c>
      <c r="B7" s="889"/>
      <c r="C7" s="889"/>
      <c r="D7" s="889"/>
      <c r="E7" s="889"/>
      <c r="F7" s="889"/>
      <c r="G7" s="889"/>
      <c r="H7" s="889"/>
    </row>
    <row r="8" spans="1:9" x14ac:dyDescent="0.25">
      <c r="A8" s="820" t="s">
        <v>380</v>
      </c>
      <c r="B8" s="821"/>
      <c r="C8" s="821"/>
      <c r="D8" s="821"/>
      <c r="E8" s="821"/>
      <c r="F8" s="821"/>
      <c r="G8" s="821"/>
      <c r="H8" s="821"/>
    </row>
    <row r="9" spans="1:9" x14ac:dyDescent="0.25">
      <c r="A9" s="830" t="str">
        <f>CONCATENATE("Detailed budget information is available at ",inputBudSum!B15," and will be available at this hearing.")</f>
        <v>Detailed budget information is available at Tim Entz's Residence at 6280 NW Prairie Crk Rd., Whitewater and will be available at this hearing.</v>
      </c>
      <c r="B9" s="809"/>
      <c r="C9" s="809"/>
      <c r="D9" s="809"/>
      <c r="E9" s="809"/>
      <c r="F9" s="809"/>
      <c r="G9" s="809"/>
      <c r="H9" s="809"/>
    </row>
    <row r="10" spans="1:9" x14ac:dyDescent="0.25">
      <c r="A10" s="833" t="s">
        <v>24</v>
      </c>
      <c r="B10" s="821"/>
      <c r="C10" s="821"/>
      <c r="D10" s="821"/>
      <c r="E10" s="821"/>
      <c r="F10" s="821"/>
      <c r="G10" s="821"/>
      <c r="H10" s="821"/>
    </row>
    <row r="11" spans="1:9" x14ac:dyDescent="0.25">
      <c r="A11" s="820" t="str">
        <f>CONCATENATE("Proposed Budget ",H1," Expenditures and Amount of ",H1-1," Ad Valorem Tax establish the maximum limits")</f>
        <v>Proposed Budget 2015 Expenditures and Amount of 2014 Ad Valorem Tax establish the maximum limits</v>
      </c>
      <c r="B11" s="821"/>
      <c r="C11" s="821"/>
      <c r="D11" s="821"/>
      <c r="E11" s="821"/>
      <c r="F11" s="821"/>
      <c r="G11" s="821"/>
      <c r="H11" s="821"/>
    </row>
    <row r="12" spans="1:9" x14ac:dyDescent="0.25">
      <c r="A12" s="820" t="str">
        <f>CONCATENATE("of the ",H1," budget.  Estimated Tax Rate is subject to change depending on the final assessed valuation.")</f>
        <v>of the 2015 budget.  Estimated Tax Rate is subject to change depending on the final assessed valuation.</v>
      </c>
      <c r="B12" s="821"/>
      <c r="C12" s="821"/>
      <c r="D12" s="821"/>
      <c r="E12" s="821"/>
      <c r="F12" s="821"/>
      <c r="G12" s="821"/>
      <c r="H12" s="821"/>
    </row>
    <row r="13" spans="1:9" x14ac:dyDescent="0.25">
      <c r="A13" s="55"/>
      <c r="B13" s="54"/>
      <c r="C13" s="54"/>
      <c r="D13" s="54"/>
      <c r="E13" s="54"/>
      <c r="F13" s="54"/>
      <c r="G13" s="54"/>
      <c r="H13" s="54"/>
      <c r="I13" s="178"/>
    </row>
    <row r="14" spans="1:9" x14ac:dyDescent="0.25">
      <c r="A14" s="185"/>
      <c r="B14" s="179" t="str">
        <f>CONCATENATE("Prior Year Actual ",H1-2,"")</f>
        <v>Prior Year Actual 2013</v>
      </c>
      <c r="C14" s="180"/>
      <c r="D14" s="179" t="str">
        <f>CONCATENATE("Current Year Estimate ",H1-1,"")</f>
        <v>Current Year Estimate 2014</v>
      </c>
      <c r="E14" s="181"/>
      <c r="F14" s="182" t="str">
        <f>CONCATENATE("Proposed Budget ",H1,"")</f>
        <v>Proposed Budget 2015</v>
      </c>
      <c r="G14" s="183"/>
      <c r="H14" s="181"/>
      <c r="I14" s="178"/>
    </row>
    <row r="15" spans="1:9" ht="22.5" customHeight="1" x14ac:dyDescent="0.25">
      <c r="A15" s="58"/>
      <c r="B15" s="184"/>
      <c r="C15" s="57" t="s">
        <v>271</v>
      </c>
      <c r="D15" s="57"/>
      <c r="E15" s="57" t="s">
        <v>271</v>
      </c>
      <c r="F15" s="185"/>
      <c r="G15" s="824" t="str">
        <f>CONCATENATE("Amount of ",H1-1," Ad Valorem Tax")</f>
        <v>Amount of 2014 Ad Valorem Tax</v>
      </c>
      <c r="H15" s="57" t="s">
        <v>279</v>
      </c>
      <c r="I15" s="178"/>
    </row>
    <row r="16" spans="1:9" x14ac:dyDescent="0.25">
      <c r="A16" s="58"/>
      <c r="B16" s="59"/>
      <c r="C16" s="59" t="s">
        <v>280</v>
      </c>
      <c r="D16" s="59"/>
      <c r="E16" s="59" t="s">
        <v>280</v>
      </c>
      <c r="F16" s="466" t="s">
        <v>152</v>
      </c>
      <c r="G16" s="887"/>
      <c r="H16" s="59" t="s">
        <v>280</v>
      </c>
      <c r="I16" s="178"/>
    </row>
    <row r="17" spans="1:13" x14ac:dyDescent="0.25">
      <c r="A17" s="62" t="s">
        <v>230</v>
      </c>
      <c r="B17" s="62" t="s">
        <v>281</v>
      </c>
      <c r="C17" s="62" t="s">
        <v>282</v>
      </c>
      <c r="D17" s="62" t="s">
        <v>281</v>
      </c>
      <c r="E17" s="62" t="s">
        <v>282</v>
      </c>
      <c r="F17" s="465" t="s">
        <v>694</v>
      </c>
      <c r="G17" s="888"/>
      <c r="H17" s="62" t="s">
        <v>282</v>
      </c>
      <c r="I17" s="178"/>
      <c r="J17" s="493"/>
    </row>
    <row r="18" spans="1:13" x14ac:dyDescent="0.25">
      <c r="A18" s="73" t="str">
        <f>inputPrYr!B20</f>
        <v>General</v>
      </c>
      <c r="B18" s="73">
        <f>IF(gen!$C$50&lt;&gt;0,gen!$C$50,"  ")</f>
        <v>41769</v>
      </c>
      <c r="C18" s="76">
        <f>IF(inputPrYr!D49&gt;0,inputPrYr!D49,"  ")</f>
        <v>4.3719999999999999</v>
      </c>
      <c r="D18" s="73">
        <f>IF(gen!$D$50&lt;&gt;0,gen!$D$50,"  ")</f>
        <v>46136</v>
      </c>
      <c r="E18" s="76">
        <f>IF(inputOth!D37&gt;0,inputOth!D37,"  ")</f>
        <v>5.2670000000000003</v>
      </c>
      <c r="F18" s="73">
        <f>IF(gen!$E$50&lt;&gt;0,gen!$E$50,"  ")</f>
        <v>47929</v>
      </c>
      <c r="G18" s="73">
        <f>IF(gen!$E$57&lt;&gt;0,gen!$E$57,"")</f>
        <v>42748</v>
      </c>
      <c r="H18" s="76">
        <f>IF(gen!E57&gt;0,ROUND(G18/F40*1000,3)," ")</f>
        <v>5.2670000000000003</v>
      </c>
      <c r="I18" s="178"/>
      <c r="J18" s="493"/>
    </row>
    <row r="19" spans="1:13" x14ac:dyDescent="0.25">
      <c r="A19" s="73" t="s">
        <v>289</v>
      </c>
      <c r="B19" s="73" t="str">
        <f>IF('DebtSvs-Library'!C33&lt;&gt;0,'DebtSvs-Library'!C33,"  ")</f>
        <v xml:space="preserve">  </v>
      </c>
      <c r="C19" s="76" t="str">
        <f>IF(inputPrYr!D50&gt;0,inputPrYr!D50,"  ")</f>
        <v xml:space="preserve">  </v>
      </c>
      <c r="D19" s="73" t="str">
        <f>IF('DebtSvs-Library'!D33&lt;&gt;0,'DebtSvs-Library'!D33,"  ")</f>
        <v xml:space="preserve">  </v>
      </c>
      <c r="E19" s="76" t="str">
        <f>IF(inputOth!D38&gt;0,inputOth!D38,"  ")</f>
        <v xml:space="preserve">  </v>
      </c>
      <c r="F19" s="73" t="str">
        <f>IF('DebtSvs-Library'!E33&lt;&gt;0,'DebtSvs-Library'!E33,"  ")</f>
        <v xml:space="preserve">  </v>
      </c>
      <c r="G19" s="73" t="str">
        <f>IF('DebtSvs-Library'!E40&lt;&gt;0,'DebtSvs-Library'!E40," ")</f>
        <v xml:space="preserve"> </v>
      </c>
      <c r="H19" s="76" t="str">
        <f>IF('DebtSvs-Library'!E40&gt;0,ROUND(G19/F40*1000,3)," ")</f>
        <v xml:space="preserve"> </v>
      </c>
      <c r="I19" s="178"/>
    </row>
    <row r="20" spans="1:13" x14ac:dyDescent="0.25">
      <c r="A20" s="73" t="str">
        <f>IF(inputPrYr!$B22&gt;"  ",inputPrYr!$B22,"  ")</f>
        <v>Library</v>
      </c>
      <c r="B20" s="73" t="str">
        <f>IF('DebtSvs-Library'!C73&lt;&gt;0,'DebtSvs-Library'!C73,"  ")</f>
        <v xml:space="preserve">  </v>
      </c>
      <c r="C20" s="76" t="str">
        <f>IF(inputPrYr!D51&gt;0,inputPrYr!D51,"  ")</f>
        <v xml:space="preserve">  </v>
      </c>
      <c r="D20" s="73" t="str">
        <f>IF('DebtSvs-Library'!D73&lt;&gt;0,'DebtSvs-Library'!D73,"  ")</f>
        <v xml:space="preserve">  </v>
      </c>
      <c r="E20" s="76" t="str">
        <f>IF(inputOth!D39&gt;0,inputOth!D39,"  ")</f>
        <v xml:space="preserve">  </v>
      </c>
      <c r="F20" s="73" t="str">
        <f>IF('DebtSvs-Library'!E73&lt;&gt;0,'DebtSvs-Library'!E73,"  ")</f>
        <v xml:space="preserve">  </v>
      </c>
      <c r="G20" s="73" t="str">
        <f>IF('DebtSvs-Library'!E80&lt;&gt;0,'DebtSvs-Library'!E80," ")</f>
        <v xml:space="preserve"> </v>
      </c>
      <c r="H20" s="76" t="str">
        <f>IF('DebtSvs-Library'!E80&gt;0,ROUND(G20/F40*1000,3)," ")</f>
        <v xml:space="preserve"> </v>
      </c>
      <c r="I20" s="178"/>
    </row>
    <row r="21" spans="1:13" x14ac:dyDescent="0.25">
      <c r="A21" s="73" t="str">
        <f>IF(inputPrYr!$B23&gt;"  ",inputPrYr!$B23,"  ")</f>
        <v>Road</v>
      </c>
      <c r="B21" s="73">
        <f>IF(road!$C$43&lt;&gt;0,road!$C$43,"  ")</f>
        <v>43647</v>
      </c>
      <c r="C21" s="76">
        <f>IF(inputPrYr!D52&gt;0,inputPrYr!D52,"  ")</f>
        <v>6.0129999999999999</v>
      </c>
      <c r="D21" s="73">
        <f>IF(road!$D$43&lt;&gt;0,road!$D$43,"  ")</f>
        <v>43730</v>
      </c>
      <c r="E21" s="76">
        <f>IF(inputOth!D40&gt;0,inputOth!D40,"  ")</f>
        <v>7.4130000000000003</v>
      </c>
      <c r="F21" s="73">
        <f>IF(road!$E$43&lt;&gt;0,road!$E$43,"  ")</f>
        <v>46606</v>
      </c>
      <c r="G21" s="73">
        <f>IF(road!$E$50&lt;&gt;0,road!$E$50,"  ")</f>
        <v>35778</v>
      </c>
      <c r="H21" s="76">
        <f>IF(road!E50&gt;0,ROUND(G21/F41*1000,3)," ")</f>
        <v>7.4130000000000003</v>
      </c>
    </row>
    <row r="22" spans="1:13" x14ac:dyDescent="0.25">
      <c r="A22" s="73" t="str">
        <f>IF(inputPrYr!$B24&gt;"  ",inputPrYr!$B24,"  ")</f>
        <v>Special Road</v>
      </c>
      <c r="B22" s="73" t="str">
        <f>IF('SpecRoad&amp;Noxious'!$C$33&lt;&gt;0,'SpecRoad&amp;Noxious'!$C$33,"  ")</f>
        <v xml:space="preserve">  </v>
      </c>
      <c r="C22" s="76" t="str">
        <f>IF(inputPrYr!D53&gt;0,inputPrYr!D53,"  ")</f>
        <v xml:space="preserve">  </v>
      </c>
      <c r="D22" s="73" t="str">
        <f>IF('SpecRoad&amp;Noxious'!$D$33&lt;&gt;0,'SpecRoad&amp;Noxious'!$D$33,"  ")</f>
        <v xml:space="preserve">  </v>
      </c>
      <c r="E22" s="76" t="str">
        <f>IF(inputOth!D41&gt;0,inputOth!D41,"  ")</f>
        <v xml:space="preserve">  </v>
      </c>
      <c r="F22" s="73" t="str">
        <f>IF('SpecRoad&amp;Noxious'!$E$33&lt;&gt;0,'SpecRoad&amp;Noxious'!$E$33,"  ")</f>
        <v xml:space="preserve">  </v>
      </c>
      <c r="G22" s="73" t="str">
        <f>IF('SpecRoad&amp;Noxious'!$E$40&lt;&gt;0,'SpecRoad&amp;Noxious'!$E$40,"  ")</f>
        <v xml:space="preserve">  </v>
      </c>
      <c r="H22" s="76" t="str">
        <f>IF('SpecRoad&amp;Noxious'!E40&gt;0,ROUND(G22/F41*1000,3)," ")</f>
        <v xml:space="preserve"> </v>
      </c>
    </row>
    <row r="23" spans="1:13" x14ac:dyDescent="0.25">
      <c r="A23" s="73" t="str">
        <f>IF(inputPrYr!$B25&gt;"  ",inputPrYr!$B25,"  ")</f>
        <v>Noxious Weed</v>
      </c>
      <c r="B23" s="73" t="str">
        <f>IF('SpecRoad&amp;Noxious'!$C$73&lt;&gt;0,'SpecRoad&amp;Noxious'!$C$73,"  ")</f>
        <v xml:space="preserve">  </v>
      </c>
      <c r="C23" s="76" t="str">
        <f>IF(inputPrYr!D54&gt;0,inputPrYr!D54,"  ")</f>
        <v xml:space="preserve">  </v>
      </c>
      <c r="D23" s="73" t="str">
        <f>IF('SpecRoad&amp;Noxious'!$D$73&lt;&gt;0,'SpecRoad&amp;Noxious'!$D$73,"  ")</f>
        <v xml:space="preserve">  </v>
      </c>
      <c r="E23" s="76" t="str">
        <f>IF(inputOth!D42&gt;0,inputOth!D42,"  ")</f>
        <v xml:space="preserve">  </v>
      </c>
      <c r="F23" s="73" t="str">
        <f>IF('SpecRoad&amp;Noxious'!$E$73&lt;&gt;0,'SpecRoad&amp;Noxious'!$E$73,"  ")</f>
        <v xml:space="preserve">  </v>
      </c>
      <c r="G23" s="73" t="str">
        <f>IF('SpecRoad&amp;Noxious'!$E$80&lt;&gt;0,'SpecRoad&amp;Noxious'!$E$80,"  ")</f>
        <v xml:space="preserve">  </v>
      </c>
      <c r="H23" s="76" t="str">
        <f>IF('SpecRoad&amp;Noxious'!E80&gt;0,ROUND(G23/F41*1000,3)," ")</f>
        <v xml:space="preserve"> </v>
      </c>
    </row>
    <row r="24" spans="1:13" x14ac:dyDescent="0.25">
      <c r="A24" s="73" t="str">
        <f>IF(inputPrYr!$B26&gt;"  ",inputPrYr!$B26,"  ")</f>
        <v>Fire Protection</v>
      </c>
      <c r="B24" s="73" t="str">
        <f>IF(levypage10!$C$33&lt;&gt;0,levypage10!$C$33,"  ")</f>
        <v xml:space="preserve">  </v>
      </c>
      <c r="C24" s="76" t="str">
        <f>IF(inputPrYr!D55&gt;0,inputPrYr!D55,"  ")</f>
        <v xml:space="preserve">  </v>
      </c>
      <c r="D24" s="73" t="str">
        <f>IF(levypage10!$D$33&lt;&gt;0,levypage10!$D$33,"  ")</f>
        <v xml:space="preserve">  </v>
      </c>
      <c r="E24" s="76" t="str">
        <f>IF(inputOth!D43&gt;0,inputOth!D43,"  ")</f>
        <v xml:space="preserve">  </v>
      </c>
      <c r="F24" s="73" t="str">
        <f>IF(levypage10!$E$33&lt;&gt;0,levypage10!$E$33,"  ")</f>
        <v xml:space="preserve">  </v>
      </c>
      <c r="G24" s="73" t="str">
        <f>IF(levypage10!$E$40&lt;&gt;0,levypage10!$E$40,"  ")</f>
        <v xml:space="preserve">  </v>
      </c>
      <c r="H24" s="76" t="str">
        <f>IF(levypage10!E40&gt;0,ROUND(G24/F41*1000,3)," ")</f>
        <v xml:space="preserve"> </v>
      </c>
      <c r="J24" s="877" t="str">
        <f>CONCATENATE("Estimated Value Of One Mill For ",H1,"")</f>
        <v>Estimated Value Of One Mill For 2015</v>
      </c>
      <c r="K24" s="882"/>
      <c r="L24" s="882"/>
      <c r="M24" s="883"/>
    </row>
    <row r="25" spans="1:13" x14ac:dyDescent="0.25">
      <c r="A25" s="73" t="str">
        <f>IF(inputPrYr!$B27&gt;"  ",inputPrYr!$B27,"  ")</f>
        <v xml:space="preserve">  </v>
      </c>
      <c r="B25" s="73" t="str">
        <f>IF(levypage10!$C$73&lt;&gt;0,levypage10!$C$73,"  ")</f>
        <v xml:space="preserve">  </v>
      </c>
      <c r="C25" s="76" t="str">
        <f>IF(inputPrYr!D56&gt;0,inputPrYr!D56,"  ")</f>
        <v xml:space="preserve">  </v>
      </c>
      <c r="D25" s="73" t="str">
        <f>IF(levypage10!$D$73&lt;&gt;0,levypage10!$D$73,"  ")</f>
        <v xml:space="preserve">  </v>
      </c>
      <c r="E25" s="76" t="str">
        <f>IF(inputOth!D44&gt;0,inputOth!D44,"  ")</f>
        <v xml:space="preserve">  </v>
      </c>
      <c r="F25" s="73" t="str">
        <f>IF(levypage10!$E$73&lt;&gt;0,levypage10!$E$73,"  ")</f>
        <v xml:space="preserve">  </v>
      </c>
      <c r="G25" s="73" t="str">
        <f>IF(levypage10!$E$80&lt;&gt;0,levypage10!$E$80,"  ")</f>
        <v xml:space="preserve">  </v>
      </c>
      <c r="H25" s="76" t="str">
        <f>IF(levypage10!E80&gt;0,ROUND(G25/F40*1000,3)," ")</f>
        <v xml:space="preserve"> </v>
      </c>
      <c r="J25" s="492"/>
      <c r="K25" s="9"/>
      <c r="L25" s="9"/>
      <c r="M25" s="491"/>
    </row>
    <row r="26" spans="1:13" x14ac:dyDescent="0.25">
      <c r="A26" s="73" t="str">
        <f>IF(inputPrYr!$B28&gt;"  ",inputPrYr!$B28,"  ")</f>
        <v xml:space="preserve">  </v>
      </c>
      <c r="B26" s="73" t="str">
        <f>IF(levypage11!$C$33&lt;&gt;0,levypage11!$C$33,"  ")</f>
        <v xml:space="preserve">  </v>
      </c>
      <c r="C26" s="76" t="str">
        <f>IF(inputPrYr!D57&gt;0,inputPrYr!D57,"  ")</f>
        <v xml:space="preserve">  </v>
      </c>
      <c r="D26" s="73" t="str">
        <f>IF(levypage11!$D$33&lt;&gt;0,levypage11!$D$33,"  ")</f>
        <v xml:space="preserve">  </v>
      </c>
      <c r="E26" s="76" t="str">
        <f>IF(inputOth!D45&gt;0,inputOth!D45,"  ")</f>
        <v xml:space="preserve">  </v>
      </c>
      <c r="F26" s="73" t="str">
        <f>IF(levypage11!$E$33&lt;&gt;0,levypage11!$E$33,"  ")</f>
        <v xml:space="preserve">  </v>
      </c>
      <c r="G26" s="73" t="str">
        <f>IF(levypage11!$E$40&lt;&gt;0,levypage11!$E$40,"  ")</f>
        <v xml:space="preserve">  </v>
      </c>
      <c r="H26" s="76" t="str">
        <f>IF(levypage11!E40&gt;0,ROUND(G26/F40*1000,3)," ")</f>
        <v xml:space="preserve"> </v>
      </c>
      <c r="J26" s="474" t="s">
        <v>706</v>
      </c>
      <c r="K26" s="54"/>
      <c r="L26" s="54"/>
      <c r="M26" s="489">
        <f>ROUND(F40/1000,0)</f>
        <v>8116</v>
      </c>
    </row>
    <row r="27" spans="1:13" x14ac:dyDescent="0.25">
      <c r="A27" s="73" t="str">
        <f>IF(inputPrYr!$B29&gt;"  ",inputPrYr!$B29,"  ")</f>
        <v xml:space="preserve">  </v>
      </c>
      <c r="B27" s="73" t="str">
        <f>IF(levypage11!$C$73&lt;&gt;0,levypage11!$C$73,"  ")</f>
        <v xml:space="preserve">  </v>
      </c>
      <c r="C27" s="76" t="str">
        <f>IF(inputPrYr!D58&gt;0,inputPrYr!D58,"  ")</f>
        <v xml:space="preserve">  </v>
      </c>
      <c r="D27" s="73" t="str">
        <f>IF(levypage11!$D$73&lt;&gt;0,levypage11!$D$73,"  ")</f>
        <v xml:space="preserve">  </v>
      </c>
      <c r="E27" s="76" t="str">
        <f>IF(inputOth!D46&gt;0,inputOth!D46,"  ")</f>
        <v xml:space="preserve">  </v>
      </c>
      <c r="F27" s="73" t="str">
        <f>IF(levypage11!$E$73&lt;&gt;0,levypage11!$E$73,"  ")</f>
        <v xml:space="preserve">  </v>
      </c>
      <c r="G27" s="73" t="str">
        <f>IF(levypage11!$E$80&lt;&gt;0,levypage11!$E$80,"  ")</f>
        <v xml:space="preserve">  </v>
      </c>
      <c r="H27" s="76" t="str">
        <f>IF(levypage11!E80&gt;0,ROUND(G27/F40*1000,3)," ")</f>
        <v xml:space="preserve"> </v>
      </c>
      <c r="J27" s="490" t="s">
        <v>707</v>
      </c>
      <c r="K27" s="13"/>
      <c r="L27" s="13"/>
      <c r="M27" s="489">
        <f>ROUND(F41/1000,0)</f>
        <v>4826</v>
      </c>
    </row>
    <row r="28" spans="1:13" x14ac:dyDescent="0.25">
      <c r="A28" s="73" t="str">
        <f>IF(inputPrYr!$B30&gt;"  ",inputPrYr!$B30,"  ")</f>
        <v xml:space="preserve">  </v>
      </c>
      <c r="B28" s="73" t="str">
        <f>IF(levypage12!$C$33&lt;&gt;0,levypage12!$C$33,"  ")</f>
        <v xml:space="preserve">  </v>
      </c>
      <c r="C28" s="76" t="str">
        <f>IF(inputPrYr!D59&gt;0,inputPrYr!D59,"  ")</f>
        <v xml:space="preserve">  </v>
      </c>
      <c r="D28" s="73" t="str">
        <f>IF(levypage12!$D$33&lt;&gt;0,levypage12!$D$33,"  ")</f>
        <v xml:space="preserve">  </v>
      </c>
      <c r="E28" s="76" t="str">
        <f>IF(inputOth!D47&gt;0,inputOth!D47,"  ")</f>
        <v xml:space="preserve">  </v>
      </c>
      <c r="F28" s="73" t="str">
        <f>IF(levypage12!$E$33&lt;&gt;0,levypage12!$E$33,"  ")</f>
        <v xml:space="preserve">  </v>
      </c>
      <c r="G28" s="73" t="str">
        <f>IF(levypage12!$E$40&lt;&gt;0,levypage12!$E$40,"  ")</f>
        <v xml:space="preserve">  </v>
      </c>
      <c r="H28" s="76" t="str">
        <f>IF(levypage12!E40&gt;0,ROUND(G28/F40*1000,3)," ")</f>
        <v xml:space="preserve"> </v>
      </c>
    </row>
    <row r="29" spans="1:13" x14ac:dyDescent="0.25">
      <c r="A29" s="73" t="str">
        <f>IF(inputPrYr!$B31&gt;"  ",inputPrYr!$B31,"  ")</f>
        <v xml:space="preserve">  </v>
      </c>
      <c r="B29" s="73" t="str">
        <f>IF(levypage12!$C$73&lt;&gt;0,levypage12!$C$73,"  ")</f>
        <v xml:space="preserve">  </v>
      </c>
      <c r="C29" s="76" t="str">
        <f>IF(inputPrYr!D60&gt;0,inputPrYr!D60,"  ")</f>
        <v xml:space="preserve">  </v>
      </c>
      <c r="D29" s="73" t="str">
        <f>IF(levypage12!$D$73&lt;&gt;0,levypage12!$D$73,"  ")</f>
        <v xml:space="preserve">  </v>
      </c>
      <c r="E29" s="76" t="str">
        <f>IF(inputOth!D48&gt;0,inputOth!D48,"  ")</f>
        <v xml:space="preserve">  </v>
      </c>
      <c r="F29" s="73" t="str">
        <f>IF(levypage12!$E$73&lt;&gt;0,levypage12!$E$73,"  ")</f>
        <v xml:space="preserve">  </v>
      </c>
      <c r="G29" s="73" t="str">
        <f>IF(levypage12!$E$80&lt;&gt;0,levypage12!$E$80,"  ")</f>
        <v xml:space="preserve">  </v>
      </c>
      <c r="H29" s="76" t="str">
        <f>IF(levypage12!E80&gt;0,ROUND(G29/F40*1000,3)," ")</f>
        <v xml:space="preserve"> </v>
      </c>
      <c r="I29" s="493"/>
      <c r="J29" s="877" t="str">
        <f>CONCATENATE("Want The Mill Rate The Same As For ",H1-1,"?")</f>
        <v>Want The Mill Rate The Same As For 2014?</v>
      </c>
      <c r="K29" s="878"/>
      <c r="L29" s="878"/>
      <c r="M29" s="879"/>
    </row>
    <row r="30" spans="1:13" x14ac:dyDescent="0.25">
      <c r="A30" s="73" t="str">
        <f>IF(inputPrYr!$B35&gt;"  ",inputPrYr!$B35,"  ")</f>
        <v xml:space="preserve">  </v>
      </c>
      <c r="B30" s="73" t="str">
        <f>IF(nolevypage13!$C$28&lt;&gt;0,nolevypage13!$C$28,"  ")</f>
        <v xml:space="preserve">  </v>
      </c>
      <c r="C30" s="76"/>
      <c r="D30" s="73" t="str">
        <f>IF(nolevypage13!$D$28&lt;&gt;0,nolevypage13!$D$28,"  ")</f>
        <v xml:space="preserve">  </v>
      </c>
      <c r="E30" s="76"/>
      <c r="F30" s="73" t="str">
        <f>IF(nolevypage13!$E$28&lt;&gt;0,nolevypage13!$E$28,"  ")</f>
        <v xml:space="preserve">  </v>
      </c>
      <c r="G30" s="73"/>
      <c r="H30" s="76"/>
      <c r="J30" s="488"/>
      <c r="K30" s="9"/>
      <c r="L30" s="9"/>
      <c r="M30" s="487"/>
    </row>
    <row r="31" spans="1:13" x14ac:dyDescent="0.25">
      <c r="A31" s="73" t="str">
        <f>IF(inputPrYr!$B36&gt;"  ",inputPrYr!$B36,"  ")</f>
        <v xml:space="preserve">  </v>
      </c>
      <c r="B31" s="73" t="str">
        <f>IF(nolevypage13!$C$59&lt;&gt;0,nolevypage13!$C$59,"  ")</f>
        <v xml:space="preserve">  </v>
      </c>
      <c r="C31" s="76"/>
      <c r="D31" s="73" t="str">
        <f>IF(nolevypage13!$D$59&lt;&gt;0,nolevypage13!$D$59,"  ")</f>
        <v xml:space="preserve">  </v>
      </c>
      <c r="E31" s="76"/>
      <c r="F31" s="73" t="str">
        <f>IF(nolevypage13!$E$59&lt;&gt;0,nolevypage13!$E$59,"  ")</f>
        <v xml:space="preserve">  </v>
      </c>
      <c r="G31" s="73"/>
      <c r="H31" s="76"/>
      <c r="J31" s="488" t="str">
        <f>CONCATENATE("",H1-1," Mill Rate Was:")</f>
        <v>2014 Mill Rate Was:</v>
      </c>
      <c r="K31" s="9"/>
      <c r="L31" s="9"/>
      <c r="M31" s="486">
        <f>E36</f>
        <v>12.68</v>
      </c>
    </row>
    <row r="32" spans="1:13" x14ac:dyDescent="0.25">
      <c r="A32" s="73" t="str">
        <f>IF(inputPrYr!$B37&gt;"  ",inputPrYr!$B37,"  ")</f>
        <v xml:space="preserve">  </v>
      </c>
      <c r="B32" s="73" t="str">
        <f>IF(nolevypage14!$C$28&lt;&gt;0,nolevypage14!$C$28,"  ")</f>
        <v xml:space="preserve">  </v>
      </c>
      <c r="C32" s="76"/>
      <c r="D32" s="73" t="str">
        <f>IF(nolevypage14!$D$28&lt;&gt;0,nolevypage14!$D$28,"  ")</f>
        <v xml:space="preserve">  </v>
      </c>
      <c r="E32" s="76"/>
      <c r="F32" s="73" t="str">
        <f>IF(nolevypage14!$E$28&lt;&gt;0,nolevypage14!$E$28,"  ")</f>
        <v xml:space="preserve">  </v>
      </c>
      <c r="G32" s="73"/>
      <c r="H32" s="76"/>
      <c r="J32" s="485" t="str">
        <f>CONCATENATE("",H1," Tax Levy Fund Expenditures Must Be")</f>
        <v>2015 Tax Levy Fund Expenditures Must Be</v>
      </c>
      <c r="K32" s="484"/>
      <c r="L32" s="484"/>
      <c r="M32" s="487"/>
    </row>
    <row r="33" spans="1:15" x14ac:dyDescent="0.25">
      <c r="A33" s="73" t="str">
        <f>IF(inputPrYr!$B38&gt;"  ",inputPrYr!$B38,"  ")</f>
        <v xml:space="preserve">  </v>
      </c>
      <c r="B33" s="73" t="str">
        <f>IF(nolevypage14!$C$59&lt;&gt;0,nolevypage14!$C$59,"  ")</f>
        <v xml:space="preserve">  </v>
      </c>
      <c r="C33" s="76"/>
      <c r="D33" s="73" t="str">
        <f>IF(nolevypage14!$D$59&lt;&gt;0,nolevypage14!$D$59,"  ")</f>
        <v xml:space="preserve">  </v>
      </c>
      <c r="E33" s="76"/>
      <c r="F33" s="73" t="str">
        <f>IF(nolevypage14!$E$59&lt;&gt;0,nolevypage14!$E$59,"  ")</f>
        <v xml:space="preserve">  </v>
      </c>
      <c r="G33" s="73"/>
      <c r="H33" s="76"/>
      <c r="J33" s="509" t="s">
        <v>713</v>
      </c>
      <c r="K33" s="484"/>
      <c r="L33" s="484"/>
      <c r="M33" s="483">
        <f>M45*-1</f>
        <v>0</v>
      </c>
    </row>
    <row r="34" spans="1:15" x14ac:dyDescent="0.25">
      <c r="A34" s="73" t="str">
        <f>IF((inputPrYr!$B41&gt;"  "),(nonbud!$A3),"  ")</f>
        <v xml:space="preserve">  </v>
      </c>
      <c r="B34" s="700" t="str">
        <f>IF((nonbud!$K$28)&lt;&gt;0,(nonbud!$K$28),"  ")</f>
        <v xml:space="preserve">  </v>
      </c>
      <c r="C34" s="311"/>
      <c r="D34" s="73"/>
      <c r="E34" s="76"/>
      <c r="F34" s="73"/>
      <c r="G34" s="73"/>
      <c r="H34" s="76"/>
      <c r="J34" s="482" t="s">
        <v>714</v>
      </c>
      <c r="K34" s="479"/>
      <c r="L34" s="479"/>
      <c r="M34" s="481">
        <f>M46*-1</f>
        <v>-1</v>
      </c>
    </row>
    <row r="35" spans="1:15" ht="16.5" thickBot="1" x14ac:dyDescent="0.3">
      <c r="A35" s="87" t="s">
        <v>232</v>
      </c>
      <c r="B35" s="448" t="str">
        <f>IF(road!C64&lt;&gt;0,road!C64,"  ")</f>
        <v xml:space="preserve">  </v>
      </c>
      <c r="C35" s="449"/>
      <c r="D35" s="449"/>
      <c r="E35" s="449"/>
      <c r="F35" s="449"/>
      <c r="G35" s="449"/>
      <c r="H35" s="449"/>
      <c r="J35" s="480"/>
      <c r="K35" s="480"/>
      <c r="L35" s="480"/>
      <c r="M35" s="480"/>
    </row>
    <row r="36" spans="1:15" x14ac:dyDescent="0.25">
      <c r="A36" s="87" t="s">
        <v>233</v>
      </c>
      <c r="B36" s="446">
        <f t="shared" ref="B36:H36" si="0">SUM(B18:B35)</f>
        <v>85416</v>
      </c>
      <c r="C36" s="447">
        <f t="shared" si="0"/>
        <v>10.385</v>
      </c>
      <c r="D36" s="446">
        <f t="shared" si="0"/>
        <v>89866</v>
      </c>
      <c r="E36" s="447">
        <f t="shared" si="0"/>
        <v>12.68</v>
      </c>
      <c r="F36" s="446">
        <f t="shared" si="0"/>
        <v>94535</v>
      </c>
      <c r="G36" s="446">
        <f t="shared" si="0"/>
        <v>78526</v>
      </c>
      <c r="H36" s="447">
        <f t="shared" si="0"/>
        <v>12.68</v>
      </c>
      <c r="J36" s="877" t="str">
        <f>CONCATENATE("Impact On Keeping The Same Mill Rate As For ",H1-1,"")</f>
        <v>Impact On Keeping The Same Mill Rate As For 2014</v>
      </c>
      <c r="K36" s="880"/>
      <c r="L36" s="880"/>
      <c r="M36" s="881"/>
    </row>
    <row r="37" spans="1:15" x14ac:dyDescent="0.25">
      <c r="A37" s="87" t="s">
        <v>283</v>
      </c>
      <c r="B37" s="73">
        <f>transfer!C29</f>
        <v>0</v>
      </c>
      <c r="C37" s="48"/>
      <c r="D37" s="73">
        <f>transfer!D29</f>
        <v>0</v>
      </c>
      <c r="E37" s="187"/>
      <c r="F37" s="73">
        <f>transfer!E29</f>
        <v>0</v>
      </c>
      <c r="G37" s="48"/>
      <c r="H37" s="48"/>
      <c r="J37" s="488"/>
      <c r="K37" s="9"/>
      <c r="L37" s="9"/>
      <c r="M37" s="487"/>
    </row>
    <row r="38" spans="1:15" ht="16.5" thickBot="1" x14ac:dyDescent="0.3">
      <c r="A38" s="87" t="s">
        <v>284</v>
      </c>
      <c r="B38" s="450">
        <f>B36-B37</f>
        <v>85416</v>
      </c>
      <c r="C38" s="48"/>
      <c r="D38" s="450">
        <f>D36-D37</f>
        <v>89866</v>
      </c>
      <c r="E38" s="48"/>
      <c r="F38" s="450">
        <f>F36-F37</f>
        <v>94535</v>
      </c>
      <c r="G38" s="48"/>
      <c r="H38" s="48"/>
      <c r="J38" s="488" t="str">
        <f>CONCATENATE("",H1," Ad Valorem Tax Rev(Township Only):")</f>
        <v>2015 Ad Valorem Tax Rev(Township Only):</v>
      </c>
      <c r="K38" s="9"/>
      <c r="L38" s="9"/>
      <c r="M38" s="491">
        <f>SUM(G21:G24)</f>
        <v>35778</v>
      </c>
    </row>
    <row r="39" spans="1:15" ht="16.5" thickTop="1" x14ac:dyDescent="0.25">
      <c r="A39" s="87" t="s">
        <v>0</v>
      </c>
      <c r="B39" s="209">
        <f>inputPrYr!E63</f>
        <v>62210</v>
      </c>
      <c r="C39" s="187"/>
      <c r="D39" s="209">
        <f>inputPrYr!E32</f>
        <v>75634</v>
      </c>
      <c r="E39" s="48"/>
      <c r="F39" s="451" t="s">
        <v>234</v>
      </c>
      <c r="G39" s="48"/>
      <c r="H39" s="48"/>
      <c r="J39" s="488" t="str">
        <f>CONCATENATE("",H1," Ad Valorem Tax Rev(Township Tot):")</f>
        <v>2015 Ad Valorem Tax Rev(Township Tot):</v>
      </c>
      <c r="K39" s="9"/>
      <c r="L39" s="9"/>
      <c r="M39" s="504">
        <f>SUM(G18,G19,G20,G25,G26,G27,G28,G29)</f>
        <v>42748</v>
      </c>
    </row>
    <row r="40" spans="1:15" x14ac:dyDescent="0.25">
      <c r="A40" s="87" t="s">
        <v>159</v>
      </c>
      <c r="B40" s="73">
        <f>inputPrYr!E64</f>
        <v>7896443</v>
      </c>
      <c r="C40" s="187"/>
      <c r="D40" s="73">
        <f>inputOth!E55</f>
        <v>7885028</v>
      </c>
      <c r="E40" s="187"/>
      <c r="F40" s="73">
        <f>inputOth!E11</f>
        <v>8115954</v>
      </c>
      <c r="G40" s="48"/>
      <c r="H40" s="48"/>
      <c r="J40" s="488" t="str">
        <f>CONCATENATE("Total ",H1," Ad Valorem Tax Revenue:")</f>
        <v>Total 2015 Ad Valorem Tax Revenue:</v>
      </c>
      <c r="K40" s="54"/>
      <c r="L40" s="54"/>
      <c r="M40" s="505">
        <f>M38+M39</f>
        <v>78526</v>
      </c>
    </row>
    <row r="41" spans="1:15" x14ac:dyDescent="0.25">
      <c r="A41" s="63" t="s">
        <v>214</v>
      </c>
      <c r="B41" s="188"/>
      <c r="C41" s="48"/>
      <c r="D41" s="158"/>
      <c r="E41" s="48"/>
      <c r="F41" s="73">
        <f>inputOth!E8</f>
        <v>4826393</v>
      </c>
      <c r="G41" s="48"/>
      <c r="H41" s="48"/>
      <c r="J41" s="488" t="str">
        <f>CONCATENATE("",H1-1," Ad Valorem Tax Rev(Township Only):")</f>
        <v>2014 Ad Valorem Tax Rev(Township Only):</v>
      </c>
      <c r="K41" s="9"/>
      <c r="L41" s="9"/>
      <c r="M41" s="506">
        <f>ROUND(SUM(E21:E24)*F41/1000,0)</f>
        <v>35778</v>
      </c>
      <c r="N41" s="498"/>
    </row>
    <row r="42" spans="1:15" x14ac:dyDescent="0.25">
      <c r="A42" s="90"/>
      <c r="B42" s="158"/>
      <c r="C42" s="48"/>
      <c r="D42" s="158"/>
      <c r="E42" s="48"/>
      <c r="F42" s="158"/>
      <c r="G42" s="48"/>
      <c r="H42" s="48"/>
      <c r="J42" s="488" t="str">
        <f>CONCATENATE("",H1-1," Ad Valorem Tax Rev(Township Tot):")</f>
        <v>2014 Ad Valorem Tax Rev(Township Tot):</v>
      </c>
      <c r="K42" s="54"/>
      <c r="L42" s="54"/>
      <c r="M42" s="507">
        <f>ROUND(SUM(E18,E19,E20,(E25,E26,E27,E28,E29))*F40/1000,0)</f>
        <v>42747</v>
      </c>
      <c r="N42" s="498"/>
      <c r="O42" s="498"/>
    </row>
    <row r="43" spans="1:15" x14ac:dyDescent="0.25">
      <c r="A43" s="55" t="s">
        <v>1</v>
      </c>
      <c r="B43" s="48"/>
      <c r="C43" s="48"/>
      <c r="D43" s="48"/>
      <c r="E43" s="48"/>
      <c r="F43" s="48"/>
      <c r="G43" s="48"/>
      <c r="H43" s="48"/>
      <c r="J43" s="474" t="str">
        <f>CONCATENATE("Total ",H1-1," Ad Valorem Tax Revenue:")</f>
        <v>Total 2014 Ad Valorem Tax Revenue:</v>
      </c>
      <c r="K43" s="54"/>
      <c r="L43" s="54"/>
      <c r="M43" s="508">
        <f>M41+M42</f>
        <v>78525</v>
      </c>
      <c r="O43" s="498"/>
    </row>
    <row r="44" spans="1:15" x14ac:dyDescent="0.25">
      <c r="A44" s="55" t="s">
        <v>2</v>
      </c>
      <c r="B44" s="189">
        <f>H1-3</f>
        <v>2012</v>
      </c>
      <c r="C44" s="48"/>
      <c r="D44" s="189">
        <f>H1-2</f>
        <v>2013</v>
      </c>
      <c r="E44" s="48"/>
      <c r="F44" s="189">
        <f>H1-1</f>
        <v>2014</v>
      </c>
      <c r="G44" s="48"/>
      <c r="H44" s="48"/>
      <c r="J44" s="485" t="s">
        <v>704</v>
      </c>
      <c r="K44" s="484"/>
      <c r="L44" s="484"/>
      <c r="M44" s="483">
        <f>M40-M43</f>
        <v>1</v>
      </c>
    </row>
    <row r="45" spans="1:15" x14ac:dyDescent="0.25">
      <c r="A45" s="55" t="s">
        <v>3</v>
      </c>
      <c r="B45" s="66">
        <f>inputPrYr!D67</f>
        <v>0</v>
      </c>
      <c r="C45" s="52"/>
      <c r="D45" s="66">
        <f>inputPrYr!E67</f>
        <v>0</v>
      </c>
      <c r="E45" s="52"/>
      <c r="F45" s="66">
        <f>debt!F11</f>
        <v>0</v>
      </c>
      <c r="G45" s="48"/>
      <c r="H45" s="48"/>
      <c r="J45" s="509" t="s">
        <v>709</v>
      </c>
      <c r="K45" s="510"/>
      <c r="L45" s="510"/>
      <c r="M45" s="505">
        <f>M38-M41</f>
        <v>0</v>
      </c>
    </row>
    <row r="46" spans="1:15" x14ac:dyDescent="0.25">
      <c r="A46" s="55" t="s">
        <v>260</v>
      </c>
      <c r="B46" s="66">
        <f>inputPrYr!D68</f>
        <v>0</v>
      </c>
      <c r="C46" s="52"/>
      <c r="D46" s="66">
        <f>inputPrYr!E68</f>
        <v>0</v>
      </c>
      <c r="E46" s="52"/>
      <c r="F46" s="66">
        <f>debt!F15</f>
        <v>0</v>
      </c>
      <c r="G46" s="48"/>
      <c r="H46" s="48"/>
      <c r="J46" s="482" t="s">
        <v>708</v>
      </c>
      <c r="K46" s="479"/>
      <c r="L46" s="479"/>
      <c r="M46" s="481">
        <f>M39-M42</f>
        <v>1</v>
      </c>
    </row>
    <row r="47" spans="1:15" x14ac:dyDescent="0.25">
      <c r="A47" s="55" t="s">
        <v>700</v>
      </c>
      <c r="B47" s="66">
        <f>inputPrYr!D69</f>
        <v>0</v>
      </c>
      <c r="C47" s="52"/>
      <c r="D47" s="66">
        <f>inputPrYr!E69</f>
        <v>0</v>
      </c>
      <c r="E47" s="52"/>
      <c r="F47" s="66">
        <f>debt!G36</f>
        <v>0</v>
      </c>
      <c r="G47" s="48"/>
      <c r="H47" s="48"/>
    </row>
    <row r="48" spans="1:15" ht="16.5" thickBot="1" x14ac:dyDescent="0.3">
      <c r="A48" s="55" t="s">
        <v>4</v>
      </c>
      <c r="B48" s="83">
        <f>SUM(B45:B47)</f>
        <v>0</v>
      </c>
      <c r="C48" s="52"/>
      <c r="D48" s="83">
        <f>SUM(D45:D47)</f>
        <v>0</v>
      </c>
      <c r="E48" s="52"/>
      <c r="F48" s="83">
        <f>SUM(F45:F47)</f>
        <v>0</v>
      </c>
      <c r="G48" s="48"/>
      <c r="H48" s="48"/>
      <c r="J48" s="877" t="s">
        <v>705</v>
      </c>
      <c r="K48" s="878"/>
      <c r="L48" s="878"/>
      <c r="M48" s="879"/>
    </row>
    <row r="49" spans="1:13" ht="16.5" thickTop="1" x14ac:dyDescent="0.25">
      <c r="A49" s="55" t="s">
        <v>5</v>
      </c>
      <c r="B49" s="48"/>
      <c r="C49" s="48"/>
      <c r="D49" s="48"/>
      <c r="E49" s="48"/>
      <c r="F49" s="48"/>
      <c r="G49" s="48"/>
      <c r="H49" s="48"/>
      <c r="J49" s="488"/>
      <c r="K49" s="9"/>
      <c r="L49" s="9"/>
      <c r="M49" s="487"/>
    </row>
    <row r="50" spans="1:13" x14ac:dyDescent="0.25">
      <c r="A50" s="48"/>
      <c r="B50" s="48"/>
      <c r="C50" s="48"/>
      <c r="D50" s="48"/>
      <c r="E50" s="48"/>
      <c r="F50" s="48"/>
      <c r="G50" s="48"/>
      <c r="H50" s="48"/>
      <c r="J50" s="495" t="str">
        <f>CONCATENATE("Enter Desired ",$H$1," Mill Rate:")</f>
        <v>Enter Desired 2015 Mill Rate:</v>
      </c>
      <c r="K50" s="496"/>
      <c r="L50" s="497"/>
      <c r="M50" s="494">
        <v>12</v>
      </c>
    </row>
    <row r="51" spans="1:13" x14ac:dyDescent="0.25">
      <c r="A51" s="884" t="str">
        <f>inputBudSum!B4</f>
        <v>Tim Entz</v>
      </c>
      <c r="B51" s="884"/>
      <c r="C51" s="48"/>
      <c r="D51" s="48"/>
      <c r="E51" s="48"/>
      <c r="F51" s="48"/>
      <c r="G51" s="48"/>
      <c r="H51" s="48"/>
      <c r="J51" s="488" t="str">
        <f>CONCATENATE("Current ",$H$1," Estimated Mill Rate:")</f>
        <v>Current 2015 Estimated Mill Rate:</v>
      </c>
      <c r="K51" s="9"/>
      <c r="L51" s="9"/>
      <c r="M51" s="501">
        <f>IF(M50=0,0,$H$36)</f>
        <v>12.68</v>
      </c>
    </row>
    <row r="52" spans="1:13" x14ac:dyDescent="0.25">
      <c r="A52" s="885" t="str">
        <f>inputBudSum!B6</f>
        <v>Clerk</v>
      </c>
      <c r="B52" s="886"/>
      <c r="C52" s="48"/>
      <c r="D52" s="48"/>
      <c r="E52" s="48"/>
      <c r="F52" s="48"/>
      <c r="G52" s="48"/>
      <c r="H52" s="48"/>
      <c r="J52" s="488" t="s">
        <v>710</v>
      </c>
      <c r="K52" s="9"/>
      <c r="L52" s="9"/>
      <c r="M52" s="502">
        <f>M50-M51</f>
        <v>-0.67999999999999972</v>
      </c>
    </row>
    <row r="53" spans="1:13" x14ac:dyDescent="0.25">
      <c r="A53" s="48"/>
      <c r="B53" s="48"/>
      <c r="C53" s="48"/>
      <c r="D53" s="48"/>
      <c r="E53" s="48"/>
      <c r="F53" s="48"/>
      <c r="G53" s="48"/>
      <c r="H53" s="48"/>
      <c r="J53" s="474" t="s">
        <v>711</v>
      </c>
      <c r="K53" s="54"/>
      <c r="L53" s="54"/>
      <c r="M53" s="499">
        <f>IF(M50=0,0,ROUND(SUM(H21:H24)/M51,2))</f>
        <v>0.57999999999999996</v>
      </c>
    </row>
    <row r="54" spans="1:13" x14ac:dyDescent="0.25">
      <c r="A54" s="48"/>
      <c r="B54" s="190" t="s">
        <v>248</v>
      </c>
      <c r="C54" s="191">
        <v>8</v>
      </c>
      <c r="D54" s="48"/>
      <c r="E54" s="48"/>
      <c r="F54" s="48"/>
      <c r="G54" s="48"/>
      <c r="H54" s="48"/>
      <c r="J54" s="474" t="s">
        <v>712</v>
      </c>
      <c r="K54" s="54"/>
      <c r="L54" s="54"/>
      <c r="M54" s="499" t="e">
        <f>IF(M50=0,0,ROUND(SUM(H18+H19+H20+H25+H26+H27+H28+H29)/M51,2))</f>
        <v>#VALUE!</v>
      </c>
    </row>
    <row r="55" spans="1:13" x14ac:dyDescent="0.25">
      <c r="A55" s="95"/>
      <c r="B55" s="95"/>
      <c r="C55" s="95"/>
      <c r="H55" s="500"/>
      <c r="J55" s="485" t="str">
        <f>CONCATENATE("",$H$1," Tax Levy Fund Total Exp. Changed By:")</f>
        <v>2015 Tax Levy Fund Total Exp. Changed By:</v>
      </c>
      <c r="K55" s="484"/>
      <c r="L55" s="484"/>
      <c r="M55" s="491"/>
    </row>
    <row r="56" spans="1:13" x14ac:dyDescent="0.25">
      <c r="J56" s="509" t="s">
        <v>713</v>
      </c>
      <c r="K56" s="510"/>
      <c r="L56" s="510"/>
      <c r="M56" s="505">
        <f>ROUND(F41*M52*M53/1000,0)</f>
        <v>-1904</v>
      </c>
    </row>
    <row r="57" spans="1:13" x14ac:dyDescent="0.25">
      <c r="A57" s="95"/>
      <c r="B57" s="95"/>
      <c r="C57" s="95"/>
      <c r="D57" s="95"/>
      <c r="E57" s="95"/>
      <c r="F57" s="95"/>
      <c r="G57" s="95"/>
      <c r="J57" s="482" t="s">
        <v>714</v>
      </c>
      <c r="K57" s="479"/>
      <c r="L57" s="479"/>
      <c r="M57" s="481" t="e">
        <f>ROUND(F40*M52*M54/1000,0)</f>
        <v>#VALUE!</v>
      </c>
    </row>
    <row r="58" spans="1:13" x14ac:dyDescent="0.25">
      <c r="H58" s="95"/>
      <c r="M58" s="503"/>
    </row>
    <row r="59" spans="1:13" x14ac:dyDescent="0.25">
      <c r="M59" s="503"/>
    </row>
    <row r="79" spans="1:6" x14ac:dyDescent="0.25">
      <c r="A79" s="95"/>
      <c r="B79" s="95"/>
      <c r="C79" s="95"/>
      <c r="D79" s="95"/>
      <c r="E79" s="95"/>
      <c r="F79" s="95"/>
    </row>
    <row r="86" spans="1:8" x14ac:dyDescent="0.25">
      <c r="A86" s="95"/>
      <c r="B86" s="95"/>
      <c r="C86" s="95"/>
      <c r="D86" s="95"/>
      <c r="E86" s="95"/>
      <c r="F86" s="95"/>
      <c r="G86" s="95"/>
    </row>
    <row r="87" spans="1:8" x14ac:dyDescent="0.25">
      <c r="H87" s="95"/>
    </row>
    <row r="92" spans="1:8" x14ac:dyDescent="0.25">
      <c r="A92" s="95"/>
      <c r="B92" s="95"/>
      <c r="C92" s="95"/>
      <c r="D92" s="95"/>
      <c r="E92" s="95"/>
      <c r="F92" s="95"/>
      <c r="G92" s="95"/>
    </row>
    <row r="93" spans="1:8" x14ac:dyDescent="0.25">
      <c r="H93" s="95"/>
    </row>
    <row r="113" spans="1:7" x14ac:dyDescent="0.25">
      <c r="A113" s="95"/>
      <c r="B113" s="95"/>
      <c r="C113" s="95"/>
      <c r="D113" s="95"/>
      <c r="E113" s="95"/>
      <c r="F113" s="95"/>
      <c r="G113" s="95"/>
    </row>
  </sheetData>
  <sheetProtection sheet="1"/>
  <mergeCells count="17">
    <mergeCell ref="A52:B52"/>
    <mergeCell ref="A9:H9"/>
    <mergeCell ref="A2:H2"/>
    <mergeCell ref="A8:H8"/>
    <mergeCell ref="A10:H10"/>
    <mergeCell ref="A11:H11"/>
    <mergeCell ref="A12:H12"/>
    <mergeCell ref="A4:H4"/>
    <mergeCell ref="G15:G17"/>
    <mergeCell ref="A7:H7"/>
    <mergeCell ref="A6:H6"/>
    <mergeCell ref="A5:H5"/>
    <mergeCell ref="J29:M29"/>
    <mergeCell ref="J36:M36"/>
    <mergeCell ref="J48:M48"/>
    <mergeCell ref="J24:M24"/>
    <mergeCell ref="A51:B51"/>
  </mergeCells>
  <phoneticPr fontId="0" type="noConversion"/>
  <pageMargins left="0.9" right="0.9" top="0.96" bottom="0.5" header="0.41" footer="0.3"/>
  <pageSetup scale="67" orientation="portrait" blackAndWhite="1" horizontalDpi="4294967292" verticalDpi="96" r:id="rId1"/>
  <headerFooter alignWithMargins="0">
    <oddHeader xml:space="preserve">&amp;RState of Kansas
Township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1"/>
  <sheetViews>
    <sheetView workbookViewId="0">
      <selection activeCell="F35" sqref="F35"/>
    </sheetView>
  </sheetViews>
  <sheetFormatPr defaultColWidth="8.796875" defaultRowHeight="15.75" x14ac:dyDescent="0.25"/>
  <cols>
    <col min="1" max="1" width="10.59765625" style="91" customWidth="1"/>
    <col min="2" max="2" width="13.69921875" style="91" customWidth="1"/>
    <col min="3" max="5" width="12.69921875" style="91" customWidth="1"/>
    <col min="6" max="16384" width="8.796875" style="91"/>
  </cols>
  <sheetData>
    <row r="1" spans="1:6" x14ac:dyDescent="0.25">
      <c r="A1" s="203" t="str">
        <f>inputPrYr!D3</f>
        <v>Milton Township</v>
      </c>
      <c r="B1" s="48"/>
      <c r="C1" s="48"/>
      <c r="D1" s="48"/>
      <c r="E1" s="48"/>
      <c r="F1" s="48">
        <f>inputPrYr!D9</f>
        <v>2015</v>
      </c>
    </row>
    <row r="2" spans="1:6" x14ac:dyDescent="0.25">
      <c r="A2" s="48"/>
      <c r="B2" s="48"/>
      <c r="C2" s="48"/>
      <c r="D2" s="48"/>
      <c r="E2" s="48"/>
      <c r="F2" s="48"/>
    </row>
    <row r="3" spans="1:6" x14ac:dyDescent="0.25">
      <c r="A3" s="48"/>
      <c r="B3" s="823" t="str">
        <f>CONCATENATE("",F1," Neighborhood Revitalization Rebate")</f>
        <v>2015 Neighborhood Revitalization Rebate</v>
      </c>
      <c r="C3" s="831"/>
      <c r="D3" s="831"/>
      <c r="E3" s="831"/>
      <c r="F3" s="48"/>
    </row>
    <row r="4" spans="1:6" x14ac:dyDescent="0.25">
      <c r="A4" s="48"/>
      <c r="B4" s="48"/>
      <c r="C4" s="48"/>
      <c r="D4" s="48"/>
      <c r="E4" s="48"/>
      <c r="F4" s="48"/>
    </row>
    <row r="5" spans="1:6" ht="51" customHeight="1" x14ac:dyDescent="0.25">
      <c r="A5" s="48"/>
      <c r="B5" s="312" t="str">
        <f>CONCATENATE("Budgeted Funds                            for ",F1,"")</f>
        <v>Budgeted Funds                            for 2015</v>
      </c>
      <c r="C5" s="312" t="str">
        <f>CONCATENATE("",F1-1," Ad Valorem before Rebate**")</f>
        <v>2014 Ad Valorem before Rebate**</v>
      </c>
      <c r="D5" s="313" t="str">
        <f>CONCATENATE("",F1-1," Mil Rate before Rebate")</f>
        <v>2014 Mil Rate before Rebate</v>
      </c>
      <c r="E5" s="314" t="str">
        <f>CONCATENATE("Estimate ",F1," NR Rebate")</f>
        <v>Estimate 2015 NR Rebate</v>
      </c>
      <c r="F5" s="171"/>
    </row>
    <row r="6" spans="1:6" x14ac:dyDescent="0.25">
      <c r="A6" s="48"/>
      <c r="B6" s="87" t="str">
        <f>IF(inputPrYr!B20&gt;0,inputPrYr!B20,"")</f>
        <v>General</v>
      </c>
      <c r="C6" s="315"/>
      <c r="D6" s="316" t="str">
        <f t="shared" ref="D6:D17" si="0">IF(C6&gt;0,C6/$D$23,"")</f>
        <v/>
      </c>
      <c r="E6" s="311" t="str">
        <f>IF(C6&gt;0,ROUND(D6*$D$27,0),"")</f>
        <v/>
      </c>
      <c r="F6" s="171"/>
    </row>
    <row r="7" spans="1:6" x14ac:dyDescent="0.25">
      <c r="A7" s="48"/>
      <c r="B7" s="87" t="str">
        <f>IF(inputPrYr!B21&gt;0,inputPrYr!B21,"")</f>
        <v>Debt Service</v>
      </c>
      <c r="C7" s="315"/>
      <c r="D7" s="316" t="str">
        <f t="shared" si="0"/>
        <v/>
      </c>
      <c r="E7" s="311" t="str">
        <f t="shared" ref="E7:E17" si="1">IF(C7&gt;0,ROUND(D7*$D$27,0),"")</f>
        <v/>
      </c>
      <c r="F7" s="171"/>
    </row>
    <row r="8" spans="1:6" x14ac:dyDescent="0.25">
      <c r="A8" s="48"/>
      <c r="B8" s="87" t="str">
        <f>IF(inputPrYr!B22&gt;0,inputPrYr!B22,"")</f>
        <v>Library</v>
      </c>
      <c r="C8" s="315"/>
      <c r="D8" s="316" t="str">
        <f>IF(C8&gt;0,C8/$D$23,"")</f>
        <v/>
      </c>
      <c r="E8" s="311" t="str">
        <f>IF(C8&gt;0,ROUND(D8*$D$27,0),"")</f>
        <v/>
      </c>
      <c r="F8" s="171"/>
    </row>
    <row r="9" spans="1:6" x14ac:dyDescent="0.25">
      <c r="A9" s="48"/>
      <c r="B9" s="87" t="str">
        <f>IF(inputPrYr!B23&gt;0,inputPrYr!B23,"")</f>
        <v>Road</v>
      </c>
      <c r="C9" s="315"/>
      <c r="D9" s="316" t="str">
        <f t="shared" si="0"/>
        <v/>
      </c>
      <c r="E9" s="311" t="str">
        <f t="shared" si="1"/>
        <v/>
      </c>
      <c r="F9" s="171"/>
    </row>
    <row r="10" spans="1:6" x14ac:dyDescent="0.25">
      <c r="A10" s="48"/>
      <c r="B10" s="87" t="str">
        <f>IF(inputPrYr!B24&gt;0,inputPrYr!B24,"")</f>
        <v>Special Road</v>
      </c>
      <c r="C10" s="315"/>
      <c r="D10" s="316" t="str">
        <f t="shared" si="0"/>
        <v/>
      </c>
      <c r="E10" s="311" t="str">
        <f t="shared" si="1"/>
        <v/>
      </c>
      <c r="F10" s="171"/>
    </row>
    <row r="11" spans="1:6" x14ac:dyDescent="0.25">
      <c r="A11" s="48"/>
      <c r="B11" s="87" t="str">
        <f>IF(inputPrYr!B25&gt;0,inputPrYr!B25,"")</f>
        <v>Noxious Weed</v>
      </c>
      <c r="C11" s="315"/>
      <c r="D11" s="316" t="str">
        <f t="shared" si="0"/>
        <v/>
      </c>
      <c r="E11" s="311" t="str">
        <f t="shared" si="1"/>
        <v/>
      </c>
      <c r="F11" s="171"/>
    </row>
    <row r="12" spans="1:6" x14ac:dyDescent="0.25">
      <c r="A12" s="48"/>
      <c r="B12" s="87" t="str">
        <f>IF(inputPrYr!B26&gt;0,inputPrYr!B26,"")</f>
        <v>Fire Protection</v>
      </c>
      <c r="C12" s="315"/>
      <c r="D12" s="316" t="str">
        <f t="shared" si="0"/>
        <v/>
      </c>
      <c r="E12" s="311" t="str">
        <f t="shared" si="1"/>
        <v/>
      </c>
      <c r="F12" s="171"/>
    </row>
    <row r="13" spans="1:6" x14ac:dyDescent="0.25">
      <c r="A13" s="48"/>
      <c r="B13" s="87" t="str">
        <f>IF(inputPrYr!B27&gt;0,inputPrYr!B27,"")</f>
        <v/>
      </c>
      <c r="C13" s="317"/>
      <c r="D13" s="316" t="str">
        <f t="shared" si="0"/>
        <v/>
      </c>
      <c r="E13" s="311" t="str">
        <f t="shared" si="1"/>
        <v/>
      </c>
      <c r="F13" s="171"/>
    </row>
    <row r="14" spans="1:6" x14ac:dyDescent="0.25">
      <c r="A14" s="48"/>
      <c r="B14" s="87" t="str">
        <f>IF(inputPrYr!B28&gt;0,inputPrYr!B28,"")</f>
        <v/>
      </c>
      <c r="C14" s="317"/>
      <c r="D14" s="316" t="str">
        <f t="shared" si="0"/>
        <v/>
      </c>
      <c r="E14" s="311" t="str">
        <f t="shared" si="1"/>
        <v/>
      </c>
      <c r="F14" s="171"/>
    </row>
    <row r="15" spans="1:6" x14ac:dyDescent="0.25">
      <c r="A15" s="48"/>
      <c r="B15" s="87" t="str">
        <f>IF(inputPrYr!B29&gt;0,inputPrYr!B29,"")</f>
        <v/>
      </c>
      <c r="C15" s="317"/>
      <c r="D15" s="316" t="str">
        <f t="shared" si="0"/>
        <v/>
      </c>
      <c r="E15" s="311" t="str">
        <f t="shared" si="1"/>
        <v/>
      </c>
      <c r="F15" s="171"/>
    </row>
    <row r="16" spans="1:6" x14ac:dyDescent="0.25">
      <c r="A16" s="48"/>
      <c r="B16" s="87" t="str">
        <f>IF(inputPrYr!B30&gt;0,inputPrYr!B30,"")</f>
        <v/>
      </c>
      <c r="C16" s="317"/>
      <c r="D16" s="316" t="str">
        <f t="shared" si="0"/>
        <v/>
      </c>
      <c r="E16" s="311" t="str">
        <f t="shared" si="1"/>
        <v/>
      </c>
      <c r="F16" s="171"/>
    </row>
    <row r="17" spans="1:6" x14ac:dyDescent="0.25">
      <c r="A17" s="48"/>
      <c r="B17" s="87" t="str">
        <f>IF(inputPrYr!B31&gt;0,inputPrYr!B31,"")</f>
        <v/>
      </c>
      <c r="C17" s="317"/>
      <c r="D17" s="316" t="str">
        <f t="shared" si="0"/>
        <v/>
      </c>
      <c r="E17" s="311" t="str">
        <f t="shared" si="1"/>
        <v/>
      </c>
      <c r="F17" s="171"/>
    </row>
    <row r="18" spans="1:6" ht="16.5" thickBot="1" x14ac:dyDescent="0.3">
      <c r="A18" s="48"/>
      <c r="B18" s="186" t="s">
        <v>206</v>
      </c>
      <c r="C18" s="318">
        <f>SUM(C6:C17)</f>
        <v>0</v>
      </c>
      <c r="D18" s="319">
        <f>SUM(D6:D17)</f>
        <v>0</v>
      </c>
      <c r="E18" s="318">
        <f>SUM(E6:E17)</f>
        <v>0</v>
      </c>
      <c r="F18" s="171"/>
    </row>
    <row r="19" spans="1:6" ht="16.5" thickTop="1" x14ac:dyDescent="0.25">
      <c r="A19" s="48"/>
      <c r="B19" s="48"/>
      <c r="C19" s="48"/>
      <c r="D19" s="48"/>
      <c r="E19" s="48"/>
      <c r="F19" s="171"/>
    </row>
    <row r="20" spans="1:6" x14ac:dyDescent="0.25">
      <c r="A20" s="48"/>
      <c r="B20" s="48"/>
      <c r="C20" s="48"/>
      <c r="D20" s="48"/>
      <c r="E20" s="48"/>
      <c r="F20" s="171"/>
    </row>
    <row r="21" spans="1:6" x14ac:dyDescent="0.25">
      <c r="A21" s="892" t="str">
        <f>CONCATENATE("",F1-1," July 1 Valuation:")</f>
        <v>2014 July 1 Valuation:</v>
      </c>
      <c r="B21" s="891"/>
      <c r="C21" s="892"/>
      <c r="D21" s="320">
        <f>inputOth!E11</f>
        <v>8115954</v>
      </c>
      <c r="E21" s="48"/>
      <c r="F21" s="171"/>
    </row>
    <row r="22" spans="1:6" x14ac:dyDescent="0.25">
      <c r="A22" s="48"/>
      <c r="B22" s="48"/>
      <c r="C22" s="48"/>
      <c r="D22" s="48"/>
      <c r="E22" s="48"/>
      <c r="F22" s="171"/>
    </row>
    <row r="23" spans="1:6" x14ac:dyDescent="0.25">
      <c r="A23" s="48"/>
      <c r="B23" s="892" t="s">
        <v>351</v>
      </c>
      <c r="C23" s="892"/>
      <c r="D23" s="321">
        <f>IF(D21&gt;0,(D21*0.001),"")</f>
        <v>8115.9539999999997</v>
      </c>
      <c r="E23" s="48"/>
      <c r="F23" s="171"/>
    </row>
    <row r="24" spans="1:6" x14ac:dyDescent="0.25">
      <c r="A24" s="48"/>
      <c r="B24" s="99"/>
      <c r="C24" s="99"/>
      <c r="D24" s="322"/>
      <c r="E24" s="48"/>
      <c r="F24" s="171"/>
    </row>
    <row r="25" spans="1:6" x14ac:dyDescent="0.25">
      <c r="A25" s="890" t="s">
        <v>352</v>
      </c>
      <c r="B25" s="809"/>
      <c r="C25" s="809"/>
      <c r="D25" s="323">
        <f>inputOth!E33</f>
        <v>0</v>
      </c>
      <c r="E25" s="159"/>
      <c r="F25" s="159"/>
    </row>
    <row r="26" spans="1:6" x14ac:dyDescent="0.25">
      <c r="A26" s="159"/>
      <c r="B26" s="159"/>
      <c r="C26" s="159"/>
      <c r="D26" s="324"/>
      <c r="E26" s="159"/>
      <c r="F26" s="159"/>
    </row>
    <row r="27" spans="1:6" x14ac:dyDescent="0.25">
      <c r="A27" s="159"/>
      <c r="B27" s="890" t="s">
        <v>353</v>
      </c>
      <c r="C27" s="891"/>
      <c r="D27" s="325" t="str">
        <f>IF(D25&gt;0,(D25*0.001),"")</f>
        <v/>
      </c>
      <c r="E27" s="159"/>
      <c r="F27" s="159"/>
    </row>
    <row r="28" spans="1:6" x14ac:dyDescent="0.25">
      <c r="A28" s="159"/>
      <c r="B28" s="159"/>
      <c r="C28" s="159"/>
      <c r="D28" s="159"/>
      <c r="E28" s="159"/>
      <c r="F28" s="159"/>
    </row>
    <row r="29" spans="1:6" x14ac:dyDescent="0.25">
      <c r="A29" s="159"/>
      <c r="B29" s="159"/>
      <c r="C29" s="159"/>
      <c r="D29" s="159"/>
      <c r="E29" s="159"/>
      <c r="F29" s="159"/>
    </row>
    <row r="30" spans="1:6" x14ac:dyDescent="0.25">
      <c r="A30" s="159"/>
      <c r="B30" s="159"/>
      <c r="C30" s="159"/>
      <c r="D30" s="159"/>
      <c r="E30" s="159"/>
      <c r="F30" s="159"/>
    </row>
    <row r="31" spans="1:6" x14ac:dyDescent="0.25">
      <c r="A31" s="20" t="str">
        <f>CONCATENATE("**This information comes from the ",F1," Budget Summary page.  See instructions tab #12 for completing")</f>
        <v>**This information comes from the 2015 Budget Summary page.  See instructions tab #12 for completing</v>
      </c>
      <c r="B31" s="159"/>
      <c r="C31" s="159"/>
      <c r="D31" s="159"/>
      <c r="E31" s="159"/>
      <c r="F31" s="159"/>
    </row>
    <row r="32" spans="1:6" x14ac:dyDescent="0.25">
      <c r="A32" s="20" t="s">
        <v>589</v>
      </c>
      <c r="B32" s="159"/>
      <c r="C32" s="159"/>
      <c r="D32" s="159"/>
      <c r="E32" s="159"/>
      <c r="F32" s="159"/>
    </row>
    <row r="33" spans="1:6" x14ac:dyDescent="0.25">
      <c r="A33" s="20"/>
      <c r="B33" s="159"/>
      <c r="C33" s="159"/>
      <c r="D33" s="159"/>
      <c r="E33" s="159"/>
      <c r="F33" s="159"/>
    </row>
    <row r="34" spans="1:6" x14ac:dyDescent="0.25">
      <c r="A34" s="20"/>
      <c r="B34" s="159"/>
      <c r="C34" s="159"/>
      <c r="D34" s="159"/>
      <c r="E34" s="159"/>
      <c r="F34" s="159"/>
    </row>
    <row r="35" spans="1:6" x14ac:dyDescent="0.25">
      <c r="A35" s="20"/>
      <c r="B35" s="159"/>
      <c r="C35" s="159"/>
      <c r="D35" s="159"/>
      <c r="E35" s="159"/>
      <c r="F35" s="159"/>
    </row>
    <row r="36" spans="1:6" x14ac:dyDescent="0.25">
      <c r="A36" s="20"/>
      <c r="B36" s="159"/>
      <c r="C36" s="159"/>
      <c r="D36" s="159"/>
      <c r="E36" s="159"/>
      <c r="F36" s="159"/>
    </row>
    <row r="37" spans="1:6" x14ac:dyDescent="0.25">
      <c r="A37" s="20"/>
      <c r="B37" s="159"/>
      <c r="C37" s="159"/>
      <c r="D37" s="159"/>
      <c r="E37" s="159"/>
      <c r="F37" s="159"/>
    </row>
    <row r="38" spans="1:6" x14ac:dyDescent="0.25">
      <c r="A38" s="20"/>
      <c r="B38" s="159"/>
      <c r="C38" s="159"/>
      <c r="D38" s="159"/>
      <c r="E38" s="159"/>
      <c r="F38" s="159"/>
    </row>
    <row r="39" spans="1:6" x14ac:dyDescent="0.25">
      <c r="A39" s="159"/>
      <c r="B39" s="159"/>
      <c r="C39" s="159"/>
      <c r="D39" s="159"/>
      <c r="E39" s="159"/>
      <c r="F39" s="159"/>
    </row>
    <row r="40" spans="1:6" x14ac:dyDescent="0.25">
      <c r="A40" s="159"/>
      <c r="B40" s="133" t="s">
        <v>248</v>
      </c>
      <c r="C40" s="134"/>
      <c r="D40" s="159"/>
      <c r="E40" s="159"/>
      <c r="F40" s="159"/>
    </row>
    <row r="41" spans="1:6" x14ac:dyDescent="0.25">
      <c r="A41" s="171"/>
      <c r="B41" s="48"/>
      <c r="C41" s="48"/>
      <c r="D41" s="326"/>
      <c r="E41" s="171"/>
      <c r="F41" s="171"/>
    </row>
  </sheetData>
  <sheetProtection sheet="1"/>
  <mergeCells count="5">
    <mergeCell ref="B27:C27"/>
    <mergeCell ref="B3:E3"/>
    <mergeCell ref="A21:C21"/>
    <mergeCell ref="B23:C23"/>
    <mergeCell ref="A25:C25"/>
  </mergeCells>
  <phoneticPr fontId="12" type="noConversion"/>
  <pageMargins left="0.75" right="0.75" top="1" bottom="1" header="0.5" footer="0.5"/>
  <pageSetup scale="98" orientation="portrait" blackAndWhite="1" r:id="rId1"/>
  <headerFooter alignWithMargins="0">
    <oddHeader>&amp;RState of Kansas
Township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I7"/>
  <sheetViews>
    <sheetView workbookViewId="0">
      <selection activeCell="S55" sqref="S55"/>
    </sheetView>
  </sheetViews>
  <sheetFormatPr defaultRowHeight="15.75" x14ac:dyDescent="0.25"/>
  <sheetData>
    <row r="2" spans="3:9" x14ac:dyDescent="0.25">
      <c r="C2" s="636"/>
      <c r="D2" s="636"/>
      <c r="E2" s="636"/>
      <c r="F2" s="636"/>
      <c r="G2" s="636"/>
      <c r="H2" s="636"/>
      <c r="I2" s="768">
        <f>inputPrYr!D9</f>
        <v>2015</v>
      </c>
    </row>
    <row r="3" spans="3:9" ht="16.5" thickBot="1" x14ac:dyDescent="0.3">
      <c r="C3" s="636"/>
      <c r="D3" s="636"/>
      <c r="E3" s="636"/>
      <c r="F3" s="636"/>
      <c r="G3" s="636"/>
      <c r="H3" s="636"/>
      <c r="I3" s="636"/>
    </row>
    <row r="4" spans="3:9" ht="19.5" thickBot="1" x14ac:dyDescent="0.35">
      <c r="C4" s="896" t="s">
        <v>932</v>
      </c>
      <c r="D4" s="897"/>
      <c r="E4" s="897"/>
      <c r="F4" s="897"/>
      <c r="G4" s="897"/>
      <c r="H4" s="897"/>
      <c r="I4" s="898"/>
    </row>
    <row r="5" spans="3:9" ht="16.5" thickBot="1" x14ac:dyDescent="0.3">
      <c r="C5" s="765"/>
      <c r="D5" s="765"/>
      <c r="E5" s="766"/>
      <c r="F5" s="767"/>
      <c r="G5" s="765"/>
      <c r="H5" s="765"/>
      <c r="I5" s="765"/>
    </row>
    <row r="6" spans="3:9" x14ac:dyDescent="0.25">
      <c r="C6" s="899" t="str">
        <f>CONCATENATE("Notice of Vote - ",inputPrYr!D3)</f>
        <v>Notice of Vote - Milton Township</v>
      </c>
      <c r="D6" s="900"/>
      <c r="E6" s="900"/>
      <c r="F6" s="900"/>
      <c r="G6" s="900"/>
      <c r="H6" s="900"/>
      <c r="I6" s="901"/>
    </row>
    <row r="7" spans="3:9" ht="60.75" customHeight="1" thickBot="1" x14ac:dyDescent="0.3">
      <c r="C7" s="893" t="str">
        <f>CONCATENATE("In adopting the ",I2," budget the governing body voted to increase property taxes in an amount greater than the amount levied for the ",I2-1," budget, adjusted by the ",I2-2," CPI for all urban consumers.  _____ members voted in favor of the budget and _____ members voted against the budget.")</f>
        <v>In adopting the 2015 budget the governing body voted to increase property taxes in an amount greater than the amount levied for the 2014 budget, adjusted by the 2013 CPI for all urban consumers.  _____ members voted in favor of the budget and _____ members voted against the budget.</v>
      </c>
      <c r="D7" s="894"/>
      <c r="E7" s="894"/>
      <c r="F7" s="894"/>
      <c r="G7" s="894"/>
      <c r="H7" s="894"/>
      <c r="I7" s="895"/>
    </row>
  </sheetData>
  <sheetProtection sheet="1" objects="1" scenarios="1"/>
  <mergeCells count="3">
    <mergeCell ref="C7:I7"/>
    <mergeCell ref="C4:I4"/>
    <mergeCell ref="C6:I6"/>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H12"/>
  <sheetViews>
    <sheetView workbookViewId="0">
      <selection activeCell="S72" sqref="S72"/>
    </sheetView>
  </sheetViews>
  <sheetFormatPr defaultRowHeight="15.75" x14ac:dyDescent="0.25"/>
  <cols>
    <col min="5" max="5" width="12.19921875" customWidth="1"/>
    <col min="7" max="7" width="3.296875" customWidth="1"/>
  </cols>
  <sheetData>
    <row r="2" spans="3:8" x14ac:dyDescent="0.25">
      <c r="C2" s="636"/>
      <c r="D2" s="636"/>
      <c r="E2" s="636"/>
      <c r="F2" s="636"/>
      <c r="G2" s="636"/>
      <c r="H2" s="768">
        <f>inputPrYr!D9</f>
        <v>2015</v>
      </c>
    </row>
    <row r="3" spans="3:8" ht="16.5" thickBot="1" x14ac:dyDescent="0.3">
      <c r="C3" s="636"/>
      <c r="D3" s="636"/>
      <c r="E3" s="636"/>
      <c r="F3" s="636"/>
      <c r="G3" s="636"/>
      <c r="H3" s="636"/>
    </row>
    <row r="4" spans="3:8" ht="19.5" thickBot="1" x14ac:dyDescent="0.35">
      <c r="C4" s="902" t="s">
        <v>933</v>
      </c>
      <c r="D4" s="903"/>
      <c r="E4" s="903"/>
      <c r="F4" s="903"/>
      <c r="G4" s="903"/>
      <c r="H4" s="904"/>
    </row>
    <row r="5" spans="3:8" ht="16.5" thickBot="1" x14ac:dyDescent="0.3">
      <c r="C5" s="769"/>
      <c r="D5" s="769"/>
      <c r="E5" s="769"/>
      <c r="F5" s="769"/>
      <c r="G5" s="769"/>
      <c r="H5" s="769"/>
    </row>
    <row r="6" spans="3:8" x14ac:dyDescent="0.25">
      <c r="C6" s="899" t="str">
        <f>CONCATENATE("Notice of Vote - ",inputPrYr!D3)</f>
        <v>Notice of Vote - Milton Township</v>
      </c>
      <c r="D6" s="900"/>
      <c r="E6" s="900"/>
      <c r="F6" s="900"/>
      <c r="G6" s="900"/>
      <c r="H6" s="901"/>
    </row>
    <row r="7" spans="3:8" x14ac:dyDescent="0.25">
      <c r="C7" s="905" t="s">
        <v>934</v>
      </c>
      <c r="D7" s="906"/>
      <c r="E7" s="906"/>
      <c r="F7" s="906"/>
      <c r="G7" s="906"/>
      <c r="H7" s="907"/>
    </row>
    <row r="8" spans="3:8" x14ac:dyDescent="0.25">
      <c r="C8" s="905" t="s">
        <v>935</v>
      </c>
      <c r="D8" s="906"/>
      <c r="E8" s="906"/>
      <c r="F8" s="906"/>
      <c r="G8" s="906"/>
      <c r="H8" s="907"/>
    </row>
    <row r="9" spans="3:8" x14ac:dyDescent="0.25">
      <c r="C9" s="772" t="str">
        <f>CONCATENATE(H2-1," Budget")</f>
        <v>2014 Budget</v>
      </c>
      <c r="D9" s="776" t="s">
        <v>241</v>
      </c>
      <c r="E9" s="778">
        <f>inputPrYr!E32</f>
        <v>75634</v>
      </c>
      <c r="F9" s="770"/>
      <c r="G9" s="770"/>
      <c r="H9" s="771"/>
    </row>
    <row r="10" spans="3:8" x14ac:dyDescent="0.25">
      <c r="C10" s="772" t="str">
        <f>CONCATENATE(H2," Budget")</f>
        <v>2015 Budget</v>
      </c>
      <c r="D10" s="776" t="s">
        <v>241</v>
      </c>
      <c r="E10" s="779">
        <f>cert!E39</f>
        <v>78526</v>
      </c>
      <c r="F10" s="770"/>
      <c r="G10" s="770"/>
      <c r="H10" s="771"/>
    </row>
    <row r="11" spans="3:8" x14ac:dyDescent="0.25">
      <c r="C11" s="772"/>
      <c r="D11" s="770"/>
      <c r="E11" s="770" t="s">
        <v>936</v>
      </c>
      <c r="F11" s="780"/>
      <c r="G11" s="775" t="s">
        <v>937</v>
      </c>
      <c r="H11" s="781"/>
    </row>
    <row r="12" spans="3:8" ht="16.5" thickBot="1" x14ac:dyDescent="0.3">
      <c r="C12" s="773"/>
      <c r="D12" s="774"/>
      <c r="E12" s="774"/>
      <c r="F12" s="774"/>
      <c r="G12" s="774"/>
      <c r="H12" s="777"/>
    </row>
  </sheetData>
  <sheetProtection sheet="1" objects="1" scenarios="1"/>
  <mergeCells count="4">
    <mergeCell ref="C4:H4"/>
    <mergeCell ref="C6:H6"/>
    <mergeCell ref="C7:H7"/>
    <mergeCell ref="C8:H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L85"/>
  <sheetViews>
    <sheetView workbookViewId="0">
      <selection activeCell="A78" sqref="A78"/>
    </sheetView>
  </sheetViews>
  <sheetFormatPr defaultRowHeight="15.75" x14ac:dyDescent="0.25"/>
  <cols>
    <col min="1" max="1" width="64.19921875" customWidth="1"/>
  </cols>
  <sheetData>
    <row r="3" spans="1:12" x14ac:dyDescent="0.25">
      <c r="A3" s="345" t="s">
        <v>381</v>
      </c>
      <c r="B3" s="345"/>
      <c r="C3" s="345"/>
      <c r="D3" s="345"/>
      <c r="E3" s="345"/>
      <c r="F3" s="345"/>
      <c r="G3" s="345"/>
      <c r="H3" s="345"/>
      <c r="I3" s="345"/>
      <c r="J3" s="345"/>
      <c r="K3" s="345"/>
      <c r="L3" s="345"/>
    </row>
    <row r="5" spans="1:12" x14ac:dyDescent="0.25">
      <c r="A5" s="346" t="s">
        <v>382</v>
      </c>
    </row>
    <row r="6" spans="1:12" x14ac:dyDescent="0.25">
      <c r="A6" s="346" t="str">
        <f>CONCATENATE(inputPrYr!D9-2," 'total expenditures' exceed your ",inputPrYr!D9-2," 'budget authority.'")</f>
        <v>2013 'total expenditures' exceed your 2013 'budget authority.'</v>
      </c>
    </row>
    <row r="7" spans="1:12" x14ac:dyDescent="0.25">
      <c r="A7" s="346"/>
    </row>
    <row r="8" spans="1:12" x14ac:dyDescent="0.25">
      <c r="A8" s="346" t="s">
        <v>383</v>
      </c>
    </row>
    <row r="9" spans="1:12" x14ac:dyDescent="0.25">
      <c r="A9" s="346" t="s">
        <v>384</v>
      </c>
    </row>
    <row r="10" spans="1:12" x14ac:dyDescent="0.25">
      <c r="A10" s="346" t="s">
        <v>385</v>
      </c>
    </row>
    <row r="11" spans="1:12" x14ac:dyDescent="0.25">
      <c r="A11" s="346"/>
    </row>
    <row r="12" spans="1:12" x14ac:dyDescent="0.25">
      <c r="A12" s="346"/>
    </row>
    <row r="13" spans="1:12" x14ac:dyDescent="0.25">
      <c r="A13" s="347" t="s">
        <v>386</v>
      </c>
    </row>
    <row r="15" spans="1:12" x14ac:dyDescent="0.25">
      <c r="A15" s="346" t="s">
        <v>387</v>
      </c>
    </row>
    <row r="16" spans="1:12" x14ac:dyDescent="0.25">
      <c r="A16" s="346" t="str">
        <f>CONCATENATE("(i.e. an audit has not been completed, or the ",inputPrYr!D9," adopted")</f>
        <v>(i.e. an audit has not been completed, or the 2015 adopted</v>
      </c>
    </row>
    <row r="17" spans="1:1" x14ac:dyDescent="0.25">
      <c r="A17" s="346" t="s">
        <v>388</v>
      </c>
    </row>
    <row r="18" spans="1:1" x14ac:dyDescent="0.25">
      <c r="A18" s="346" t="s">
        <v>389</v>
      </c>
    </row>
    <row r="19" spans="1:1" x14ac:dyDescent="0.25">
      <c r="A19" s="346" t="s">
        <v>390</v>
      </c>
    </row>
    <row r="21" spans="1:1" x14ac:dyDescent="0.25">
      <c r="A21" s="347" t="s">
        <v>391</v>
      </c>
    </row>
    <row r="22" spans="1:1" x14ac:dyDescent="0.25">
      <c r="A22" s="347"/>
    </row>
    <row r="23" spans="1:1" x14ac:dyDescent="0.25">
      <c r="A23" s="346" t="s">
        <v>392</v>
      </c>
    </row>
    <row r="24" spans="1:1" x14ac:dyDescent="0.25">
      <c r="A24" s="346" t="s">
        <v>393</v>
      </c>
    </row>
    <row r="25" spans="1:1" x14ac:dyDescent="0.25">
      <c r="A25" s="346" t="str">
        <f>CONCATENATE("particular fund.  If your ",inputPrYr!D9-2," budget was amended, did you")</f>
        <v>particular fund.  If your 2013 budget was amended, did you</v>
      </c>
    </row>
    <row r="26" spans="1:1" x14ac:dyDescent="0.25">
      <c r="A26" s="346" t="s">
        <v>394</v>
      </c>
    </row>
    <row r="27" spans="1:1" x14ac:dyDescent="0.25">
      <c r="A27" s="346"/>
    </row>
    <row r="28" spans="1:1" x14ac:dyDescent="0.25">
      <c r="A28" s="346" t="str">
        <f>CONCATENATE("Next, look to see if any of your ",inputPrYr!D9-2," expenditures can be")</f>
        <v>Next, look to see if any of your 2013 expenditures can be</v>
      </c>
    </row>
    <row r="29" spans="1:1" x14ac:dyDescent="0.25">
      <c r="A29" s="346" t="s">
        <v>395</v>
      </c>
    </row>
    <row r="30" spans="1:1" x14ac:dyDescent="0.25">
      <c r="A30" s="346" t="s">
        <v>396</v>
      </c>
    </row>
    <row r="31" spans="1:1" x14ac:dyDescent="0.25">
      <c r="A31" s="346" t="s">
        <v>397</v>
      </c>
    </row>
    <row r="32" spans="1:1" x14ac:dyDescent="0.25">
      <c r="A32" s="346"/>
    </row>
    <row r="33" spans="1:1" x14ac:dyDescent="0.25">
      <c r="A33" s="346" t="str">
        <f>CONCATENATE("Additionally, do your ",inputPrYr!D9-2," receipts contain a reimbursement")</f>
        <v>Additionally, do your 2013 receipts contain a reimbursement</v>
      </c>
    </row>
    <row r="34" spans="1:1" x14ac:dyDescent="0.25">
      <c r="A34" s="346" t="s">
        <v>398</v>
      </c>
    </row>
    <row r="35" spans="1:1" x14ac:dyDescent="0.25">
      <c r="A35" s="346" t="s">
        <v>399</v>
      </c>
    </row>
    <row r="36" spans="1:1" x14ac:dyDescent="0.25">
      <c r="A36" s="346"/>
    </row>
    <row r="37" spans="1:1" x14ac:dyDescent="0.25">
      <c r="A37" s="346" t="s">
        <v>400</v>
      </c>
    </row>
    <row r="38" spans="1:1" x14ac:dyDescent="0.25">
      <c r="A38" s="346" t="s">
        <v>401</v>
      </c>
    </row>
    <row r="39" spans="1:1" x14ac:dyDescent="0.25">
      <c r="A39" s="346" t="s">
        <v>402</v>
      </c>
    </row>
    <row r="40" spans="1:1" x14ac:dyDescent="0.25">
      <c r="A40" s="346" t="s">
        <v>403</v>
      </c>
    </row>
    <row r="41" spans="1:1" x14ac:dyDescent="0.25">
      <c r="A41" s="346" t="s">
        <v>404</v>
      </c>
    </row>
    <row r="42" spans="1:1" x14ac:dyDescent="0.25">
      <c r="A42" s="346" t="s">
        <v>405</v>
      </c>
    </row>
    <row r="43" spans="1:1" x14ac:dyDescent="0.25">
      <c r="A43" s="346" t="s">
        <v>406</v>
      </c>
    </row>
    <row r="44" spans="1:1" x14ac:dyDescent="0.25">
      <c r="A44" s="346" t="s">
        <v>407</v>
      </c>
    </row>
    <row r="45" spans="1:1" x14ac:dyDescent="0.25">
      <c r="A45" s="346"/>
    </row>
    <row r="46" spans="1:1" x14ac:dyDescent="0.25">
      <c r="A46" s="346" t="s">
        <v>408</v>
      </c>
    </row>
    <row r="47" spans="1:1" x14ac:dyDescent="0.25">
      <c r="A47" s="346" t="s">
        <v>409</v>
      </c>
    </row>
    <row r="48" spans="1:1" x14ac:dyDescent="0.25">
      <c r="A48" s="346" t="s">
        <v>410</v>
      </c>
    </row>
    <row r="49" spans="1:1" x14ac:dyDescent="0.25">
      <c r="A49" s="346"/>
    </row>
    <row r="50" spans="1:1" x14ac:dyDescent="0.25">
      <c r="A50" s="346" t="s">
        <v>411</v>
      </c>
    </row>
    <row r="51" spans="1:1" x14ac:dyDescent="0.25">
      <c r="A51" s="346" t="s">
        <v>412</v>
      </c>
    </row>
    <row r="52" spans="1:1" x14ac:dyDescent="0.25">
      <c r="A52" s="346" t="s">
        <v>413</v>
      </c>
    </row>
    <row r="53" spans="1:1" x14ac:dyDescent="0.25">
      <c r="A53" s="346"/>
    </row>
    <row r="54" spans="1:1" x14ac:dyDescent="0.25">
      <c r="A54" s="347" t="s">
        <v>414</v>
      </c>
    </row>
    <row r="55" spans="1:1" x14ac:dyDescent="0.25">
      <c r="A55" s="346"/>
    </row>
    <row r="56" spans="1:1" x14ac:dyDescent="0.25">
      <c r="A56" s="346" t="s">
        <v>415</v>
      </c>
    </row>
    <row r="57" spans="1:1" x14ac:dyDescent="0.25">
      <c r="A57" s="346" t="s">
        <v>416</v>
      </c>
    </row>
    <row r="58" spans="1:1" x14ac:dyDescent="0.25">
      <c r="A58" s="346" t="s">
        <v>417</v>
      </c>
    </row>
    <row r="59" spans="1:1" x14ac:dyDescent="0.25">
      <c r="A59" s="346" t="s">
        <v>418</v>
      </c>
    </row>
    <row r="60" spans="1:1" x14ac:dyDescent="0.25">
      <c r="A60" s="346" t="s">
        <v>419</v>
      </c>
    </row>
    <row r="61" spans="1:1" x14ac:dyDescent="0.25">
      <c r="A61" s="346" t="s">
        <v>420</v>
      </c>
    </row>
    <row r="62" spans="1:1" x14ac:dyDescent="0.25">
      <c r="A62" s="346" t="s">
        <v>421</v>
      </c>
    </row>
    <row r="63" spans="1:1" x14ac:dyDescent="0.25">
      <c r="A63" s="346" t="s">
        <v>422</v>
      </c>
    </row>
    <row r="64" spans="1:1" x14ac:dyDescent="0.25">
      <c r="A64" s="346" t="s">
        <v>423</v>
      </c>
    </row>
    <row r="65" spans="1:1" x14ac:dyDescent="0.25">
      <c r="A65" s="346" t="s">
        <v>424</v>
      </c>
    </row>
    <row r="66" spans="1:1" x14ac:dyDescent="0.25">
      <c r="A66" s="346" t="s">
        <v>425</v>
      </c>
    </row>
    <row r="67" spans="1:1" x14ac:dyDescent="0.25">
      <c r="A67" s="346" t="s">
        <v>426</v>
      </c>
    </row>
    <row r="68" spans="1:1" x14ac:dyDescent="0.25">
      <c r="A68" s="346" t="s">
        <v>427</v>
      </c>
    </row>
    <row r="69" spans="1:1" x14ac:dyDescent="0.25">
      <c r="A69" s="346"/>
    </row>
    <row r="70" spans="1:1" x14ac:dyDescent="0.25">
      <c r="A70" s="346" t="s">
        <v>428</v>
      </c>
    </row>
    <row r="71" spans="1:1" x14ac:dyDescent="0.25">
      <c r="A71" s="346" t="s">
        <v>429</v>
      </c>
    </row>
    <row r="72" spans="1:1" x14ac:dyDescent="0.25">
      <c r="A72" s="346" t="s">
        <v>430</v>
      </c>
    </row>
    <row r="73" spans="1:1" x14ac:dyDescent="0.25">
      <c r="A73" s="346"/>
    </row>
    <row r="74" spans="1:1" x14ac:dyDescent="0.25">
      <c r="A74" s="347" t="str">
        <f>CONCATENATE("What if the ",inputPrYr!D9-2," financial records have been closed?")</f>
        <v>What if the 2013 financial records have been closed?</v>
      </c>
    </row>
    <row r="76" spans="1:1" x14ac:dyDescent="0.25">
      <c r="A76" s="346" t="s">
        <v>431</v>
      </c>
    </row>
    <row r="77" spans="1:1" x14ac:dyDescent="0.25">
      <c r="A77" s="346" t="str">
        <f>CONCATENATE("(i.e. an audit for ",inputPrYr!D9-2," has been completed, or the ",inputPrYr!D9)</f>
        <v>(i.e. an audit for 2013 has been completed, or the 2015</v>
      </c>
    </row>
    <row r="78" spans="1:1" x14ac:dyDescent="0.25">
      <c r="A78" s="346" t="s">
        <v>432</v>
      </c>
    </row>
    <row r="79" spans="1:1" x14ac:dyDescent="0.25">
      <c r="A79" s="346" t="s">
        <v>433</v>
      </c>
    </row>
    <row r="80" spans="1:1" x14ac:dyDescent="0.25">
      <c r="A80" s="346"/>
    </row>
    <row r="81" spans="1:1" x14ac:dyDescent="0.25">
      <c r="A81" s="346" t="s">
        <v>434</v>
      </c>
    </row>
    <row r="82" spans="1:1" x14ac:dyDescent="0.25">
      <c r="A82" s="346" t="s">
        <v>435</v>
      </c>
    </row>
    <row r="83" spans="1:1" x14ac:dyDescent="0.25">
      <c r="A83" s="346" t="s">
        <v>436</v>
      </c>
    </row>
    <row r="84" spans="1:1" x14ac:dyDescent="0.25">
      <c r="A84" s="346"/>
    </row>
    <row r="85" spans="1:1" x14ac:dyDescent="0.25">
      <c r="A85" s="346" t="s">
        <v>437</v>
      </c>
    </row>
  </sheetData>
  <sheetProtection sheet="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98"/>
  <sheetViews>
    <sheetView topLeftCell="A73" workbookViewId="0">
      <selection activeCell="B86" sqref="B86"/>
    </sheetView>
  </sheetViews>
  <sheetFormatPr defaultColWidth="8.796875" defaultRowHeight="15.75" x14ac:dyDescent="0.25"/>
  <cols>
    <col min="1" max="1" width="16.19921875" style="1" customWidth="1"/>
    <col min="2" max="2" width="16.8984375" style="1" customWidth="1"/>
    <col min="3" max="7" width="10.69921875" style="1" customWidth="1"/>
    <col min="8" max="16384" width="8.796875" style="1"/>
  </cols>
  <sheetData>
    <row r="1" spans="1:5" x14ac:dyDescent="0.25">
      <c r="A1" s="29" t="str">
        <f>inputPrYr!D3</f>
        <v>Milton Township</v>
      </c>
      <c r="B1" s="20"/>
      <c r="C1" s="20"/>
      <c r="D1" s="20"/>
      <c r="E1" s="20">
        <f>inputPrYr!D9</f>
        <v>2015</v>
      </c>
    </row>
    <row r="2" spans="1:5" x14ac:dyDescent="0.25">
      <c r="A2" s="29" t="str">
        <f>inputPrYr!D4</f>
        <v>Butler County</v>
      </c>
      <c r="B2" s="20"/>
      <c r="C2" s="20"/>
      <c r="D2" s="20"/>
      <c r="E2" s="20"/>
    </row>
    <row r="3" spans="1:5" x14ac:dyDescent="0.25">
      <c r="A3" s="20"/>
      <c r="B3" s="20"/>
      <c r="C3" s="20"/>
      <c r="D3" s="20"/>
      <c r="E3" s="20"/>
    </row>
    <row r="4" spans="1:5" x14ac:dyDescent="0.25">
      <c r="A4" s="797" t="s">
        <v>86</v>
      </c>
      <c r="B4" s="798"/>
      <c r="C4" s="798"/>
      <c r="D4" s="798"/>
      <c r="E4" s="798"/>
    </row>
    <row r="5" spans="1:5" x14ac:dyDescent="0.25">
      <c r="A5" s="20"/>
      <c r="B5" s="20"/>
      <c r="C5" s="20"/>
      <c r="D5" s="20"/>
      <c r="E5" s="20"/>
    </row>
    <row r="6" spans="1:5" x14ac:dyDescent="0.25">
      <c r="A6" s="801" t="str">
        <f>CONCATENATE("From the County Clerks Budget Information for ",E1,":")</f>
        <v>From the County Clerks Budget Information for 2015:</v>
      </c>
      <c r="B6" s="802"/>
      <c r="C6" s="802"/>
      <c r="D6" s="802"/>
      <c r="E6" s="802"/>
    </row>
    <row r="7" spans="1:5" x14ac:dyDescent="0.25">
      <c r="A7" s="39" t="str">
        <f>CONCATENATE("Assessed Valuation for ",E1-1,":")</f>
        <v>Assessed Valuation for 2014:</v>
      </c>
      <c r="B7" s="9"/>
      <c r="C7" s="9"/>
      <c r="D7" s="9"/>
      <c r="E7" s="24"/>
    </row>
    <row r="8" spans="1:5" x14ac:dyDescent="0.25">
      <c r="A8" s="12" t="s">
        <v>134</v>
      </c>
      <c r="B8" s="13"/>
      <c r="C8" s="13"/>
      <c r="D8" s="13"/>
      <c r="E8" s="2">
        <v>4826393</v>
      </c>
    </row>
    <row r="9" spans="1:5" x14ac:dyDescent="0.25">
      <c r="A9" s="14" t="str">
        <f>inputPrYr!D6</f>
        <v>City of Whitewater</v>
      </c>
      <c r="B9" s="15"/>
      <c r="C9" s="15"/>
      <c r="D9" s="15"/>
      <c r="E9" s="715">
        <v>3289561</v>
      </c>
    </row>
    <row r="10" spans="1:5" x14ac:dyDescent="0.25">
      <c r="A10" s="14">
        <f>inputPrYr!$D$7</f>
        <v>0</v>
      </c>
      <c r="B10" s="15"/>
      <c r="C10" s="15"/>
      <c r="D10" s="15"/>
      <c r="E10" s="715"/>
    </row>
    <row r="11" spans="1:5" x14ac:dyDescent="0.25">
      <c r="A11" s="14" t="str">
        <f>CONCATENATE("Total Assessed Valuation for ",$E$1-1,"")</f>
        <v>Total Assessed Valuation for 2014</v>
      </c>
      <c r="B11" s="15"/>
      <c r="C11" s="15"/>
      <c r="D11" s="15"/>
      <c r="E11" s="37">
        <f>SUM(E8:E10)</f>
        <v>8115954</v>
      </c>
    </row>
    <row r="12" spans="1:5" x14ac:dyDescent="0.25">
      <c r="A12" s="38" t="str">
        <f>CONCATENATE("New Improvements for ",E1-1,":")</f>
        <v>New Improvements for 2014:</v>
      </c>
      <c r="B12" s="9"/>
      <c r="C12" s="9"/>
      <c r="D12" s="9"/>
      <c r="E12" s="23"/>
    </row>
    <row r="13" spans="1:5" x14ac:dyDescent="0.25">
      <c r="A13" s="12" t="s">
        <v>134</v>
      </c>
      <c r="B13" s="13"/>
      <c r="C13" s="13"/>
      <c r="D13" s="13"/>
      <c r="E13" s="716">
        <v>61591</v>
      </c>
    </row>
    <row r="14" spans="1:5" x14ac:dyDescent="0.25">
      <c r="A14" s="14" t="str">
        <f>inputPrYr!$D$6</f>
        <v>City of Whitewater</v>
      </c>
      <c r="B14" s="13"/>
      <c r="C14" s="13"/>
      <c r="D14" s="13"/>
      <c r="E14" s="716">
        <v>1518</v>
      </c>
    </row>
    <row r="15" spans="1:5" x14ac:dyDescent="0.25">
      <c r="A15" s="14">
        <f>inputPrYr!$D$7</f>
        <v>0</v>
      </c>
      <c r="B15" s="13"/>
      <c r="C15" s="13"/>
      <c r="D15" s="13"/>
      <c r="E15" s="716"/>
    </row>
    <row r="16" spans="1:5" x14ac:dyDescent="0.25">
      <c r="A16" s="14" t="str">
        <f>CONCATENATE("Total New Improvements for ",$E$1-1,"")</f>
        <v>Total New Improvements for 2014</v>
      </c>
      <c r="B16" s="15"/>
      <c r="C16" s="15"/>
      <c r="D16" s="15"/>
      <c r="E16" s="36">
        <f>SUM(E13:E15)</f>
        <v>63109</v>
      </c>
    </row>
    <row r="17" spans="1:5" x14ac:dyDescent="0.25">
      <c r="A17" s="38" t="str">
        <f>CONCATENATE("Personal Property excluding oil, gas, and mobile homes- ",E1-1,":")</f>
        <v>Personal Property excluding oil, gas, and mobile homes- 2014:</v>
      </c>
      <c r="B17" s="9"/>
      <c r="C17" s="9"/>
      <c r="D17" s="9"/>
      <c r="E17" s="23"/>
    </row>
    <row r="18" spans="1:5" x14ac:dyDescent="0.25">
      <c r="A18" s="12" t="s">
        <v>134</v>
      </c>
      <c r="B18" s="13"/>
      <c r="C18" s="13"/>
      <c r="D18" s="13"/>
      <c r="E18" s="716">
        <v>241187</v>
      </c>
    </row>
    <row r="19" spans="1:5" x14ac:dyDescent="0.25">
      <c r="A19" s="14" t="str">
        <f>inputPrYr!$D$6</f>
        <v>City of Whitewater</v>
      </c>
      <c r="B19" s="15"/>
      <c r="C19" s="15"/>
      <c r="D19" s="15"/>
      <c r="E19" s="716">
        <v>0</v>
      </c>
    </row>
    <row r="20" spans="1:5" x14ac:dyDescent="0.25">
      <c r="A20" s="14">
        <f>inputPrYr!$D$7</f>
        <v>0</v>
      </c>
      <c r="B20" s="15"/>
      <c r="C20" s="15"/>
      <c r="D20" s="15"/>
      <c r="E20" s="716"/>
    </row>
    <row r="21" spans="1:5" x14ac:dyDescent="0.25">
      <c r="A21" s="14" t="str">
        <f>CONCATENATE("Total Personal Property excluding oil, gas, and mobile homes for ",$E$1-1,"")</f>
        <v>Total Personal Property excluding oil, gas, and mobile homes for 2014</v>
      </c>
      <c r="B21" s="15"/>
      <c r="C21" s="15"/>
      <c r="D21" s="15"/>
      <c r="E21" s="36">
        <f>SUM(E18:E20)</f>
        <v>241187</v>
      </c>
    </row>
    <row r="22" spans="1:5" x14ac:dyDescent="0.25">
      <c r="A22" s="38" t="str">
        <f>CONCATENATE("Property that has changed in use for ",E1-1,":")</f>
        <v>Property that has changed in use for 2014:</v>
      </c>
      <c r="B22" s="9"/>
      <c r="C22" s="9"/>
      <c r="D22" s="9"/>
      <c r="E22" s="23"/>
    </row>
    <row r="23" spans="1:5" x14ac:dyDescent="0.25">
      <c r="A23" s="12" t="s">
        <v>134</v>
      </c>
      <c r="B23" s="13"/>
      <c r="C23" s="13"/>
      <c r="D23" s="13"/>
      <c r="E23" s="716">
        <v>64802</v>
      </c>
    </row>
    <row r="24" spans="1:5" x14ac:dyDescent="0.25">
      <c r="A24" s="14" t="str">
        <f>inputPrYr!$D$6</f>
        <v>City of Whitewater</v>
      </c>
      <c r="B24" s="15"/>
      <c r="C24" s="15"/>
      <c r="D24" s="15"/>
      <c r="E24" s="716">
        <v>0</v>
      </c>
    </row>
    <row r="25" spans="1:5" x14ac:dyDescent="0.25">
      <c r="A25" s="14">
        <f>inputPrYr!$D$7</f>
        <v>0</v>
      </c>
      <c r="B25" s="15"/>
      <c r="C25" s="15"/>
      <c r="D25" s="15"/>
      <c r="E25" s="716"/>
    </row>
    <row r="26" spans="1:5" x14ac:dyDescent="0.25">
      <c r="A26" s="14" t="str">
        <f>CONCATENATE("Total Property that has changed in use for ",$E$1-1,"")</f>
        <v>Total Property that has changed in use for 2014</v>
      </c>
      <c r="B26" s="15"/>
      <c r="C26" s="15"/>
      <c r="D26" s="15"/>
      <c r="E26" s="36">
        <f>SUM(E23:E25)</f>
        <v>64802</v>
      </c>
    </row>
    <row r="27" spans="1:5" x14ac:dyDescent="0.25">
      <c r="A27" s="38" t="str">
        <f>CONCATENATE("Personal Property excluding oil, gas, and mobile homes- ",E1-2,":")</f>
        <v>Personal Property excluding oil, gas, and mobile homes- 2013:</v>
      </c>
      <c r="B27" s="9"/>
      <c r="C27" s="9"/>
      <c r="D27" s="9"/>
      <c r="E27" s="23"/>
    </row>
    <row r="28" spans="1:5" x14ac:dyDescent="0.25">
      <c r="A28" s="12" t="s">
        <v>134</v>
      </c>
      <c r="B28" s="13"/>
      <c r="C28" s="13"/>
      <c r="D28" s="13"/>
      <c r="E28" s="716">
        <v>279425</v>
      </c>
    </row>
    <row r="29" spans="1:5" x14ac:dyDescent="0.25">
      <c r="A29" s="14" t="str">
        <f>inputPrYr!$D$6</f>
        <v>City of Whitewater</v>
      </c>
      <c r="B29" s="15"/>
      <c r="C29" s="15"/>
      <c r="D29" s="15"/>
      <c r="E29" s="716">
        <v>0</v>
      </c>
    </row>
    <row r="30" spans="1:5" x14ac:dyDescent="0.25">
      <c r="A30" s="14">
        <f>inputPrYr!$D$7</f>
        <v>0</v>
      </c>
      <c r="B30" s="15"/>
      <c r="C30" s="15"/>
      <c r="D30" s="15"/>
      <c r="E30" s="716"/>
    </row>
    <row r="31" spans="1:5" x14ac:dyDescent="0.25">
      <c r="A31" s="14" t="str">
        <f>CONCATENATE("Total Personal Property excluding oil, gas, and mobile homes for ",$E$1-2,"")</f>
        <v>Total Personal Property excluding oil, gas, and mobile homes for 2013</v>
      </c>
      <c r="B31" s="15"/>
      <c r="C31" s="15"/>
      <c r="D31" s="15"/>
      <c r="E31" s="36">
        <f>SUM(E28:E30)</f>
        <v>279425</v>
      </c>
    </row>
    <row r="32" spans="1:5" x14ac:dyDescent="0.25">
      <c r="A32" s="14" t="str">
        <f>CONCATENATE("Gross earnings (intangible) tax estimate for ",E1,"")</f>
        <v>Gross earnings (intangible) tax estimate for 2015</v>
      </c>
      <c r="B32" s="15"/>
      <c r="C32" s="15"/>
      <c r="D32" s="15"/>
      <c r="E32" s="716">
        <v>0</v>
      </c>
    </row>
    <row r="33" spans="1:5" x14ac:dyDescent="0.25">
      <c r="A33" s="14" t="str">
        <f>CONCATENATE("Neighborhood Revitalization for ",E1,"")</f>
        <v>Neighborhood Revitalization for 2015</v>
      </c>
      <c r="B33" s="15"/>
      <c r="C33" s="15"/>
      <c r="D33" s="15"/>
      <c r="E33" s="716">
        <v>0</v>
      </c>
    </row>
    <row r="34" spans="1:5" x14ac:dyDescent="0.25">
      <c r="A34" s="5"/>
      <c r="B34" s="9"/>
      <c r="C34" s="9"/>
      <c r="D34" s="9"/>
      <c r="E34" s="23"/>
    </row>
    <row r="35" spans="1:5" x14ac:dyDescent="0.25">
      <c r="A35" s="38" t="str">
        <f>CONCATENATE("Actual Tax Rates for the ",E1-1," Budget:")</f>
        <v>Actual Tax Rates for the 2014 Budget:</v>
      </c>
      <c r="B35" s="9"/>
      <c r="C35" s="9"/>
      <c r="D35" s="9"/>
      <c r="E35" s="24"/>
    </row>
    <row r="36" spans="1:5" x14ac:dyDescent="0.25">
      <c r="A36" s="799" t="s">
        <v>230</v>
      </c>
      <c r="B36" s="800"/>
      <c r="C36" s="20"/>
      <c r="D36" s="25" t="s">
        <v>242</v>
      </c>
      <c r="E36" s="24"/>
    </row>
    <row r="37" spans="1:5" x14ac:dyDescent="0.25">
      <c r="A37" s="12" t="str">
        <f>inputPrYr!B20</f>
        <v>General</v>
      </c>
      <c r="B37" s="13"/>
      <c r="C37" s="9"/>
      <c r="D37" s="717">
        <v>5.2670000000000003</v>
      </c>
      <c r="E37" s="24"/>
    </row>
    <row r="38" spans="1:5" x14ac:dyDescent="0.25">
      <c r="A38" s="12" t="str">
        <f>inputPrYr!B21</f>
        <v>Debt Service</v>
      </c>
      <c r="B38" s="15"/>
      <c r="C38" s="9"/>
      <c r="D38" s="717"/>
      <c r="E38" s="24"/>
    </row>
    <row r="39" spans="1:5" x14ac:dyDescent="0.25">
      <c r="A39" s="12" t="str">
        <f>inputPrYr!B22</f>
        <v>Library</v>
      </c>
      <c r="B39" s="15"/>
      <c r="C39" s="9"/>
      <c r="D39" s="717"/>
      <c r="E39" s="24"/>
    </row>
    <row r="40" spans="1:5" x14ac:dyDescent="0.25">
      <c r="A40" s="12" t="str">
        <f>inputPrYr!B23</f>
        <v>Road</v>
      </c>
      <c r="B40" s="15"/>
      <c r="C40" s="9"/>
      <c r="D40" s="717">
        <v>7.4130000000000003</v>
      </c>
      <c r="E40" s="24"/>
    </row>
    <row r="41" spans="1:5" x14ac:dyDescent="0.25">
      <c r="A41" s="12" t="str">
        <f>inputPrYr!B24</f>
        <v>Special Road</v>
      </c>
      <c r="B41" s="15"/>
      <c r="C41" s="9"/>
      <c r="D41" s="717"/>
      <c r="E41" s="24"/>
    </row>
    <row r="42" spans="1:5" x14ac:dyDescent="0.25">
      <c r="A42" s="12" t="str">
        <f>inputPrYr!B25</f>
        <v>Noxious Weed</v>
      </c>
      <c r="B42" s="15"/>
      <c r="C42" s="9"/>
      <c r="D42" s="717"/>
      <c r="E42" s="24"/>
    </row>
    <row r="43" spans="1:5" x14ac:dyDescent="0.25">
      <c r="A43" s="12" t="str">
        <f>inputPrYr!B26</f>
        <v>Fire Protection</v>
      </c>
      <c r="B43" s="15"/>
      <c r="C43" s="9"/>
      <c r="D43" s="718"/>
      <c r="E43" s="24"/>
    </row>
    <row r="44" spans="1:5" x14ac:dyDescent="0.25">
      <c r="A44" s="12">
        <f>inputPrYr!B27</f>
        <v>0</v>
      </c>
      <c r="B44" s="15"/>
      <c r="C44" s="9"/>
      <c r="D44" s="718"/>
      <c r="E44" s="24"/>
    </row>
    <row r="45" spans="1:5" x14ac:dyDescent="0.25">
      <c r="A45" s="12">
        <f>inputPrYr!B28</f>
        <v>0</v>
      </c>
      <c r="B45" s="15"/>
      <c r="C45" s="9"/>
      <c r="D45" s="718"/>
      <c r="E45" s="24"/>
    </row>
    <row r="46" spans="1:5" x14ac:dyDescent="0.25">
      <c r="A46" s="12">
        <f>inputPrYr!B29</f>
        <v>0</v>
      </c>
      <c r="B46" s="15"/>
      <c r="C46" s="9"/>
      <c r="D46" s="718"/>
      <c r="E46" s="24"/>
    </row>
    <row r="47" spans="1:5" x14ac:dyDescent="0.25">
      <c r="A47" s="12">
        <f>inputPrYr!B30</f>
        <v>0</v>
      </c>
      <c r="B47" s="15"/>
      <c r="C47" s="9"/>
      <c r="D47" s="718"/>
      <c r="E47" s="24"/>
    </row>
    <row r="48" spans="1:5" x14ac:dyDescent="0.25">
      <c r="A48" s="12">
        <f>inputPrYr!B31</f>
        <v>0</v>
      </c>
      <c r="B48" s="15"/>
      <c r="C48" s="9"/>
      <c r="D48" s="717"/>
      <c r="E48" s="24"/>
    </row>
    <row r="49" spans="1:5" x14ac:dyDescent="0.25">
      <c r="A49" s="4"/>
      <c r="B49" s="9" t="s">
        <v>220</v>
      </c>
      <c r="C49" s="9"/>
      <c r="D49" s="30">
        <f>SUM(D37:D48)</f>
        <v>12.68</v>
      </c>
      <c r="E49" s="4"/>
    </row>
    <row r="50" spans="1:5" x14ac:dyDescent="0.25">
      <c r="A50" s="4"/>
      <c r="B50" s="4"/>
      <c r="C50" s="4"/>
      <c r="D50" s="4"/>
      <c r="E50" s="4"/>
    </row>
    <row r="51" spans="1:5" x14ac:dyDescent="0.25">
      <c r="A51" s="35" t="str">
        <f>CONCATENATE("Final Assessed Valuation from the November 1, ",E1-2," Abstract:")</f>
        <v>Final Assessed Valuation from the November 1, 2013 Abstract:</v>
      </c>
      <c r="B51" s="9"/>
      <c r="C51" s="9"/>
      <c r="D51" s="9"/>
      <c r="E51" s="8"/>
    </row>
    <row r="52" spans="1:5" x14ac:dyDescent="0.25">
      <c r="A52" s="13" t="s">
        <v>134</v>
      </c>
      <c r="B52" s="13"/>
      <c r="C52" s="13"/>
      <c r="D52" s="13"/>
      <c r="E52" s="3">
        <v>7885028</v>
      </c>
    </row>
    <row r="53" spans="1:5" x14ac:dyDescent="0.25">
      <c r="A53" s="15" t="str">
        <f>inputPrYr!D6</f>
        <v>City of Whitewater</v>
      </c>
      <c r="B53" s="15"/>
      <c r="C53" s="15"/>
      <c r="D53" s="19"/>
      <c r="E53" s="3">
        <v>0</v>
      </c>
    </row>
    <row r="54" spans="1:5" x14ac:dyDescent="0.25">
      <c r="A54" s="15">
        <f>inputPrYr!D7</f>
        <v>0</v>
      </c>
      <c r="B54" s="15"/>
      <c r="C54" s="15"/>
      <c r="D54" s="19"/>
      <c r="E54" s="3"/>
    </row>
    <row r="55" spans="1:5" x14ac:dyDescent="0.25">
      <c r="A55" s="15" t="str">
        <f>CONCATENATE("Total  Final Assessed Valuation from the November 1, ",E1-2," Abstract:")</f>
        <v>Total  Final Assessed Valuation from the November 1, 2013 Abstract:</v>
      </c>
      <c r="B55" s="15"/>
      <c r="C55" s="15"/>
      <c r="D55" s="19"/>
      <c r="E55" s="34">
        <f>SUM(E52:E54)</f>
        <v>7885028</v>
      </c>
    </row>
    <row r="56" spans="1:5" x14ac:dyDescent="0.25">
      <c r="A56" s="4"/>
      <c r="B56" s="4"/>
      <c r="C56" s="4"/>
      <c r="D56" s="4"/>
      <c r="E56" s="4"/>
    </row>
    <row r="57" spans="1:5" x14ac:dyDescent="0.25">
      <c r="A57" s="17" t="str">
        <f>CONCATENATE("From the County Treasurer's Budget Information - ",E1," Budget Year Estimates:")</f>
        <v>From the County Treasurer's Budget Information - 2015 Budget Year Estimates:</v>
      </c>
      <c r="B57" s="18"/>
      <c r="C57" s="18"/>
      <c r="D57" s="26"/>
      <c r="E57" s="40"/>
    </row>
    <row r="58" spans="1:5" x14ac:dyDescent="0.25">
      <c r="A58" s="31" t="s">
        <v>127</v>
      </c>
      <c r="B58" s="13"/>
      <c r="C58" s="13"/>
      <c r="D58" s="7"/>
      <c r="E58" s="6"/>
    </row>
    <row r="59" spans="1:5" x14ac:dyDescent="0.25">
      <c r="A59" s="12" t="s">
        <v>87</v>
      </c>
      <c r="B59" s="13"/>
      <c r="C59" s="13"/>
      <c r="D59" s="27"/>
      <c r="E59" s="2">
        <v>6237</v>
      </c>
    </row>
    <row r="60" spans="1:5" x14ac:dyDescent="0.25">
      <c r="A60" s="14" t="s">
        <v>221</v>
      </c>
      <c r="B60" s="15"/>
      <c r="C60" s="15"/>
      <c r="D60" s="28"/>
      <c r="E60" s="2">
        <v>132</v>
      </c>
    </row>
    <row r="61" spans="1:5" x14ac:dyDescent="0.25">
      <c r="A61" s="14" t="s">
        <v>88</v>
      </c>
      <c r="B61" s="15"/>
      <c r="C61" s="15"/>
      <c r="D61" s="28"/>
      <c r="E61" s="2">
        <v>87</v>
      </c>
    </row>
    <row r="62" spans="1:5" x14ac:dyDescent="0.25">
      <c r="A62" s="32" t="s">
        <v>131</v>
      </c>
      <c r="B62" s="33"/>
      <c r="C62" s="15"/>
      <c r="D62" s="28"/>
      <c r="E62" s="21"/>
    </row>
    <row r="63" spans="1:5" x14ac:dyDescent="0.25">
      <c r="A63" s="12" t="s">
        <v>128</v>
      </c>
      <c r="B63" s="15"/>
      <c r="C63" s="15"/>
      <c r="D63" s="28"/>
      <c r="E63" s="2">
        <v>2790</v>
      </c>
    </row>
    <row r="64" spans="1:5" x14ac:dyDescent="0.25">
      <c r="A64" s="14" t="s">
        <v>129</v>
      </c>
      <c r="B64" s="15"/>
      <c r="C64" s="15"/>
      <c r="D64" s="28"/>
      <c r="E64" s="2">
        <v>34</v>
      </c>
    </row>
    <row r="65" spans="1:5" x14ac:dyDescent="0.25">
      <c r="A65" s="14" t="s">
        <v>130</v>
      </c>
      <c r="B65" s="15"/>
      <c r="C65" s="15"/>
      <c r="D65" s="28"/>
      <c r="E65" s="2">
        <v>3</v>
      </c>
    </row>
    <row r="66" spans="1:5" x14ac:dyDescent="0.25">
      <c r="A66" s="32" t="s">
        <v>132</v>
      </c>
      <c r="B66" s="33"/>
      <c r="C66" s="15"/>
      <c r="D66" s="28"/>
      <c r="E66" s="21"/>
    </row>
    <row r="67" spans="1:5" x14ac:dyDescent="0.25">
      <c r="A67" s="12" t="s">
        <v>128</v>
      </c>
      <c r="B67" s="15"/>
      <c r="C67" s="15"/>
      <c r="D67" s="28"/>
      <c r="E67" s="2"/>
    </row>
    <row r="68" spans="1:5" x14ac:dyDescent="0.25">
      <c r="A68" s="14" t="s">
        <v>129</v>
      </c>
      <c r="B68" s="15"/>
      <c r="C68" s="15"/>
      <c r="D68" s="28"/>
      <c r="E68" s="2"/>
    </row>
    <row r="69" spans="1:5" x14ac:dyDescent="0.25">
      <c r="A69" s="14" t="s">
        <v>130</v>
      </c>
      <c r="B69" s="15"/>
      <c r="C69" s="15"/>
      <c r="D69" s="28"/>
      <c r="E69" s="2"/>
    </row>
    <row r="70" spans="1:5" x14ac:dyDescent="0.25">
      <c r="A70" s="14"/>
      <c r="B70" s="15"/>
      <c r="C70" s="15"/>
      <c r="D70" s="28"/>
      <c r="E70" s="21"/>
    </row>
    <row r="71" spans="1:5" x14ac:dyDescent="0.25">
      <c r="A71" s="14" t="s">
        <v>89</v>
      </c>
      <c r="B71" s="15"/>
      <c r="C71" s="15"/>
      <c r="D71" s="28"/>
      <c r="E71" s="2"/>
    </row>
    <row r="72" spans="1:5" x14ac:dyDescent="0.25">
      <c r="A72" s="14" t="s">
        <v>52</v>
      </c>
      <c r="B72" s="13"/>
      <c r="C72" s="13"/>
      <c r="D72" s="27"/>
      <c r="E72" s="2">
        <v>4954</v>
      </c>
    </row>
    <row r="73" spans="1:5" ht="33" customHeight="1" x14ac:dyDescent="0.25">
      <c r="A73" s="803" t="s">
        <v>133</v>
      </c>
      <c r="B73" s="804"/>
      <c r="C73" s="804"/>
      <c r="D73" s="804"/>
      <c r="E73" s="804"/>
    </row>
    <row r="74" spans="1:5" x14ac:dyDescent="0.25">
      <c r="A74" s="4"/>
      <c r="B74" s="4"/>
      <c r="C74" s="4"/>
      <c r="D74" s="4"/>
      <c r="E74" s="4"/>
    </row>
    <row r="75" spans="1:5" x14ac:dyDescent="0.25">
      <c r="A75" s="11" t="s">
        <v>90</v>
      </c>
      <c r="B75" s="10"/>
      <c r="C75" s="10"/>
      <c r="D75" s="4"/>
      <c r="E75" s="4"/>
    </row>
    <row r="76" spans="1:5" x14ac:dyDescent="0.25">
      <c r="A76" s="60" t="str">
        <f>CONCATENATE("Actual Delinquency for ",E36-3," Tax - (rate .01213 = 1.213%, key in 1.2)")</f>
        <v>Actual Delinquency for -3 Tax - (rate .01213 = 1.213%, key in 1.2)</v>
      </c>
      <c r="B76" s="13"/>
      <c r="C76" s="13"/>
      <c r="D76" s="550"/>
      <c r="E76" s="551">
        <v>0</v>
      </c>
    </row>
    <row r="77" spans="1:5" x14ac:dyDescent="0.25">
      <c r="A77" s="60" t="s">
        <v>772</v>
      </c>
      <c r="B77" s="16"/>
      <c r="C77" s="9"/>
      <c r="D77" s="9"/>
      <c r="E77" s="552">
        <v>0</v>
      </c>
    </row>
    <row r="78" spans="1:5" ht="34.5" customHeight="1" x14ac:dyDescent="0.25">
      <c r="A78" s="795" t="s">
        <v>91</v>
      </c>
      <c r="B78" s="796"/>
      <c r="C78" s="796"/>
      <c r="D78" s="796"/>
      <c r="E78" s="796"/>
    </row>
    <row r="79" spans="1:5" x14ac:dyDescent="0.25">
      <c r="A79" s="22"/>
      <c r="B79" s="22"/>
      <c r="C79" s="22"/>
      <c r="D79" s="22"/>
      <c r="E79" s="22"/>
    </row>
    <row r="80" spans="1:5" x14ac:dyDescent="0.25">
      <c r="A80" s="791" t="str">
        <f>CONCATENATE("From the ",E1-2," Budget Certificate Page")</f>
        <v>From the 2013 Budget Certificate Page</v>
      </c>
      <c r="B80" s="792"/>
      <c r="C80" s="22"/>
      <c r="D80" s="22"/>
      <c r="E80" s="22"/>
    </row>
    <row r="81" spans="1:5" x14ac:dyDescent="0.25">
      <c r="A81" s="41"/>
      <c r="B81" s="41" t="str">
        <f>CONCATENATE("",E1-2," Expenditure Amounts")</f>
        <v>2013 Expenditure Amounts</v>
      </c>
      <c r="C81" s="793" t="str">
        <f>CONCATENATE("Note: If the ",E1-2," budget was amended, then the")</f>
        <v>Note: If the 2013 budget was amended, then the</v>
      </c>
      <c r="D81" s="794"/>
      <c r="E81" s="794"/>
    </row>
    <row r="82" spans="1:5" x14ac:dyDescent="0.25">
      <c r="A82" s="42" t="s">
        <v>151</v>
      </c>
      <c r="B82" s="42" t="s">
        <v>152</v>
      </c>
      <c r="C82" s="43" t="s">
        <v>153</v>
      </c>
      <c r="D82" s="44"/>
      <c r="E82" s="44"/>
    </row>
    <row r="83" spans="1:5" x14ac:dyDescent="0.25">
      <c r="A83" s="45" t="str">
        <f>inputPrYr!B20</f>
        <v>General</v>
      </c>
      <c r="B83" s="3">
        <v>41770</v>
      </c>
      <c r="C83" s="43" t="s">
        <v>154</v>
      </c>
      <c r="D83" s="46"/>
      <c r="E83" s="46"/>
    </row>
    <row r="84" spans="1:5" x14ac:dyDescent="0.25">
      <c r="A84" s="45" t="str">
        <f>inputPrYr!B21</f>
        <v>Debt Service</v>
      </c>
      <c r="B84" s="3"/>
      <c r="C84" s="43"/>
      <c r="D84" s="46"/>
      <c r="E84" s="46"/>
    </row>
    <row r="85" spans="1:5" x14ac:dyDescent="0.25">
      <c r="A85" s="45" t="str">
        <f>inputPrYr!B22</f>
        <v>Library</v>
      </c>
      <c r="B85" s="3"/>
      <c r="C85" s="43"/>
      <c r="D85" s="46"/>
      <c r="E85" s="46"/>
    </row>
    <row r="86" spans="1:5" x14ac:dyDescent="0.25">
      <c r="A86" s="45" t="str">
        <f>inputPrYr!B23</f>
        <v>Road</v>
      </c>
      <c r="B86" s="3">
        <v>43730</v>
      </c>
      <c r="C86" s="22"/>
      <c r="D86" s="22"/>
      <c r="E86" s="22"/>
    </row>
    <row r="87" spans="1:5" x14ac:dyDescent="0.25">
      <c r="A87" s="45" t="str">
        <f>inputPrYr!B24</f>
        <v>Special Road</v>
      </c>
      <c r="B87" s="3"/>
      <c r="C87" s="22"/>
      <c r="D87" s="22"/>
      <c r="E87" s="22"/>
    </row>
    <row r="88" spans="1:5" x14ac:dyDescent="0.25">
      <c r="A88" s="45" t="str">
        <f>inputPrYr!B25</f>
        <v>Noxious Weed</v>
      </c>
      <c r="B88" s="3"/>
      <c r="C88" s="22"/>
      <c r="D88" s="22"/>
      <c r="E88" s="22"/>
    </row>
    <row r="89" spans="1:5" x14ac:dyDescent="0.25">
      <c r="A89" s="45" t="str">
        <f>inputPrYr!B26</f>
        <v>Fire Protection</v>
      </c>
      <c r="B89" s="3"/>
      <c r="C89" s="22"/>
      <c r="D89" s="22"/>
      <c r="E89" s="22"/>
    </row>
    <row r="90" spans="1:5" x14ac:dyDescent="0.25">
      <c r="A90" s="45">
        <f>inputPrYr!B27</f>
        <v>0</v>
      </c>
      <c r="B90" s="3"/>
      <c r="C90" s="22"/>
      <c r="D90" s="22"/>
      <c r="E90" s="22"/>
    </row>
    <row r="91" spans="1:5" x14ac:dyDescent="0.25">
      <c r="A91" s="45">
        <f>inputPrYr!B28</f>
        <v>0</v>
      </c>
      <c r="B91" s="3"/>
      <c r="C91" s="22"/>
      <c r="D91" s="22"/>
      <c r="E91" s="22"/>
    </row>
    <row r="92" spans="1:5" x14ac:dyDescent="0.25">
      <c r="A92" s="45">
        <f>inputPrYr!B29</f>
        <v>0</v>
      </c>
      <c r="B92" s="3"/>
      <c r="C92" s="22"/>
      <c r="D92" s="22"/>
      <c r="E92" s="22"/>
    </row>
    <row r="93" spans="1:5" x14ac:dyDescent="0.25">
      <c r="A93" s="45">
        <f>inputPrYr!B30</f>
        <v>0</v>
      </c>
      <c r="B93" s="3"/>
      <c r="C93" s="22"/>
      <c r="D93" s="22"/>
      <c r="E93" s="22"/>
    </row>
    <row r="94" spans="1:5" x14ac:dyDescent="0.25">
      <c r="A94" s="45">
        <f>inputPrYr!B31</f>
        <v>0</v>
      </c>
      <c r="B94" s="3"/>
      <c r="C94" s="22"/>
      <c r="D94" s="22"/>
      <c r="E94" s="22"/>
    </row>
    <row r="95" spans="1:5" x14ac:dyDescent="0.25">
      <c r="A95" s="45">
        <f>inputPrYr!B35</f>
        <v>0</v>
      </c>
      <c r="B95" s="3"/>
      <c r="C95" s="22"/>
      <c r="D95" s="22"/>
      <c r="E95" s="22"/>
    </row>
    <row r="96" spans="1:5" x14ac:dyDescent="0.25">
      <c r="A96" s="45">
        <f>inputPrYr!B36</f>
        <v>0</v>
      </c>
      <c r="B96" s="3"/>
      <c r="C96" s="22"/>
      <c r="D96" s="22"/>
      <c r="E96" s="22"/>
    </row>
    <row r="97" spans="1:5" x14ac:dyDescent="0.25">
      <c r="A97" s="45">
        <f>inputPrYr!B37</f>
        <v>0</v>
      </c>
      <c r="B97" s="3"/>
      <c r="C97" s="22"/>
      <c r="D97" s="22"/>
      <c r="E97" s="22"/>
    </row>
    <row r="98" spans="1:5" x14ac:dyDescent="0.25">
      <c r="A98" s="45">
        <f>inputPrYr!B38</f>
        <v>0</v>
      </c>
      <c r="B98" s="3"/>
      <c r="C98" s="22"/>
      <c r="D98" s="22"/>
      <c r="E98" s="22"/>
    </row>
  </sheetData>
  <sheetProtection sheet="1"/>
  <mergeCells count="7">
    <mergeCell ref="A80:B80"/>
    <mergeCell ref="C81:E81"/>
    <mergeCell ref="A78:E78"/>
    <mergeCell ref="A4:E4"/>
    <mergeCell ref="A36:B36"/>
    <mergeCell ref="A6:E6"/>
    <mergeCell ref="A73:E73"/>
  </mergeCells>
  <phoneticPr fontId="12" type="noConversion"/>
  <pageMargins left="0.75" right="0.75" top="1" bottom="1" header="0.5" footer="0.5"/>
  <pageSetup scale="46" orientation="portrait" blackAndWhite="1"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J109"/>
  <sheetViews>
    <sheetView workbookViewId="0">
      <selection activeCell="A35" sqref="A35"/>
    </sheetView>
  </sheetViews>
  <sheetFormatPr defaultRowHeight="15.75" x14ac:dyDescent="0.25"/>
  <cols>
    <col min="1" max="1" width="64.19921875" customWidth="1"/>
  </cols>
  <sheetData>
    <row r="3" spans="1:10" x14ac:dyDescent="0.25">
      <c r="A3" s="345" t="s">
        <v>438</v>
      </c>
      <c r="B3" s="345"/>
      <c r="C3" s="345"/>
      <c r="D3" s="345"/>
      <c r="E3" s="345"/>
      <c r="F3" s="345"/>
      <c r="G3" s="345"/>
      <c r="H3" s="348"/>
      <c r="I3" s="348"/>
      <c r="J3" s="348"/>
    </row>
    <row r="5" spans="1:10" x14ac:dyDescent="0.25">
      <c r="A5" s="346" t="s">
        <v>439</v>
      </c>
    </row>
    <row r="6" spans="1:10" x14ac:dyDescent="0.25">
      <c r="A6" t="str">
        <f>CONCATENATE(inputPrYr!D9-2," expenditures show that you finished the year with a ")</f>
        <v xml:space="preserve">2013 expenditures show that you finished the year with a </v>
      </c>
    </row>
    <row r="7" spans="1:10" x14ac:dyDescent="0.25">
      <c r="A7" t="s">
        <v>440</v>
      </c>
    </row>
    <row r="9" spans="1:10" x14ac:dyDescent="0.25">
      <c r="A9" t="s">
        <v>441</v>
      </c>
    </row>
    <row r="10" spans="1:10" x14ac:dyDescent="0.25">
      <c r="A10" t="s">
        <v>442</v>
      </c>
    </row>
    <row r="11" spans="1:10" x14ac:dyDescent="0.25">
      <c r="A11" t="s">
        <v>443</v>
      </c>
    </row>
    <row r="13" spans="1:10" x14ac:dyDescent="0.25">
      <c r="A13" s="347" t="s">
        <v>444</v>
      </c>
    </row>
    <row r="14" spans="1:10" x14ac:dyDescent="0.25">
      <c r="A14" s="347"/>
    </row>
    <row r="15" spans="1:10" x14ac:dyDescent="0.25">
      <c r="A15" s="346" t="s">
        <v>445</v>
      </c>
    </row>
    <row r="16" spans="1:10" x14ac:dyDescent="0.25">
      <c r="A16" s="346" t="s">
        <v>446</v>
      </c>
    </row>
    <row r="17" spans="1:1" x14ac:dyDescent="0.25">
      <c r="A17" s="346" t="s">
        <v>447</v>
      </c>
    </row>
    <row r="18" spans="1:1" x14ac:dyDescent="0.25">
      <c r="A18" s="346"/>
    </row>
    <row r="19" spans="1:1" x14ac:dyDescent="0.25">
      <c r="A19" s="347" t="s">
        <v>448</v>
      </c>
    </row>
    <row r="20" spans="1:1" x14ac:dyDescent="0.25">
      <c r="A20" s="347"/>
    </row>
    <row r="21" spans="1:1" x14ac:dyDescent="0.25">
      <c r="A21" s="346" t="s">
        <v>449</v>
      </c>
    </row>
    <row r="22" spans="1:1" x14ac:dyDescent="0.25">
      <c r="A22" s="346" t="s">
        <v>450</v>
      </c>
    </row>
    <row r="23" spans="1:1" x14ac:dyDescent="0.25">
      <c r="A23" s="346" t="s">
        <v>451</v>
      </c>
    </row>
    <row r="24" spans="1:1" x14ac:dyDescent="0.25">
      <c r="A24" s="346"/>
    </row>
    <row r="25" spans="1:1" x14ac:dyDescent="0.25">
      <c r="A25" s="347" t="s">
        <v>452</v>
      </c>
    </row>
    <row r="26" spans="1:1" x14ac:dyDescent="0.25">
      <c r="A26" s="347"/>
    </row>
    <row r="27" spans="1:1" x14ac:dyDescent="0.25">
      <c r="A27" s="346" t="s">
        <v>453</v>
      </c>
    </row>
    <row r="28" spans="1:1" x14ac:dyDescent="0.25">
      <c r="A28" s="346" t="s">
        <v>454</v>
      </c>
    </row>
    <row r="29" spans="1:1" x14ac:dyDescent="0.25">
      <c r="A29" s="346" t="s">
        <v>455</v>
      </c>
    </row>
    <row r="30" spans="1:1" x14ac:dyDescent="0.25">
      <c r="A30" s="346"/>
    </row>
    <row r="31" spans="1:1" x14ac:dyDescent="0.25">
      <c r="A31" s="347" t="s">
        <v>456</v>
      </c>
    </row>
    <row r="32" spans="1:1" x14ac:dyDescent="0.25">
      <c r="A32" s="347"/>
    </row>
    <row r="33" spans="1:8" x14ac:dyDescent="0.25">
      <c r="A33" s="346" t="str">
        <f>CONCATENATE("If your financial records for ",inputPrYr!D9-2," are not closed")</f>
        <v>If your financial records for 2013 are not closed</v>
      </c>
      <c r="B33" s="346"/>
      <c r="C33" s="346"/>
      <c r="D33" s="346"/>
      <c r="E33" s="346"/>
      <c r="F33" s="346"/>
      <c r="G33" s="346"/>
      <c r="H33" s="346"/>
    </row>
    <row r="34" spans="1:8" x14ac:dyDescent="0.25">
      <c r="A34" s="346" t="str">
        <f>CONCATENATE("(i.e. an audit has not been completed, or the ",inputPrYr!D9," adopted ")</f>
        <v xml:space="preserve">(i.e. an audit has not been completed, or the 2015 adopted </v>
      </c>
      <c r="B34" s="346"/>
      <c r="C34" s="346"/>
      <c r="D34" s="346"/>
      <c r="E34" s="346"/>
      <c r="F34" s="346"/>
      <c r="G34" s="346"/>
      <c r="H34" s="346"/>
    </row>
    <row r="35" spans="1:8" x14ac:dyDescent="0.25">
      <c r="A35" s="346" t="s">
        <v>457</v>
      </c>
      <c r="B35" s="346"/>
      <c r="C35" s="346"/>
      <c r="D35" s="346"/>
      <c r="E35" s="346"/>
      <c r="F35" s="346"/>
      <c r="G35" s="346"/>
      <c r="H35" s="346"/>
    </row>
    <row r="36" spans="1:8" x14ac:dyDescent="0.25">
      <c r="A36" s="346" t="s">
        <v>458</v>
      </c>
      <c r="B36" s="346"/>
      <c r="C36" s="346"/>
      <c r="D36" s="346"/>
      <c r="E36" s="346"/>
      <c r="F36" s="346"/>
      <c r="G36" s="346"/>
      <c r="H36" s="346"/>
    </row>
    <row r="37" spans="1:8" x14ac:dyDescent="0.25">
      <c r="A37" s="346" t="s">
        <v>459</v>
      </c>
      <c r="B37" s="346"/>
      <c r="C37" s="346"/>
      <c r="D37" s="346"/>
      <c r="E37" s="346"/>
      <c r="F37" s="346"/>
      <c r="G37" s="346"/>
      <c r="H37" s="346"/>
    </row>
    <row r="38" spans="1:8" x14ac:dyDescent="0.25">
      <c r="A38" s="346" t="s">
        <v>460</v>
      </c>
      <c r="B38" s="346"/>
      <c r="C38" s="346"/>
      <c r="D38" s="346"/>
      <c r="E38" s="346"/>
      <c r="F38" s="346"/>
      <c r="G38" s="346"/>
      <c r="H38" s="346"/>
    </row>
    <row r="39" spans="1:8" x14ac:dyDescent="0.25">
      <c r="A39" s="346" t="s">
        <v>461</v>
      </c>
      <c r="B39" s="346"/>
      <c r="C39" s="346"/>
      <c r="D39" s="346"/>
      <c r="E39" s="346"/>
      <c r="F39" s="346"/>
      <c r="G39" s="346"/>
      <c r="H39" s="346"/>
    </row>
    <row r="40" spans="1:8" x14ac:dyDescent="0.25">
      <c r="A40" s="346"/>
      <c r="B40" s="346"/>
      <c r="C40" s="346"/>
      <c r="D40" s="346"/>
      <c r="E40" s="346"/>
      <c r="F40" s="346"/>
      <c r="G40" s="346"/>
      <c r="H40" s="346"/>
    </row>
    <row r="41" spans="1:8" x14ac:dyDescent="0.25">
      <c r="A41" s="346" t="s">
        <v>462</v>
      </c>
      <c r="B41" s="346"/>
      <c r="C41" s="346"/>
      <c r="D41" s="346"/>
      <c r="E41" s="346"/>
      <c r="F41" s="346"/>
      <c r="G41" s="346"/>
      <c r="H41" s="346"/>
    </row>
    <row r="42" spans="1:8" x14ac:dyDescent="0.25">
      <c r="A42" s="346" t="s">
        <v>463</v>
      </c>
      <c r="B42" s="346"/>
      <c r="C42" s="346"/>
      <c r="D42" s="346"/>
      <c r="E42" s="346"/>
      <c r="F42" s="346"/>
      <c r="G42" s="346"/>
      <c r="H42" s="346"/>
    </row>
    <row r="43" spans="1:8" x14ac:dyDescent="0.25">
      <c r="A43" s="346" t="s">
        <v>464</v>
      </c>
      <c r="B43" s="346"/>
      <c r="C43" s="346"/>
      <c r="D43" s="346"/>
      <c r="E43" s="346"/>
      <c r="F43" s="346"/>
      <c r="G43" s="346"/>
      <c r="H43" s="346"/>
    </row>
    <row r="44" spans="1:8" x14ac:dyDescent="0.25">
      <c r="A44" s="346" t="s">
        <v>465</v>
      </c>
      <c r="B44" s="346"/>
      <c r="C44" s="346"/>
      <c r="D44" s="346"/>
      <c r="E44" s="346"/>
      <c r="F44" s="346"/>
      <c r="G44" s="346"/>
      <c r="H44" s="346"/>
    </row>
    <row r="45" spans="1:8" x14ac:dyDescent="0.25">
      <c r="A45" s="346"/>
      <c r="B45" s="346"/>
      <c r="C45" s="346"/>
      <c r="D45" s="346"/>
      <c r="E45" s="346"/>
      <c r="F45" s="346"/>
      <c r="G45" s="346"/>
      <c r="H45" s="346"/>
    </row>
    <row r="46" spans="1:8" x14ac:dyDescent="0.25">
      <c r="A46" s="346" t="s">
        <v>466</v>
      </c>
      <c r="B46" s="346"/>
      <c r="C46" s="346"/>
      <c r="D46" s="346"/>
      <c r="E46" s="346"/>
      <c r="F46" s="346"/>
      <c r="G46" s="346"/>
      <c r="H46" s="346"/>
    </row>
    <row r="47" spans="1:8" x14ac:dyDescent="0.25">
      <c r="A47" s="346" t="s">
        <v>467</v>
      </c>
      <c r="B47" s="346"/>
      <c r="C47" s="346"/>
      <c r="D47" s="346"/>
      <c r="E47" s="346"/>
      <c r="F47" s="346"/>
      <c r="G47" s="346"/>
      <c r="H47" s="346"/>
    </row>
    <row r="48" spans="1:8" x14ac:dyDescent="0.25">
      <c r="A48" s="346" t="s">
        <v>468</v>
      </c>
      <c r="B48" s="346"/>
      <c r="C48" s="346"/>
      <c r="D48" s="346"/>
      <c r="E48" s="346"/>
      <c r="F48" s="346"/>
      <c r="G48" s="346"/>
      <c r="H48" s="346"/>
    </row>
    <row r="49" spans="1:8" x14ac:dyDescent="0.25">
      <c r="A49" s="346" t="s">
        <v>469</v>
      </c>
      <c r="B49" s="346"/>
      <c r="C49" s="346"/>
      <c r="D49" s="346"/>
      <c r="E49" s="346"/>
      <c r="F49" s="346"/>
      <c r="G49" s="346"/>
      <c r="H49" s="346"/>
    </row>
    <row r="50" spans="1:8" x14ac:dyDescent="0.25">
      <c r="A50" s="346" t="s">
        <v>470</v>
      </c>
      <c r="B50" s="346"/>
      <c r="C50" s="346"/>
      <c r="D50" s="346"/>
      <c r="E50" s="346"/>
      <c r="F50" s="346"/>
      <c r="G50" s="346"/>
      <c r="H50" s="346"/>
    </row>
    <row r="51" spans="1:8" x14ac:dyDescent="0.25">
      <c r="A51" s="346"/>
      <c r="B51" s="346"/>
      <c r="C51" s="346"/>
      <c r="D51" s="346"/>
      <c r="E51" s="346"/>
      <c r="F51" s="346"/>
      <c r="G51" s="346"/>
      <c r="H51" s="346"/>
    </row>
    <row r="52" spans="1:8" x14ac:dyDescent="0.25">
      <c r="A52" s="347" t="s">
        <v>471</v>
      </c>
      <c r="B52" s="347"/>
      <c r="C52" s="347"/>
      <c r="D52" s="347"/>
      <c r="E52" s="347"/>
      <c r="F52" s="347"/>
      <c r="G52" s="347"/>
      <c r="H52" s="346"/>
    </row>
    <row r="53" spans="1:8" x14ac:dyDescent="0.25">
      <c r="A53" s="347" t="s">
        <v>472</v>
      </c>
      <c r="B53" s="347"/>
      <c r="C53" s="347"/>
      <c r="D53" s="347"/>
      <c r="E53" s="347"/>
      <c r="F53" s="347"/>
      <c r="G53" s="347"/>
      <c r="H53" s="346"/>
    </row>
    <row r="54" spans="1:8" x14ac:dyDescent="0.25">
      <c r="A54" s="346"/>
      <c r="B54" s="346"/>
      <c r="C54" s="346"/>
      <c r="D54" s="346"/>
      <c r="E54" s="346"/>
      <c r="F54" s="346"/>
      <c r="G54" s="346"/>
      <c r="H54" s="346"/>
    </row>
    <row r="55" spans="1:8" x14ac:dyDescent="0.25">
      <c r="A55" s="346" t="s">
        <v>473</v>
      </c>
      <c r="B55" s="346"/>
      <c r="C55" s="346"/>
      <c r="D55" s="346"/>
      <c r="E55" s="346"/>
      <c r="F55" s="346"/>
      <c r="G55" s="346"/>
      <c r="H55" s="346"/>
    </row>
    <row r="56" spans="1:8" x14ac:dyDescent="0.25">
      <c r="A56" s="346" t="s">
        <v>474</v>
      </c>
      <c r="B56" s="346"/>
      <c r="C56" s="346"/>
      <c r="D56" s="346"/>
      <c r="E56" s="346"/>
      <c r="F56" s="346"/>
      <c r="G56" s="346"/>
      <c r="H56" s="346"/>
    </row>
    <row r="57" spans="1:8" x14ac:dyDescent="0.25">
      <c r="A57" s="346" t="s">
        <v>475</v>
      </c>
      <c r="B57" s="346"/>
      <c r="C57" s="346"/>
      <c r="D57" s="346"/>
      <c r="E57" s="346"/>
      <c r="F57" s="346"/>
      <c r="G57" s="346"/>
      <c r="H57" s="346"/>
    </row>
    <row r="58" spans="1:8" x14ac:dyDescent="0.25">
      <c r="A58" s="346" t="s">
        <v>476</v>
      </c>
      <c r="B58" s="346"/>
      <c r="C58" s="346"/>
      <c r="D58" s="346"/>
      <c r="E58" s="346"/>
      <c r="F58" s="346"/>
      <c r="G58" s="346"/>
      <c r="H58" s="346"/>
    </row>
    <row r="59" spans="1:8" x14ac:dyDescent="0.25">
      <c r="A59" s="346"/>
      <c r="B59" s="346"/>
      <c r="C59" s="346"/>
      <c r="D59" s="346"/>
      <c r="E59" s="346"/>
      <c r="F59" s="346"/>
      <c r="G59" s="346"/>
      <c r="H59" s="346"/>
    </row>
    <row r="60" spans="1:8" x14ac:dyDescent="0.25">
      <c r="A60" s="346" t="s">
        <v>477</v>
      </c>
      <c r="B60" s="346"/>
      <c r="C60" s="346"/>
      <c r="D60" s="346"/>
      <c r="E60" s="346"/>
      <c r="F60" s="346"/>
      <c r="G60" s="346"/>
      <c r="H60" s="346"/>
    </row>
    <row r="61" spans="1:8" x14ac:dyDescent="0.25">
      <c r="A61" s="346" t="s">
        <v>478</v>
      </c>
      <c r="B61" s="346"/>
      <c r="C61" s="346"/>
      <c r="D61" s="346"/>
      <c r="E61" s="346"/>
      <c r="F61" s="346"/>
      <c r="G61" s="346"/>
      <c r="H61" s="346"/>
    </row>
    <row r="62" spans="1:8" x14ac:dyDescent="0.25">
      <c r="A62" s="346" t="s">
        <v>479</v>
      </c>
      <c r="B62" s="346"/>
      <c r="C62" s="346"/>
      <c r="D62" s="346"/>
      <c r="E62" s="346"/>
      <c r="F62" s="346"/>
      <c r="G62" s="346"/>
      <c r="H62" s="346"/>
    </row>
    <row r="63" spans="1:8" x14ac:dyDescent="0.25">
      <c r="A63" s="346" t="s">
        <v>480</v>
      </c>
      <c r="B63" s="346"/>
      <c r="C63" s="346"/>
      <c r="D63" s="346"/>
      <c r="E63" s="346"/>
      <c r="F63" s="346"/>
      <c r="G63" s="346"/>
      <c r="H63" s="346"/>
    </row>
    <row r="64" spans="1:8" x14ac:dyDescent="0.25">
      <c r="A64" s="346" t="s">
        <v>481</v>
      </c>
      <c r="B64" s="346"/>
      <c r="C64" s="346"/>
      <c r="D64" s="346"/>
      <c r="E64" s="346"/>
      <c r="F64" s="346"/>
      <c r="G64" s="346"/>
      <c r="H64" s="346"/>
    </row>
    <row r="65" spans="1:8" x14ac:dyDescent="0.25">
      <c r="A65" s="346" t="s">
        <v>482</v>
      </c>
      <c r="B65" s="346"/>
      <c r="C65" s="346"/>
      <c r="D65" s="346"/>
      <c r="E65" s="346"/>
      <c r="F65" s="346"/>
      <c r="G65" s="346"/>
      <c r="H65" s="346"/>
    </row>
    <row r="66" spans="1:8" x14ac:dyDescent="0.25">
      <c r="A66" s="346"/>
      <c r="B66" s="346"/>
      <c r="C66" s="346"/>
      <c r="D66" s="346"/>
      <c r="E66" s="346"/>
      <c r="F66" s="346"/>
      <c r="G66" s="346"/>
      <c r="H66" s="346"/>
    </row>
    <row r="67" spans="1:8" x14ac:dyDescent="0.25">
      <c r="A67" s="346" t="s">
        <v>483</v>
      </c>
      <c r="B67" s="346"/>
      <c r="C67" s="346"/>
      <c r="D67" s="346"/>
      <c r="E67" s="346"/>
      <c r="F67" s="346"/>
      <c r="G67" s="346"/>
      <c r="H67" s="346"/>
    </row>
    <row r="68" spans="1:8" x14ac:dyDescent="0.25">
      <c r="A68" s="346" t="s">
        <v>484</v>
      </c>
      <c r="B68" s="346"/>
      <c r="C68" s="346"/>
      <c r="D68" s="346"/>
      <c r="E68" s="346"/>
      <c r="F68" s="346"/>
      <c r="G68" s="346"/>
      <c r="H68" s="346"/>
    </row>
    <row r="69" spans="1:8" x14ac:dyDescent="0.25">
      <c r="A69" s="346" t="s">
        <v>485</v>
      </c>
      <c r="B69" s="346"/>
      <c r="C69" s="346"/>
      <c r="D69" s="346"/>
      <c r="E69" s="346"/>
      <c r="F69" s="346"/>
      <c r="G69" s="346"/>
      <c r="H69" s="346"/>
    </row>
    <row r="70" spans="1:8" x14ac:dyDescent="0.25">
      <c r="A70" s="346" t="s">
        <v>486</v>
      </c>
      <c r="B70" s="346"/>
      <c r="C70" s="346"/>
      <c r="D70" s="346"/>
      <c r="E70" s="346"/>
      <c r="F70" s="346"/>
      <c r="G70" s="346"/>
      <c r="H70" s="346"/>
    </row>
    <row r="71" spans="1:8" x14ac:dyDescent="0.25">
      <c r="A71" s="346" t="s">
        <v>487</v>
      </c>
      <c r="B71" s="346"/>
      <c r="C71" s="346"/>
      <c r="D71" s="346"/>
      <c r="E71" s="346"/>
      <c r="F71" s="346"/>
      <c r="G71" s="346"/>
      <c r="H71" s="346"/>
    </row>
    <row r="72" spans="1:8" x14ac:dyDescent="0.25">
      <c r="A72" s="346" t="s">
        <v>488</v>
      </c>
      <c r="B72" s="346"/>
      <c r="C72" s="346"/>
      <c r="D72" s="346"/>
      <c r="E72" s="346"/>
      <c r="F72" s="346"/>
      <c r="G72" s="346"/>
      <c r="H72" s="346"/>
    </row>
    <row r="73" spans="1:8" x14ac:dyDescent="0.25">
      <c r="A73" s="346" t="s">
        <v>489</v>
      </c>
      <c r="B73" s="346"/>
      <c r="C73" s="346"/>
      <c r="D73" s="346"/>
      <c r="E73" s="346"/>
      <c r="F73" s="346"/>
      <c r="G73" s="346"/>
      <c r="H73" s="346"/>
    </row>
    <row r="74" spans="1:8" x14ac:dyDescent="0.25">
      <c r="A74" s="346"/>
      <c r="B74" s="346"/>
      <c r="C74" s="346"/>
      <c r="D74" s="346"/>
      <c r="E74" s="346"/>
      <c r="F74" s="346"/>
      <c r="G74" s="346"/>
      <c r="H74" s="346"/>
    </row>
    <row r="75" spans="1:8" x14ac:dyDescent="0.25">
      <c r="A75" s="346" t="s">
        <v>490</v>
      </c>
      <c r="B75" s="346"/>
      <c r="C75" s="346"/>
      <c r="D75" s="346"/>
      <c r="E75" s="346"/>
      <c r="F75" s="346"/>
      <c r="G75" s="346"/>
      <c r="H75" s="346"/>
    </row>
    <row r="76" spans="1:8" x14ac:dyDescent="0.25">
      <c r="A76" s="346" t="s">
        <v>491</v>
      </c>
      <c r="B76" s="346"/>
      <c r="C76" s="346"/>
      <c r="D76" s="346"/>
      <c r="E76" s="346"/>
      <c r="F76" s="346"/>
      <c r="G76" s="346"/>
      <c r="H76" s="346"/>
    </row>
    <row r="77" spans="1:8" x14ac:dyDescent="0.25">
      <c r="A77" s="346" t="s">
        <v>492</v>
      </c>
      <c r="B77" s="346"/>
      <c r="C77" s="346"/>
      <c r="D77" s="346"/>
      <c r="E77" s="346"/>
      <c r="F77" s="346"/>
      <c r="G77" s="346"/>
      <c r="H77" s="346"/>
    </row>
    <row r="78" spans="1:8" x14ac:dyDescent="0.25">
      <c r="A78" s="346"/>
      <c r="B78" s="346"/>
      <c r="C78" s="346"/>
      <c r="D78" s="346"/>
      <c r="E78" s="346"/>
      <c r="F78" s="346"/>
      <c r="G78" s="346"/>
      <c r="H78" s="346"/>
    </row>
    <row r="79" spans="1:8" x14ac:dyDescent="0.25">
      <c r="A79" s="346" t="s">
        <v>437</v>
      </c>
    </row>
    <row r="80" spans="1:8" x14ac:dyDescent="0.25">
      <c r="A80" s="347"/>
    </row>
    <row r="81" spans="1:1" x14ac:dyDescent="0.25">
      <c r="A81" s="346"/>
    </row>
    <row r="82" spans="1:1" x14ac:dyDescent="0.25">
      <c r="A82" s="346"/>
    </row>
    <row r="83" spans="1:1" x14ac:dyDescent="0.25">
      <c r="A83" s="346"/>
    </row>
    <row r="84" spans="1:1" x14ac:dyDescent="0.25">
      <c r="A84" s="346"/>
    </row>
    <row r="85" spans="1:1" x14ac:dyDescent="0.25">
      <c r="A85" s="346"/>
    </row>
    <row r="86" spans="1:1" x14ac:dyDescent="0.25">
      <c r="A86" s="346"/>
    </row>
    <row r="87" spans="1:1" x14ac:dyDescent="0.25">
      <c r="A87" s="346"/>
    </row>
    <row r="88" spans="1:1" x14ac:dyDescent="0.25">
      <c r="A88" s="346"/>
    </row>
    <row r="89" spans="1:1" x14ac:dyDescent="0.25">
      <c r="A89" s="346"/>
    </row>
    <row r="90" spans="1:1" x14ac:dyDescent="0.25">
      <c r="A90" s="346"/>
    </row>
    <row r="91" spans="1:1" x14ac:dyDescent="0.25">
      <c r="A91" s="346"/>
    </row>
    <row r="92" spans="1:1" x14ac:dyDescent="0.25">
      <c r="A92" s="346"/>
    </row>
    <row r="93" spans="1:1" x14ac:dyDescent="0.25">
      <c r="A93" s="346"/>
    </row>
    <row r="94" spans="1:1" x14ac:dyDescent="0.25">
      <c r="A94" s="346"/>
    </row>
    <row r="95" spans="1:1" x14ac:dyDescent="0.25">
      <c r="A95" s="346"/>
    </row>
    <row r="96" spans="1:1" x14ac:dyDescent="0.25">
      <c r="A96" s="346"/>
    </row>
    <row r="97" spans="1:1" x14ac:dyDescent="0.25">
      <c r="A97" s="346"/>
    </row>
    <row r="98" spans="1:1" x14ac:dyDescent="0.25">
      <c r="A98" s="346"/>
    </row>
    <row r="99" spans="1:1" x14ac:dyDescent="0.25">
      <c r="A99" s="346"/>
    </row>
    <row r="100" spans="1:1" x14ac:dyDescent="0.25">
      <c r="A100" s="346"/>
    </row>
    <row r="101" spans="1:1" x14ac:dyDescent="0.25">
      <c r="A101" s="346"/>
    </row>
    <row r="103" spans="1:1" x14ac:dyDescent="0.25">
      <c r="A103" s="346"/>
    </row>
    <row r="104" spans="1:1" x14ac:dyDescent="0.25">
      <c r="A104" s="346"/>
    </row>
    <row r="105" spans="1:1" x14ac:dyDescent="0.25">
      <c r="A105" s="346"/>
    </row>
    <row r="107" spans="1:1" x14ac:dyDescent="0.25">
      <c r="A107" s="347"/>
    </row>
    <row r="108" spans="1:1" x14ac:dyDescent="0.25">
      <c r="A108" s="347"/>
    </row>
    <row r="109" spans="1:1" x14ac:dyDescent="0.25">
      <c r="A109" s="347"/>
    </row>
  </sheetData>
  <sheetProtection sheet="1"/>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L75"/>
  <sheetViews>
    <sheetView workbookViewId="0">
      <selection activeCell="A39" sqref="A39"/>
    </sheetView>
  </sheetViews>
  <sheetFormatPr defaultRowHeight="15.75" x14ac:dyDescent="0.25"/>
  <cols>
    <col min="1" max="1" width="64.19921875" customWidth="1"/>
  </cols>
  <sheetData>
    <row r="3" spans="1:12" x14ac:dyDescent="0.25">
      <c r="A3" s="345" t="s">
        <v>493</v>
      </c>
      <c r="B3" s="345"/>
      <c r="C3" s="345"/>
      <c r="D3" s="345"/>
      <c r="E3" s="345"/>
      <c r="F3" s="345"/>
      <c r="G3" s="345"/>
      <c r="H3" s="345"/>
      <c r="I3" s="345"/>
      <c r="J3" s="345"/>
      <c r="K3" s="345"/>
      <c r="L3" s="345"/>
    </row>
    <row r="4" spans="1:12" x14ac:dyDescent="0.25">
      <c r="A4" s="345"/>
      <c r="B4" s="345"/>
      <c r="C4" s="345"/>
      <c r="D4" s="345"/>
      <c r="E4" s="345"/>
      <c r="F4" s="345"/>
      <c r="G4" s="345"/>
      <c r="H4" s="345"/>
      <c r="I4" s="345"/>
      <c r="J4" s="345"/>
      <c r="K4" s="345"/>
      <c r="L4" s="345"/>
    </row>
    <row r="5" spans="1:12" x14ac:dyDescent="0.25">
      <c r="A5" s="346" t="s">
        <v>382</v>
      </c>
      <c r="I5" s="345"/>
      <c r="J5" s="345"/>
      <c r="K5" s="345"/>
      <c r="L5" s="345"/>
    </row>
    <row r="6" spans="1:12" x14ac:dyDescent="0.25">
      <c r="A6" s="346" t="str">
        <f>CONCATENATE("estimated ",inputPrYr!D9-1," 'total expenditures' exceed your ",inputPrYr!D9-1,"")</f>
        <v>estimated 2014 'total expenditures' exceed your 2014</v>
      </c>
      <c r="I6" s="345"/>
      <c r="J6" s="345"/>
      <c r="K6" s="345"/>
      <c r="L6" s="345"/>
    </row>
    <row r="7" spans="1:12" x14ac:dyDescent="0.25">
      <c r="A7" s="349" t="s">
        <v>494</v>
      </c>
      <c r="I7" s="345"/>
      <c r="J7" s="345"/>
      <c r="K7" s="345"/>
      <c r="L7" s="345"/>
    </row>
    <row r="8" spans="1:12" x14ac:dyDescent="0.25">
      <c r="A8" s="346"/>
      <c r="I8" s="345"/>
      <c r="J8" s="345"/>
      <c r="K8" s="345"/>
      <c r="L8" s="345"/>
    </row>
    <row r="9" spans="1:12" x14ac:dyDescent="0.25">
      <c r="A9" s="346" t="s">
        <v>495</v>
      </c>
      <c r="I9" s="345"/>
      <c r="J9" s="345"/>
      <c r="K9" s="345"/>
      <c r="L9" s="345"/>
    </row>
    <row r="10" spans="1:12" x14ac:dyDescent="0.25">
      <c r="A10" s="346" t="s">
        <v>496</v>
      </c>
      <c r="I10" s="345"/>
      <c r="J10" s="345"/>
      <c r="K10" s="345"/>
      <c r="L10" s="345"/>
    </row>
    <row r="11" spans="1:12" x14ac:dyDescent="0.25">
      <c r="A11" s="346" t="s">
        <v>497</v>
      </c>
      <c r="I11" s="345"/>
      <c r="J11" s="345"/>
      <c r="K11" s="345"/>
      <c r="L11" s="345"/>
    </row>
    <row r="12" spans="1:12" x14ac:dyDescent="0.25">
      <c r="A12" s="346" t="s">
        <v>498</v>
      </c>
      <c r="I12" s="345"/>
      <c r="J12" s="345"/>
      <c r="K12" s="345"/>
      <c r="L12" s="345"/>
    </row>
    <row r="13" spans="1:12" x14ac:dyDescent="0.25">
      <c r="A13" s="346" t="s">
        <v>499</v>
      </c>
      <c r="I13" s="345"/>
      <c r="J13" s="345"/>
      <c r="K13" s="345"/>
      <c r="L13" s="345"/>
    </row>
    <row r="14" spans="1:12" x14ac:dyDescent="0.25">
      <c r="A14" s="345"/>
      <c r="B14" s="345"/>
      <c r="C14" s="345"/>
      <c r="D14" s="345"/>
      <c r="E14" s="345"/>
      <c r="F14" s="345"/>
      <c r="G14" s="345"/>
      <c r="H14" s="345"/>
      <c r="I14" s="345"/>
      <c r="J14" s="345"/>
      <c r="K14" s="345"/>
      <c r="L14" s="345"/>
    </row>
    <row r="15" spans="1:12" x14ac:dyDescent="0.25">
      <c r="A15" s="347" t="s">
        <v>500</v>
      </c>
    </row>
    <row r="16" spans="1:12" x14ac:dyDescent="0.25">
      <c r="A16" s="347" t="s">
        <v>501</v>
      </c>
    </row>
    <row r="17" spans="1:7" x14ac:dyDescent="0.25">
      <c r="A17" s="347"/>
    </row>
    <row r="18" spans="1:7" x14ac:dyDescent="0.25">
      <c r="A18" s="346" t="s">
        <v>502</v>
      </c>
      <c r="B18" s="346"/>
      <c r="C18" s="346"/>
      <c r="D18" s="346"/>
      <c r="E18" s="346"/>
      <c r="F18" s="346"/>
      <c r="G18" s="346"/>
    </row>
    <row r="19" spans="1:7" x14ac:dyDescent="0.25">
      <c r="A19" s="346" t="str">
        <f>CONCATENATE("your ",inputPrYr!D9-1," numbers to see what steps might be necessary to")</f>
        <v>your 2014 numbers to see what steps might be necessary to</v>
      </c>
      <c r="B19" s="346"/>
      <c r="C19" s="346"/>
      <c r="D19" s="346"/>
      <c r="E19" s="346"/>
      <c r="F19" s="346"/>
      <c r="G19" s="346"/>
    </row>
    <row r="20" spans="1:7" x14ac:dyDescent="0.25">
      <c r="A20" s="346" t="s">
        <v>503</v>
      </c>
      <c r="B20" s="346"/>
      <c r="C20" s="346"/>
      <c r="D20" s="346"/>
      <c r="E20" s="346"/>
      <c r="F20" s="346"/>
      <c r="G20" s="346"/>
    </row>
    <row r="21" spans="1:7" x14ac:dyDescent="0.25">
      <c r="A21" s="346" t="s">
        <v>504</v>
      </c>
      <c r="B21" s="346"/>
      <c r="C21" s="346"/>
      <c r="D21" s="346"/>
      <c r="E21" s="346"/>
      <c r="F21" s="346"/>
      <c r="G21" s="346"/>
    </row>
    <row r="22" spans="1:7" x14ac:dyDescent="0.25">
      <c r="A22" s="346"/>
    </row>
    <row r="23" spans="1:7" x14ac:dyDescent="0.25">
      <c r="A23" s="347" t="s">
        <v>505</v>
      </c>
    </row>
    <row r="24" spans="1:7" x14ac:dyDescent="0.25">
      <c r="A24" s="347"/>
    </row>
    <row r="25" spans="1:7" x14ac:dyDescent="0.25">
      <c r="A25" s="346" t="s">
        <v>506</v>
      </c>
    </row>
    <row r="26" spans="1:7" x14ac:dyDescent="0.25">
      <c r="A26" s="346" t="s">
        <v>507</v>
      </c>
      <c r="B26" s="346"/>
      <c r="C26" s="346"/>
      <c r="D26" s="346"/>
      <c r="E26" s="346"/>
      <c r="F26" s="346"/>
    </row>
    <row r="27" spans="1:7" x14ac:dyDescent="0.25">
      <c r="A27" s="346" t="s">
        <v>508</v>
      </c>
      <c r="B27" s="346"/>
      <c r="C27" s="346"/>
      <c r="D27" s="346"/>
      <c r="E27" s="346"/>
      <c r="F27" s="346"/>
    </row>
    <row r="28" spans="1:7" x14ac:dyDescent="0.25">
      <c r="A28" s="346" t="s">
        <v>509</v>
      </c>
      <c r="B28" s="346"/>
      <c r="C28" s="346"/>
      <c r="D28" s="346"/>
      <c r="E28" s="346"/>
      <c r="F28" s="346"/>
    </row>
    <row r="29" spans="1:7" x14ac:dyDescent="0.25">
      <c r="A29" s="346"/>
      <c r="B29" s="346"/>
      <c r="C29" s="346"/>
      <c r="D29" s="346"/>
      <c r="E29" s="346"/>
      <c r="F29" s="346"/>
    </row>
    <row r="30" spans="1:7" x14ac:dyDescent="0.25">
      <c r="A30" s="347" t="s">
        <v>510</v>
      </c>
      <c r="B30" s="347"/>
      <c r="C30" s="347"/>
      <c r="D30" s="347"/>
      <c r="E30" s="347"/>
      <c r="F30" s="347"/>
      <c r="G30" s="347"/>
    </row>
    <row r="31" spans="1:7" x14ac:dyDescent="0.25">
      <c r="A31" s="347" t="s">
        <v>511</v>
      </c>
      <c r="B31" s="347"/>
      <c r="C31" s="347"/>
      <c r="D31" s="347"/>
      <c r="E31" s="347"/>
      <c r="F31" s="347"/>
      <c r="G31" s="347"/>
    </row>
    <row r="32" spans="1:7" x14ac:dyDescent="0.25">
      <c r="A32" s="346"/>
      <c r="B32" s="346"/>
      <c r="C32" s="346"/>
      <c r="D32" s="346"/>
      <c r="E32" s="346"/>
      <c r="F32" s="346"/>
    </row>
    <row r="33" spans="1:6" x14ac:dyDescent="0.25">
      <c r="A33" s="350" t="str">
        <f>CONCATENATE("Well, let's look to see if any of your ",inputPrYr!D9-1," expenditures can")</f>
        <v>Well, let's look to see if any of your 2014 expenditures can</v>
      </c>
      <c r="B33" s="346"/>
      <c r="C33" s="346"/>
      <c r="D33" s="346"/>
      <c r="E33" s="346"/>
      <c r="F33" s="346"/>
    </row>
    <row r="34" spans="1:6" x14ac:dyDescent="0.25">
      <c r="A34" s="350" t="s">
        <v>512</v>
      </c>
      <c r="B34" s="346"/>
      <c r="C34" s="346"/>
      <c r="D34" s="346"/>
      <c r="E34" s="346"/>
      <c r="F34" s="346"/>
    </row>
    <row r="35" spans="1:6" x14ac:dyDescent="0.25">
      <c r="A35" s="350" t="s">
        <v>396</v>
      </c>
      <c r="B35" s="346"/>
      <c r="C35" s="346"/>
      <c r="D35" s="346"/>
      <c r="E35" s="346"/>
      <c r="F35" s="346"/>
    </row>
    <row r="36" spans="1:6" x14ac:dyDescent="0.25">
      <c r="A36" s="350" t="s">
        <v>397</v>
      </c>
      <c r="B36" s="346"/>
      <c r="C36" s="346"/>
      <c r="D36" s="346"/>
      <c r="E36" s="346"/>
      <c r="F36" s="346"/>
    </row>
    <row r="37" spans="1:6" x14ac:dyDescent="0.25">
      <c r="A37" s="350"/>
      <c r="B37" s="346"/>
      <c r="C37" s="346"/>
      <c r="D37" s="346"/>
      <c r="E37" s="346"/>
      <c r="F37" s="346"/>
    </row>
    <row r="38" spans="1:6" x14ac:dyDescent="0.25">
      <c r="A38" s="350" t="str">
        <f>CONCATENATE("Additionally, do your ",inputPrYr!D9-1," receipts contain a reimbursement")</f>
        <v>Additionally, do your 2014 receipts contain a reimbursement</v>
      </c>
      <c r="B38" s="346"/>
      <c r="C38" s="346"/>
      <c r="D38" s="346"/>
      <c r="E38" s="346"/>
      <c r="F38" s="346"/>
    </row>
    <row r="39" spans="1:6" x14ac:dyDescent="0.25">
      <c r="A39" s="350" t="s">
        <v>398</v>
      </c>
      <c r="B39" s="346"/>
      <c r="C39" s="346"/>
      <c r="D39" s="346"/>
      <c r="E39" s="346"/>
      <c r="F39" s="346"/>
    </row>
    <row r="40" spans="1:6" x14ac:dyDescent="0.25">
      <c r="A40" s="350" t="s">
        <v>399</v>
      </c>
      <c r="B40" s="346"/>
      <c r="C40" s="346"/>
      <c r="D40" s="346"/>
      <c r="E40" s="346"/>
      <c r="F40" s="346"/>
    </row>
    <row r="41" spans="1:6" x14ac:dyDescent="0.25">
      <c r="A41" s="350"/>
      <c r="B41" s="346"/>
      <c r="C41" s="346"/>
      <c r="D41" s="346"/>
      <c r="E41" s="346"/>
      <c r="F41" s="346"/>
    </row>
    <row r="42" spans="1:6" x14ac:dyDescent="0.25">
      <c r="A42" s="350" t="s">
        <v>400</v>
      </c>
      <c r="B42" s="346"/>
      <c r="C42" s="346"/>
      <c r="D42" s="346"/>
      <c r="E42" s="346"/>
      <c r="F42" s="346"/>
    </row>
    <row r="43" spans="1:6" x14ac:dyDescent="0.25">
      <c r="A43" s="350" t="s">
        <v>401</v>
      </c>
      <c r="B43" s="346"/>
      <c r="C43" s="346"/>
      <c r="D43" s="346"/>
      <c r="E43" s="346"/>
      <c r="F43" s="346"/>
    </row>
    <row r="44" spans="1:6" x14ac:dyDescent="0.25">
      <c r="A44" s="350" t="s">
        <v>402</v>
      </c>
      <c r="B44" s="346"/>
      <c r="C44" s="346"/>
      <c r="D44" s="346"/>
      <c r="E44" s="346"/>
      <c r="F44" s="346"/>
    </row>
    <row r="45" spans="1:6" x14ac:dyDescent="0.25">
      <c r="A45" s="350" t="s">
        <v>513</v>
      </c>
      <c r="B45" s="346"/>
      <c r="C45" s="346"/>
      <c r="D45" s="346"/>
      <c r="E45" s="346"/>
      <c r="F45" s="346"/>
    </row>
    <row r="46" spans="1:6" x14ac:dyDescent="0.25">
      <c r="A46" s="350" t="s">
        <v>404</v>
      </c>
      <c r="B46" s="346"/>
      <c r="C46" s="346"/>
      <c r="D46" s="346"/>
      <c r="E46" s="346"/>
      <c r="F46" s="346"/>
    </row>
    <row r="47" spans="1:6" x14ac:dyDescent="0.25">
      <c r="A47" s="350" t="s">
        <v>514</v>
      </c>
      <c r="B47" s="346"/>
      <c r="C47" s="346"/>
      <c r="D47" s="346"/>
      <c r="E47" s="346"/>
      <c r="F47" s="346"/>
    </row>
    <row r="48" spans="1:6" x14ac:dyDescent="0.25">
      <c r="A48" s="350" t="s">
        <v>515</v>
      </c>
      <c r="B48" s="346"/>
      <c r="C48" s="346"/>
      <c r="D48" s="346"/>
      <c r="E48" s="346"/>
      <c r="F48" s="346"/>
    </row>
    <row r="49" spans="1:6" x14ac:dyDescent="0.25">
      <c r="A49" s="350" t="s">
        <v>407</v>
      </c>
      <c r="B49" s="346"/>
      <c r="C49" s="346"/>
      <c r="D49" s="346"/>
      <c r="E49" s="346"/>
      <c r="F49" s="346"/>
    </row>
    <row r="50" spans="1:6" x14ac:dyDescent="0.25">
      <c r="A50" s="350"/>
      <c r="B50" s="346"/>
      <c r="C50" s="346"/>
      <c r="D50" s="346"/>
      <c r="E50" s="346"/>
      <c r="F50" s="346"/>
    </row>
    <row r="51" spans="1:6" x14ac:dyDescent="0.25">
      <c r="A51" s="350" t="s">
        <v>408</v>
      </c>
      <c r="B51" s="346"/>
      <c r="C51" s="346"/>
      <c r="D51" s="346"/>
      <c r="E51" s="346"/>
      <c r="F51" s="346"/>
    </row>
    <row r="52" spans="1:6" x14ac:dyDescent="0.25">
      <c r="A52" s="350" t="s">
        <v>409</v>
      </c>
      <c r="B52" s="346"/>
      <c r="C52" s="346"/>
      <c r="D52" s="346"/>
      <c r="E52" s="346"/>
      <c r="F52" s="346"/>
    </row>
    <row r="53" spans="1:6" x14ac:dyDescent="0.25">
      <c r="A53" s="350" t="s">
        <v>410</v>
      </c>
      <c r="B53" s="346"/>
      <c r="C53" s="346"/>
      <c r="D53" s="346"/>
      <c r="E53" s="346"/>
      <c r="F53" s="346"/>
    </row>
    <row r="54" spans="1:6" x14ac:dyDescent="0.25">
      <c r="A54" s="350"/>
      <c r="B54" s="346"/>
      <c r="C54" s="346"/>
      <c r="D54" s="346"/>
      <c r="E54" s="346"/>
      <c r="F54" s="346"/>
    </row>
    <row r="55" spans="1:6" x14ac:dyDescent="0.25">
      <c r="A55" s="350" t="s">
        <v>516</v>
      </c>
      <c r="B55" s="346"/>
      <c r="C55" s="346"/>
      <c r="D55" s="346"/>
      <c r="E55" s="346"/>
      <c r="F55" s="346"/>
    </row>
    <row r="56" spans="1:6" x14ac:dyDescent="0.25">
      <c r="A56" s="350" t="s">
        <v>517</v>
      </c>
      <c r="B56" s="346"/>
      <c r="C56" s="346"/>
      <c r="D56" s="346"/>
      <c r="E56" s="346"/>
      <c r="F56" s="346"/>
    </row>
    <row r="57" spans="1:6" x14ac:dyDescent="0.25">
      <c r="A57" s="350" t="s">
        <v>518</v>
      </c>
      <c r="B57" s="346"/>
      <c r="C57" s="346"/>
      <c r="D57" s="346"/>
      <c r="E57" s="346"/>
      <c r="F57" s="346"/>
    </row>
    <row r="58" spans="1:6" x14ac:dyDescent="0.25">
      <c r="A58" s="350" t="s">
        <v>519</v>
      </c>
      <c r="B58" s="346"/>
      <c r="C58" s="346"/>
      <c r="D58" s="346"/>
      <c r="E58" s="346"/>
      <c r="F58" s="346"/>
    </row>
    <row r="59" spans="1:6" x14ac:dyDescent="0.25">
      <c r="A59" s="350" t="s">
        <v>520</v>
      </c>
      <c r="B59" s="346"/>
      <c r="C59" s="346"/>
      <c r="D59" s="346"/>
      <c r="E59" s="346"/>
      <c r="F59" s="346"/>
    </row>
    <row r="60" spans="1:6" x14ac:dyDescent="0.25">
      <c r="A60" s="350"/>
      <c r="B60" s="346"/>
      <c r="C60" s="346"/>
      <c r="D60" s="346"/>
      <c r="E60" s="346"/>
      <c r="F60" s="346"/>
    </row>
    <row r="61" spans="1:6" x14ac:dyDescent="0.25">
      <c r="A61" s="351" t="s">
        <v>521</v>
      </c>
      <c r="B61" s="346"/>
      <c r="C61" s="346"/>
      <c r="D61" s="346"/>
      <c r="E61" s="346"/>
      <c r="F61" s="346"/>
    </row>
    <row r="62" spans="1:6" x14ac:dyDescent="0.25">
      <c r="A62" s="351" t="s">
        <v>522</v>
      </c>
      <c r="B62" s="346"/>
      <c r="C62" s="346"/>
      <c r="D62" s="346"/>
      <c r="E62" s="346"/>
      <c r="F62" s="346"/>
    </row>
    <row r="63" spans="1:6" x14ac:dyDescent="0.25">
      <c r="A63" s="351" t="s">
        <v>523</v>
      </c>
      <c r="B63" s="346"/>
      <c r="C63" s="346"/>
      <c r="D63" s="346"/>
      <c r="E63" s="346"/>
      <c r="F63" s="346"/>
    </row>
    <row r="64" spans="1:6" x14ac:dyDescent="0.25">
      <c r="A64" s="351" t="s">
        <v>524</v>
      </c>
    </row>
    <row r="65" spans="1:1" x14ac:dyDescent="0.25">
      <c r="A65" s="351" t="s">
        <v>525</v>
      </c>
    </row>
    <row r="66" spans="1:1" x14ac:dyDescent="0.25">
      <c r="A66" s="351" t="s">
        <v>526</v>
      </c>
    </row>
    <row r="68" spans="1:1" x14ac:dyDescent="0.25">
      <c r="A68" s="346" t="s">
        <v>527</v>
      </c>
    </row>
    <row r="69" spans="1:1" x14ac:dyDescent="0.25">
      <c r="A69" s="346" t="s">
        <v>528</v>
      </c>
    </row>
    <row r="70" spans="1:1" x14ac:dyDescent="0.25">
      <c r="A70" s="346" t="s">
        <v>529</v>
      </c>
    </row>
    <row r="71" spans="1:1" x14ac:dyDescent="0.25">
      <c r="A71" s="346" t="s">
        <v>530</v>
      </c>
    </row>
    <row r="72" spans="1:1" x14ac:dyDescent="0.25">
      <c r="A72" s="346" t="s">
        <v>531</v>
      </c>
    </row>
    <row r="73" spans="1:1" x14ac:dyDescent="0.25">
      <c r="A73" s="346" t="s">
        <v>532</v>
      </c>
    </row>
    <row r="75" spans="1:1" x14ac:dyDescent="0.25">
      <c r="A75" s="346" t="s">
        <v>437</v>
      </c>
    </row>
  </sheetData>
  <sheetProtection sheet="1"/>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G106"/>
  <sheetViews>
    <sheetView workbookViewId="0">
      <selection activeCell="A47" sqref="A47"/>
    </sheetView>
  </sheetViews>
  <sheetFormatPr defaultRowHeight="15.75" x14ac:dyDescent="0.25"/>
  <cols>
    <col min="1" max="1" width="64.19921875" customWidth="1"/>
  </cols>
  <sheetData>
    <row r="3" spans="1:7" x14ac:dyDescent="0.25">
      <c r="A3" s="345" t="s">
        <v>533</v>
      </c>
      <c r="B3" s="345"/>
      <c r="C3" s="345"/>
      <c r="D3" s="345"/>
      <c r="E3" s="345"/>
      <c r="F3" s="345"/>
      <c r="G3" s="345"/>
    </row>
    <row r="4" spans="1:7" x14ac:dyDescent="0.25">
      <c r="A4" s="345"/>
      <c r="B4" s="345"/>
      <c r="C4" s="345"/>
      <c r="D4" s="345"/>
      <c r="E4" s="345"/>
      <c r="F4" s="345"/>
      <c r="G4" s="345"/>
    </row>
    <row r="5" spans="1:7" x14ac:dyDescent="0.25">
      <c r="A5" s="346" t="s">
        <v>439</v>
      </c>
    </row>
    <row r="6" spans="1:7" x14ac:dyDescent="0.25">
      <c r="A6" s="346" t="str">
        <f>CONCATENATE(inputPrYr!D9," estimated expenditures show that at the end of this year")</f>
        <v>2015 estimated expenditures show that at the end of this year</v>
      </c>
    </row>
    <row r="7" spans="1:7" x14ac:dyDescent="0.25">
      <c r="A7" s="346" t="s">
        <v>534</v>
      </c>
    </row>
    <row r="8" spans="1:7" x14ac:dyDescent="0.25">
      <c r="A8" s="346" t="s">
        <v>535</v>
      </c>
    </row>
    <row r="10" spans="1:7" x14ac:dyDescent="0.25">
      <c r="A10" t="s">
        <v>441</v>
      </c>
    </row>
    <row r="11" spans="1:7" x14ac:dyDescent="0.25">
      <c r="A11" t="s">
        <v>442</v>
      </c>
    </row>
    <row r="12" spans="1:7" x14ac:dyDescent="0.25">
      <c r="A12" t="s">
        <v>443</v>
      </c>
    </row>
    <row r="13" spans="1:7" x14ac:dyDescent="0.25">
      <c r="A13" s="345"/>
      <c r="B13" s="345"/>
      <c r="C13" s="345"/>
      <c r="D13" s="345"/>
      <c r="E13" s="345"/>
      <c r="F13" s="345"/>
      <c r="G13" s="345"/>
    </row>
    <row r="14" spans="1:7" x14ac:dyDescent="0.25">
      <c r="A14" s="347" t="s">
        <v>536</v>
      </c>
    </row>
    <row r="15" spans="1:7" x14ac:dyDescent="0.25">
      <c r="A15" s="346"/>
    </row>
    <row r="16" spans="1:7" x14ac:dyDescent="0.25">
      <c r="A16" s="346" t="s">
        <v>537</v>
      </c>
    </row>
    <row r="17" spans="1:7" x14ac:dyDescent="0.25">
      <c r="A17" s="346" t="s">
        <v>538</v>
      </c>
    </row>
    <row r="18" spans="1:7" x14ac:dyDescent="0.25">
      <c r="A18" s="346" t="s">
        <v>539</v>
      </c>
    </row>
    <row r="19" spans="1:7" x14ac:dyDescent="0.25">
      <c r="A19" s="346"/>
    </row>
    <row r="20" spans="1:7" x14ac:dyDescent="0.25">
      <c r="A20" s="346" t="s">
        <v>540</v>
      </c>
    </row>
    <row r="21" spans="1:7" x14ac:dyDescent="0.25">
      <c r="A21" s="346" t="s">
        <v>541</v>
      </c>
    </row>
    <row r="22" spans="1:7" x14ac:dyDescent="0.25">
      <c r="A22" s="346" t="s">
        <v>542</v>
      </c>
    </row>
    <row r="23" spans="1:7" x14ac:dyDescent="0.25">
      <c r="A23" s="346" t="s">
        <v>543</v>
      </c>
    </row>
    <row r="24" spans="1:7" x14ac:dyDescent="0.25">
      <c r="A24" s="346"/>
    </row>
    <row r="25" spans="1:7" x14ac:dyDescent="0.25">
      <c r="A25" s="347" t="s">
        <v>505</v>
      </c>
    </row>
    <row r="26" spans="1:7" x14ac:dyDescent="0.25">
      <c r="A26" s="347"/>
    </row>
    <row r="27" spans="1:7" x14ac:dyDescent="0.25">
      <c r="A27" s="346" t="s">
        <v>506</v>
      </c>
    </row>
    <row r="28" spans="1:7" x14ac:dyDescent="0.25">
      <c r="A28" s="346" t="s">
        <v>507</v>
      </c>
      <c r="B28" s="346"/>
      <c r="C28" s="346"/>
      <c r="D28" s="346"/>
      <c r="E28" s="346"/>
      <c r="F28" s="346"/>
    </row>
    <row r="29" spans="1:7" x14ac:dyDescent="0.25">
      <c r="A29" s="346" t="s">
        <v>508</v>
      </c>
      <c r="B29" s="346"/>
      <c r="C29" s="346"/>
      <c r="D29" s="346"/>
      <c r="E29" s="346"/>
      <c r="F29" s="346"/>
    </row>
    <row r="30" spans="1:7" x14ac:dyDescent="0.25">
      <c r="A30" s="346" t="s">
        <v>509</v>
      </c>
      <c r="B30" s="346"/>
      <c r="C30" s="346"/>
      <c r="D30" s="346"/>
      <c r="E30" s="346"/>
      <c r="F30" s="346"/>
    </row>
    <row r="31" spans="1:7" x14ac:dyDescent="0.25">
      <c r="A31" s="346"/>
    </row>
    <row r="32" spans="1:7" x14ac:dyDescent="0.25">
      <c r="A32" s="347" t="s">
        <v>510</v>
      </c>
      <c r="B32" s="347"/>
      <c r="C32" s="347"/>
      <c r="D32" s="347"/>
      <c r="E32" s="347"/>
      <c r="F32" s="347"/>
      <c r="G32" s="347"/>
    </row>
    <row r="33" spans="1:7" x14ac:dyDescent="0.25">
      <c r="A33" s="347" t="s">
        <v>511</v>
      </c>
      <c r="B33" s="347"/>
      <c r="C33" s="347"/>
      <c r="D33" s="347"/>
      <c r="E33" s="347"/>
      <c r="F33" s="347"/>
      <c r="G33" s="347"/>
    </row>
    <row r="34" spans="1:7" x14ac:dyDescent="0.25">
      <c r="A34" s="347"/>
      <c r="B34" s="347"/>
      <c r="C34" s="347"/>
      <c r="D34" s="347"/>
      <c r="E34" s="347"/>
      <c r="F34" s="347"/>
      <c r="G34" s="347"/>
    </row>
    <row r="35" spans="1:7" x14ac:dyDescent="0.25">
      <c r="A35" s="346" t="s">
        <v>544</v>
      </c>
      <c r="B35" s="346"/>
      <c r="C35" s="346"/>
      <c r="D35" s="346"/>
      <c r="E35" s="346"/>
      <c r="F35" s="346"/>
      <c r="G35" s="346"/>
    </row>
    <row r="36" spans="1:7" x14ac:dyDescent="0.25">
      <c r="A36" s="346" t="s">
        <v>545</v>
      </c>
      <c r="B36" s="346"/>
      <c r="C36" s="346"/>
      <c r="D36" s="346"/>
      <c r="E36" s="346"/>
      <c r="F36" s="346"/>
      <c r="G36" s="346"/>
    </row>
    <row r="37" spans="1:7" x14ac:dyDescent="0.25">
      <c r="A37" s="346" t="s">
        <v>546</v>
      </c>
      <c r="B37" s="346"/>
      <c r="C37" s="346"/>
      <c r="D37" s="346"/>
      <c r="E37" s="346"/>
      <c r="F37" s="346"/>
      <c r="G37" s="346"/>
    </row>
    <row r="38" spans="1:7" x14ac:dyDescent="0.25">
      <c r="A38" s="346" t="s">
        <v>547</v>
      </c>
      <c r="B38" s="346"/>
      <c r="C38" s="346"/>
      <c r="D38" s="346"/>
      <c r="E38" s="346"/>
      <c r="F38" s="346"/>
      <c r="G38" s="346"/>
    </row>
    <row r="39" spans="1:7" x14ac:dyDescent="0.25">
      <c r="A39" s="346" t="s">
        <v>548</v>
      </c>
      <c r="B39" s="346"/>
      <c r="C39" s="346"/>
      <c r="D39" s="346"/>
      <c r="E39" s="346"/>
      <c r="F39" s="346"/>
      <c r="G39" s="346"/>
    </row>
    <row r="40" spans="1:7" x14ac:dyDescent="0.25">
      <c r="A40" s="347"/>
      <c r="B40" s="347"/>
      <c r="C40" s="347"/>
      <c r="D40" s="347"/>
      <c r="E40" s="347"/>
      <c r="F40" s="347"/>
      <c r="G40" s="347"/>
    </row>
    <row r="41" spans="1:7" x14ac:dyDescent="0.25">
      <c r="A41" s="350" t="str">
        <f>CONCATENATE("So, let's look to see if any of your ",inputPrYr!D9-1," expenditures can")</f>
        <v>So, let's look to see if any of your 2014 expenditures can</v>
      </c>
      <c r="B41" s="346"/>
      <c r="C41" s="346"/>
      <c r="D41" s="346"/>
      <c r="E41" s="346"/>
      <c r="F41" s="346"/>
    </row>
    <row r="42" spans="1:7" x14ac:dyDescent="0.25">
      <c r="A42" s="350" t="s">
        <v>512</v>
      </c>
      <c r="B42" s="346"/>
      <c r="C42" s="346"/>
      <c r="D42" s="346"/>
      <c r="E42" s="346"/>
      <c r="F42" s="346"/>
    </row>
    <row r="43" spans="1:7" x14ac:dyDescent="0.25">
      <c r="A43" s="350" t="s">
        <v>396</v>
      </c>
      <c r="B43" s="346"/>
      <c r="C43" s="346"/>
      <c r="D43" s="346"/>
      <c r="E43" s="346"/>
      <c r="F43" s="346"/>
    </row>
    <row r="44" spans="1:7" x14ac:dyDescent="0.25">
      <c r="A44" s="350" t="s">
        <v>397</v>
      </c>
      <c r="B44" s="346"/>
      <c r="C44" s="346"/>
      <c r="D44" s="346"/>
      <c r="E44" s="346"/>
      <c r="F44" s="346"/>
    </row>
    <row r="45" spans="1:7" x14ac:dyDescent="0.25">
      <c r="A45" s="346"/>
    </row>
    <row r="46" spans="1:7" x14ac:dyDescent="0.25">
      <c r="A46" s="350" t="str">
        <f>CONCATENATE("Additionally, do your ",inputPrYr!D9-1," receipts contain a reimbursement")</f>
        <v>Additionally, do your 2014 receipts contain a reimbursement</v>
      </c>
      <c r="B46" s="346"/>
      <c r="C46" s="346"/>
      <c r="D46" s="346"/>
      <c r="E46" s="346"/>
      <c r="F46" s="346"/>
    </row>
    <row r="47" spans="1:7" x14ac:dyDescent="0.25">
      <c r="A47" s="350" t="s">
        <v>398</v>
      </c>
      <c r="B47" s="346"/>
      <c r="C47" s="346"/>
      <c r="D47" s="346"/>
      <c r="E47" s="346"/>
      <c r="F47" s="346"/>
    </row>
    <row r="48" spans="1:7" x14ac:dyDescent="0.25">
      <c r="A48" s="350" t="s">
        <v>399</v>
      </c>
      <c r="B48" s="346"/>
      <c r="C48" s="346"/>
      <c r="D48" s="346"/>
      <c r="E48" s="346"/>
      <c r="F48" s="346"/>
    </row>
    <row r="49" spans="1:7" x14ac:dyDescent="0.25">
      <c r="A49" s="346"/>
      <c r="B49" s="346"/>
      <c r="C49" s="346"/>
      <c r="D49" s="346"/>
      <c r="E49" s="346"/>
      <c r="F49" s="346"/>
      <c r="G49" s="346"/>
    </row>
    <row r="50" spans="1:7" x14ac:dyDescent="0.25">
      <c r="A50" s="346" t="s">
        <v>466</v>
      </c>
      <c r="B50" s="346"/>
      <c r="C50" s="346"/>
      <c r="D50" s="346"/>
      <c r="E50" s="346"/>
      <c r="F50" s="346"/>
      <c r="G50" s="346"/>
    </row>
    <row r="51" spans="1:7" x14ac:dyDescent="0.25">
      <c r="A51" s="346" t="s">
        <v>467</v>
      </c>
      <c r="B51" s="346"/>
      <c r="C51" s="346"/>
      <c r="D51" s="346"/>
      <c r="E51" s="346"/>
      <c r="F51" s="346"/>
      <c r="G51" s="346"/>
    </row>
    <row r="52" spans="1:7" x14ac:dyDescent="0.25">
      <c r="A52" s="346" t="s">
        <v>468</v>
      </c>
      <c r="B52" s="346"/>
      <c r="C52" s="346"/>
      <c r="D52" s="346"/>
      <c r="E52" s="346"/>
      <c r="F52" s="346"/>
      <c r="G52" s="346"/>
    </row>
    <row r="53" spans="1:7" x14ac:dyDescent="0.25">
      <c r="A53" s="346" t="s">
        <v>469</v>
      </c>
      <c r="B53" s="346"/>
      <c r="C53" s="346"/>
      <c r="D53" s="346"/>
      <c r="E53" s="346"/>
      <c r="F53" s="346"/>
      <c r="G53" s="346"/>
    </row>
    <row r="54" spans="1:7" x14ac:dyDescent="0.25">
      <c r="A54" s="346" t="s">
        <v>470</v>
      </c>
      <c r="B54" s="346"/>
      <c r="C54" s="346"/>
      <c r="D54" s="346"/>
      <c r="E54" s="346"/>
      <c r="F54" s="346"/>
      <c r="G54" s="346"/>
    </row>
    <row r="55" spans="1:7" x14ac:dyDescent="0.25">
      <c r="A55" s="346"/>
      <c r="B55" s="346"/>
      <c r="C55" s="346"/>
      <c r="D55" s="346"/>
      <c r="E55" s="346"/>
      <c r="F55" s="346"/>
      <c r="G55" s="346"/>
    </row>
    <row r="56" spans="1:7" x14ac:dyDescent="0.25">
      <c r="A56" s="350" t="s">
        <v>408</v>
      </c>
      <c r="B56" s="346"/>
      <c r="C56" s="346"/>
      <c r="D56" s="346"/>
      <c r="E56" s="346"/>
      <c r="F56" s="346"/>
    </row>
    <row r="57" spans="1:7" x14ac:dyDescent="0.25">
      <c r="A57" s="350" t="s">
        <v>409</v>
      </c>
      <c r="B57" s="346"/>
      <c r="C57" s="346"/>
      <c r="D57" s="346"/>
      <c r="E57" s="346"/>
      <c r="F57" s="346"/>
    </row>
    <row r="58" spans="1:7" x14ac:dyDescent="0.25">
      <c r="A58" s="350" t="s">
        <v>410</v>
      </c>
      <c r="B58" s="346"/>
      <c r="C58" s="346"/>
      <c r="D58" s="346"/>
      <c r="E58" s="346"/>
      <c r="F58" s="346"/>
    </row>
    <row r="59" spans="1:7" x14ac:dyDescent="0.25">
      <c r="A59" s="350"/>
      <c r="B59" s="346"/>
      <c r="C59" s="346"/>
      <c r="D59" s="346"/>
      <c r="E59" s="346"/>
      <c r="F59" s="346"/>
    </row>
    <row r="60" spans="1:7" x14ac:dyDescent="0.25">
      <c r="A60" s="346" t="s">
        <v>549</v>
      </c>
      <c r="B60" s="346"/>
      <c r="C60" s="346"/>
      <c r="D60" s="346"/>
      <c r="E60" s="346"/>
      <c r="F60" s="346"/>
      <c r="G60" s="346"/>
    </row>
    <row r="61" spans="1:7" x14ac:dyDescent="0.25">
      <c r="A61" s="346" t="s">
        <v>550</v>
      </c>
      <c r="B61" s="346"/>
      <c r="C61" s="346"/>
      <c r="D61" s="346"/>
      <c r="E61" s="346"/>
      <c r="F61" s="346"/>
      <c r="G61" s="346"/>
    </row>
    <row r="62" spans="1:7" x14ac:dyDescent="0.25">
      <c r="A62" s="346" t="s">
        <v>551</v>
      </c>
      <c r="B62" s="346"/>
      <c r="C62" s="346"/>
      <c r="D62" s="346"/>
      <c r="E62" s="346"/>
      <c r="F62" s="346"/>
      <c r="G62" s="346"/>
    </row>
    <row r="63" spans="1:7" x14ac:dyDescent="0.25">
      <c r="A63" s="346" t="s">
        <v>552</v>
      </c>
      <c r="B63" s="346"/>
      <c r="C63" s="346"/>
      <c r="D63" s="346"/>
      <c r="E63" s="346"/>
      <c r="F63" s="346"/>
      <c r="G63" s="346"/>
    </row>
    <row r="64" spans="1:7" x14ac:dyDescent="0.25">
      <c r="A64" s="346" t="s">
        <v>553</v>
      </c>
      <c r="B64" s="346"/>
      <c r="C64" s="346"/>
      <c r="D64" s="346"/>
      <c r="E64" s="346"/>
      <c r="F64" s="346"/>
      <c r="G64" s="346"/>
    </row>
    <row r="66" spans="1:6" x14ac:dyDescent="0.25">
      <c r="A66" s="350" t="s">
        <v>516</v>
      </c>
      <c r="B66" s="346"/>
      <c r="C66" s="346"/>
      <c r="D66" s="346"/>
      <c r="E66" s="346"/>
      <c r="F66" s="346"/>
    </row>
    <row r="67" spans="1:6" x14ac:dyDescent="0.25">
      <c r="A67" s="350" t="s">
        <v>517</v>
      </c>
      <c r="B67" s="346"/>
      <c r="C67" s="346"/>
      <c r="D67" s="346"/>
      <c r="E67" s="346"/>
      <c r="F67" s="346"/>
    </row>
    <row r="68" spans="1:6" x14ac:dyDescent="0.25">
      <c r="A68" s="350" t="s">
        <v>518</v>
      </c>
      <c r="B68" s="346"/>
      <c r="C68" s="346"/>
      <c r="D68" s="346"/>
      <c r="E68" s="346"/>
      <c r="F68" s="346"/>
    </row>
    <row r="69" spans="1:6" x14ac:dyDescent="0.25">
      <c r="A69" s="350" t="s">
        <v>519</v>
      </c>
      <c r="B69" s="346"/>
      <c r="C69" s="346"/>
      <c r="D69" s="346"/>
      <c r="E69" s="346"/>
      <c r="F69" s="346"/>
    </row>
    <row r="70" spans="1:6" x14ac:dyDescent="0.25">
      <c r="A70" s="350" t="s">
        <v>520</v>
      </c>
      <c r="B70" s="346"/>
      <c r="C70" s="346"/>
      <c r="D70" s="346"/>
      <c r="E70" s="346"/>
      <c r="F70" s="346"/>
    </row>
    <row r="71" spans="1:6" x14ac:dyDescent="0.25">
      <c r="A71" s="346"/>
    </row>
    <row r="72" spans="1:6" x14ac:dyDescent="0.25">
      <c r="A72" s="346" t="s">
        <v>437</v>
      </c>
    </row>
    <row r="73" spans="1:6" x14ac:dyDescent="0.25">
      <c r="A73" s="346"/>
    </row>
    <row r="74" spans="1:6" x14ac:dyDescent="0.25">
      <c r="A74" s="346"/>
    </row>
    <row r="75" spans="1:6" x14ac:dyDescent="0.25">
      <c r="A75" s="346"/>
    </row>
    <row r="78" spans="1:6" x14ac:dyDescent="0.25">
      <c r="A78" s="347"/>
    </row>
    <row r="80" spans="1:6" x14ac:dyDescent="0.25">
      <c r="A80" s="346"/>
    </row>
    <row r="81" spans="1:1" x14ac:dyDescent="0.25">
      <c r="A81" s="346"/>
    </row>
    <row r="82" spans="1:1" x14ac:dyDescent="0.25">
      <c r="A82" s="346"/>
    </row>
    <row r="83" spans="1:1" x14ac:dyDescent="0.25">
      <c r="A83" s="346"/>
    </row>
    <row r="84" spans="1:1" x14ac:dyDescent="0.25">
      <c r="A84" s="346"/>
    </row>
    <row r="85" spans="1:1" x14ac:dyDescent="0.25">
      <c r="A85" s="346"/>
    </row>
    <row r="86" spans="1:1" x14ac:dyDescent="0.25">
      <c r="A86" s="346"/>
    </row>
    <row r="87" spans="1:1" x14ac:dyDescent="0.25">
      <c r="A87" s="346"/>
    </row>
    <row r="88" spans="1:1" x14ac:dyDescent="0.25">
      <c r="A88" s="346"/>
    </row>
    <row r="89" spans="1:1" x14ac:dyDescent="0.25">
      <c r="A89" s="346"/>
    </row>
    <row r="90" spans="1:1" x14ac:dyDescent="0.25">
      <c r="A90" s="346"/>
    </row>
    <row r="92" spans="1:1" x14ac:dyDescent="0.25">
      <c r="A92" s="346"/>
    </row>
    <row r="93" spans="1:1" x14ac:dyDescent="0.25">
      <c r="A93" s="346"/>
    </row>
    <row r="94" spans="1:1" x14ac:dyDescent="0.25">
      <c r="A94" s="346"/>
    </row>
    <row r="95" spans="1:1" x14ac:dyDescent="0.25">
      <c r="A95" s="346"/>
    </row>
    <row r="96" spans="1:1" x14ac:dyDescent="0.25">
      <c r="A96" s="346"/>
    </row>
    <row r="97" spans="1:1" x14ac:dyDescent="0.25">
      <c r="A97" s="346"/>
    </row>
    <row r="98" spans="1:1" x14ac:dyDescent="0.25">
      <c r="A98" s="346"/>
    </row>
    <row r="99" spans="1:1" x14ac:dyDescent="0.25">
      <c r="A99" s="346"/>
    </row>
    <row r="100" spans="1:1" x14ac:dyDescent="0.25">
      <c r="A100" s="346"/>
    </row>
    <row r="101" spans="1:1" x14ac:dyDescent="0.25">
      <c r="A101" s="346"/>
    </row>
    <row r="102" spans="1:1" x14ac:dyDescent="0.25">
      <c r="A102" s="346"/>
    </row>
    <row r="103" spans="1:1" x14ac:dyDescent="0.25">
      <c r="A103" s="346"/>
    </row>
    <row r="104" spans="1:1" x14ac:dyDescent="0.25">
      <c r="A104" s="346"/>
    </row>
    <row r="105" spans="1:1" x14ac:dyDescent="0.25">
      <c r="A105" s="346"/>
    </row>
    <row r="106" spans="1:1" x14ac:dyDescent="0.25">
      <c r="A106" s="346"/>
    </row>
  </sheetData>
  <sheetProtection sheet="1"/>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H52"/>
  <sheetViews>
    <sheetView workbookViewId="0">
      <selection activeCell="A9" sqref="A9"/>
    </sheetView>
  </sheetViews>
  <sheetFormatPr defaultRowHeight="15.75" x14ac:dyDescent="0.25"/>
  <cols>
    <col min="1" max="1" width="64.19921875" customWidth="1"/>
  </cols>
  <sheetData>
    <row r="3" spans="1:7" x14ac:dyDescent="0.25">
      <c r="A3" s="345" t="s">
        <v>554</v>
      </c>
      <c r="B3" s="345"/>
      <c r="C3" s="345"/>
      <c r="D3" s="345"/>
      <c r="E3" s="345"/>
      <c r="F3" s="345"/>
      <c r="G3" s="345"/>
    </row>
    <row r="4" spans="1:7" x14ac:dyDescent="0.25">
      <c r="A4" s="345" t="s">
        <v>555</v>
      </c>
      <c r="B4" s="345"/>
      <c r="C4" s="345"/>
      <c r="D4" s="345"/>
      <c r="E4" s="345"/>
      <c r="F4" s="345"/>
      <c r="G4" s="345"/>
    </row>
    <row r="5" spans="1:7" x14ac:dyDescent="0.25">
      <c r="A5" s="345"/>
      <c r="B5" s="345"/>
      <c r="C5" s="345"/>
      <c r="D5" s="345"/>
      <c r="E5" s="345"/>
      <c r="F5" s="345"/>
      <c r="G5" s="345"/>
    </row>
    <row r="6" spans="1:7" x14ac:dyDescent="0.25">
      <c r="A6" s="345"/>
      <c r="B6" s="345"/>
      <c r="C6" s="345"/>
      <c r="D6" s="345"/>
      <c r="E6" s="345"/>
      <c r="F6" s="345"/>
      <c r="G6" s="345"/>
    </row>
    <row r="7" spans="1:7" x14ac:dyDescent="0.25">
      <c r="A7" s="346" t="s">
        <v>382</v>
      </c>
    </row>
    <row r="8" spans="1:7" x14ac:dyDescent="0.25">
      <c r="A8" s="346" t="str">
        <f>CONCATENATE("estimated ",inputPrYr!D9," 'total expenditures' exceed your ",inputPrYr!D9,"")</f>
        <v>estimated 2015 'total expenditures' exceed your 2015</v>
      </c>
    </row>
    <row r="9" spans="1:7" x14ac:dyDescent="0.25">
      <c r="A9" s="349" t="s">
        <v>556</v>
      </c>
    </row>
    <row r="10" spans="1:7" x14ac:dyDescent="0.25">
      <c r="A10" s="346"/>
    </row>
    <row r="11" spans="1:7" x14ac:dyDescent="0.25">
      <c r="A11" s="346" t="s">
        <v>557</v>
      </c>
    </row>
    <row r="12" spans="1:7" x14ac:dyDescent="0.25">
      <c r="A12" s="346" t="s">
        <v>558</v>
      </c>
    </row>
    <row r="13" spans="1:7" x14ac:dyDescent="0.25">
      <c r="A13" s="346" t="s">
        <v>559</v>
      </c>
    </row>
    <row r="14" spans="1:7" x14ac:dyDescent="0.25">
      <c r="A14" s="346"/>
    </row>
    <row r="15" spans="1:7" x14ac:dyDescent="0.25">
      <c r="A15" s="347" t="s">
        <v>560</v>
      </c>
    </row>
    <row r="16" spans="1:7" x14ac:dyDescent="0.25">
      <c r="A16" s="345"/>
      <c r="B16" s="345"/>
      <c r="C16" s="345"/>
      <c r="D16" s="345"/>
      <c r="E16" s="345"/>
      <c r="F16" s="345"/>
      <c r="G16" s="345"/>
    </row>
    <row r="17" spans="1:8" x14ac:dyDescent="0.25">
      <c r="A17" s="352" t="s">
        <v>561</v>
      </c>
      <c r="B17" s="344"/>
      <c r="C17" s="344"/>
      <c r="D17" s="344"/>
      <c r="E17" s="344"/>
      <c r="F17" s="344"/>
      <c r="G17" s="344"/>
      <c r="H17" s="344"/>
    </row>
    <row r="18" spans="1:8" x14ac:dyDescent="0.25">
      <c r="A18" s="346" t="s">
        <v>562</v>
      </c>
      <c r="B18" s="353"/>
      <c r="C18" s="353"/>
      <c r="D18" s="353"/>
      <c r="E18" s="353"/>
      <c r="F18" s="353"/>
      <c r="G18" s="353"/>
    </row>
    <row r="19" spans="1:8" x14ac:dyDescent="0.25">
      <c r="A19" s="346" t="s">
        <v>563</v>
      </c>
    </row>
    <row r="20" spans="1:8" x14ac:dyDescent="0.25">
      <c r="A20" s="346" t="s">
        <v>564</v>
      </c>
    </row>
    <row r="22" spans="1:8" x14ac:dyDescent="0.25">
      <c r="A22" s="347" t="s">
        <v>565</v>
      </c>
    </row>
    <row r="24" spans="1:8" x14ac:dyDescent="0.25">
      <c r="A24" s="346" t="s">
        <v>566</v>
      </c>
    </row>
    <row r="25" spans="1:8" x14ac:dyDescent="0.25">
      <c r="A25" s="346" t="s">
        <v>567</v>
      </c>
    </row>
    <row r="26" spans="1:8" x14ac:dyDescent="0.25">
      <c r="A26" s="346" t="s">
        <v>568</v>
      </c>
    </row>
    <row r="28" spans="1:8" x14ac:dyDescent="0.25">
      <c r="A28" s="347" t="s">
        <v>569</v>
      </c>
    </row>
    <row r="30" spans="1:8" x14ac:dyDescent="0.25">
      <c r="A30" t="s">
        <v>570</v>
      </c>
    </row>
    <row r="31" spans="1:8" x14ac:dyDescent="0.25">
      <c r="A31" t="s">
        <v>571</v>
      </c>
    </row>
    <row r="32" spans="1:8" x14ac:dyDescent="0.25">
      <c r="A32" t="s">
        <v>572</v>
      </c>
    </row>
    <row r="33" spans="1:1" x14ac:dyDescent="0.25">
      <c r="A33" s="346" t="s">
        <v>573</v>
      </c>
    </row>
    <row r="35" spans="1:1" x14ac:dyDescent="0.25">
      <c r="A35" t="s">
        <v>574</v>
      </c>
    </row>
    <row r="36" spans="1:1" x14ac:dyDescent="0.25">
      <c r="A36" t="s">
        <v>575</v>
      </c>
    </row>
    <row r="37" spans="1:1" x14ac:dyDescent="0.25">
      <c r="A37" t="s">
        <v>576</v>
      </c>
    </row>
    <row r="38" spans="1:1" x14ac:dyDescent="0.25">
      <c r="A38" t="s">
        <v>577</v>
      </c>
    </row>
    <row r="40" spans="1:1" x14ac:dyDescent="0.25">
      <c r="A40" t="s">
        <v>578</v>
      </c>
    </row>
    <row r="41" spans="1:1" x14ac:dyDescent="0.25">
      <c r="A41" t="s">
        <v>579</v>
      </c>
    </row>
    <row r="42" spans="1:1" x14ac:dyDescent="0.25">
      <c r="A42" t="s">
        <v>580</v>
      </c>
    </row>
    <row r="43" spans="1:1" x14ac:dyDescent="0.25">
      <c r="A43" t="s">
        <v>581</v>
      </c>
    </row>
    <row r="44" spans="1:1" x14ac:dyDescent="0.25">
      <c r="A44" t="s">
        <v>582</v>
      </c>
    </row>
    <row r="45" spans="1:1" x14ac:dyDescent="0.25">
      <c r="A45" t="s">
        <v>583</v>
      </c>
    </row>
    <row r="47" spans="1:1" x14ac:dyDescent="0.25">
      <c r="A47" t="s">
        <v>584</v>
      </c>
    </row>
    <row r="48" spans="1:1" x14ac:dyDescent="0.25">
      <c r="A48" t="s">
        <v>585</v>
      </c>
    </row>
    <row r="49" spans="1:1" x14ac:dyDescent="0.25">
      <c r="A49" s="346" t="s">
        <v>586</v>
      </c>
    </row>
    <row r="50" spans="1:1" x14ac:dyDescent="0.25">
      <c r="A50" s="346" t="s">
        <v>587</v>
      </c>
    </row>
    <row r="52" spans="1:1" x14ac:dyDescent="0.25">
      <c r="A52" t="s">
        <v>437</v>
      </c>
    </row>
  </sheetData>
  <sheetProtection sheet="1"/>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54"/>
  <sheetViews>
    <sheetView workbookViewId="0">
      <selection sqref="A1:IV65536"/>
    </sheetView>
  </sheetViews>
  <sheetFormatPr defaultColWidth="8.796875" defaultRowHeight="14.25" x14ac:dyDescent="0.2"/>
  <cols>
    <col min="1" max="1" width="6.796875" style="457" customWidth="1"/>
    <col min="2" max="2" width="10.09765625" style="367" customWidth="1"/>
    <col min="3" max="3" width="6.69921875" style="367" customWidth="1"/>
    <col min="4" max="4" width="8.796875" style="367"/>
    <col min="5" max="5" width="1.3984375" style="367" customWidth="1"/>
    <col min="6" max="6" width="12.8984375" style="367" customWidth="1"/>
    <col min="7" max="7" width="2.296875" style="367" customWidth="1"/>
    <col min="8" max="8" width="8.796875" style="367" customWidth="1"/>
    <col min="9" max="9" width="1.796875" style="367" customWidth="1"/>
    <col min="10" max="10" width="7.69921875" style="367" customWidth="1"/>
    <col min="11" max="11" width="10.5" style="367" customWidth="1"/>
    <col min="12" max="12" width="6.796875" style="457" customWidth="1"/>
    <col min="13" max="14" width="8.796875" style="457"/>
    <col min="15" max="15" width="8.8984375" style="457" bestFit="1" customWidth="1"/>
    <col min="16" max="16384" width="8.796875" style="457"/>
  </cols>
  <sheetData>
    <row r="1" spans="1:12" x14ac:dyDescent="0.2">
      <c r="A1" s="366"/>
      <c r="B1" s="366"/>
      <c r="C1" s="366"/>
      <c r="D1" s="366"/>
      <c r="E1" s="366"/>
      <c r="F1" s="366"/>
      <c r="G1" s="366"/>
      <c r="H1" s="366"/>
      <c r="I1" s="366"/>
      <c r="J1" s="366"/>
      <c r="K1" s="366"/>
      <c r="L1" s="366"/>
    </row>
    <row r="2" spans="1:12" x14ac:dyDescent="0.2">
      <c r="A2" s="366"/>
      <c r="B2" s="366"/>
      <c r="C2" s="366"/>
      <c r="D2" s="366"/>
      <c r="E2" s="366"/>
      <c r="F2" s="366"/>
      <c r="G2" s="366"/>
      <c r="H2" s="366"/>
      <c r="I2" s="366"/>
      <c r="J2" s="366"/>
      <c r="K2" s="366"/>
      <c r="L2" s="366"/>
    </row>
    <row r="3" spans="1:12" x14ac:dyDescent="0.2">
      <c r="A3" s="366"/>
      <c r="B3" s="366"/>
      <c r="C3" s="366"/>
      <c r="D3" s="366"/>
      <c r="E3" s="366"/>
      <c r="F3" s="366"/>
      <c r="G3" s="366"/>
      <c r="H3" s="366"/>
      <c r="I3" s="366"/>
      <c r="J3" s="366"/>
      <c r="K3" s="366"/>
      <c r="L3" s="366"/>
    </row>
    <row r="4" spans="1:12" x14ac:dyDescent="0.2">
      <c r="A4" s="366"/>
      <c r="L4" s="366"/>
    </row>
    <row r="5" spans="1:12" ht="15" customHeight="1" x14ac:dyDescent="0.2">
      <c r="A5" s="366"/>
      <c r="L5" s="366"/>
    </row>
    <row r="6" spans="1:12" ht="33" customHeight="1" x14ac:dyDescent="0.2">
      <c r="A6" s="366"/>
      <c r="B6" s="908" t="s">
        <v>625</v>
      </c>
      <c r="C6" s="909"/>
      <c r="D6" s="909"/>
      <c r="E6" s="909"/>
      <c r="F6" s="909"/>
      <c r="G6" s="909"/>
      <c r="H6" s="909"/>
      <c r="I6" s="909"/>
      <c r="J6" s="909"/>
      <c r="K6" s="909"/>
      <c r="L6" s="368"/>
    </row>
    <row r="7" spans="1:12" ht="40.5" customHeight="1" x14ac:dyDescent="0.2">
      <c r="A7" s="366"/>
      <c r="B7" s="910" t="s">
        <v>626</v>
      </c>
      <c r="C7" s="911"/>
      <c r="D7" s="911"/>
      <c r="E7" s="911"/>
      <c r="F7" s="911"/>
      <c r="G7" s="911"/>
      <c r="H7" s="911"/>
      <c r="I7" s="911"/>
      <c r="J7" s="911"/>
      <c r="K7" s="911"/>
      <c r="L7" s="366"/>
    </row>
    <row r="8" spans="1:12" x14ac:dyDescent="0.2">
      <c r="A8" s="366"/>
      <c r="B8" s="912" t="s">
        <v>627</v>
      </c>
      <c r="C8" s="912"/>
      <c r="D8" s="912"/>
      <c r="E8" s="912"/>
      <c r="F8" s="912"/>
      <c r="G8" s="912"/>
      <c r="H8" s="912"/>
      <c r="I8" s="912"/>
      <c r="J8" s="912"/>
      <c r="K8" s="912"/>
      <c r="L8" s="366"/>
    </row>
    <row r="9" spans="1:12" x14ac:dyDescent="0.2">
      <c r="A9" s="366"/>
      <c r="L9" s="366"/>
    </row>
    <row r="10" spans="1:12" x14ac:dyDescent="0.2">
      <c r="A10" s="366"/>
      <c r="B10" s="912" t="s">
        <v>628</v>
      </c>
      <c r="C10" s="912"/>
      <c r="D10" s="912"/>
      <c r="E10" s="912"/>
      <c r="F10" s="912"/>
      <c r="G10" s="912"/>
      <c r="H10" s="912"/>
      <c r="I10" s="912"/>
      <c r="J10" s="912"/>
      <c r="K10" s="912"/>
      <c r="L10" s="366"/>
    </row>
    <row r="11" spans="1:12" x14ac:dyDescent="0.2">
      <c r="A11" s="366"/>
      <c r="B11" s="369"/>
      <c r="C11" s="369"/>
      <c r="D11" s="369"/>
      <c r="E11" s="369"/>
      <c r="F11" s="369"/>
      <c r="G11" s="369"/>
      <c r="H11" s="369"/>
      <c r="I11" s="369"/>
      <c r="J11" s="369"/>
      <c r="K11" s="369"/>
      <c r="L11" s="366"/>
    </row>
    <row r="12" spans="1:12" ht="32.25" customHeight="1" x14ac:dyDescent="0.2">
      <c r="A12" s="366"/>
      <c r="B12" s="913" t="s">
        <v>629</v>
      </c>
      <c r="C12" s="913"/>
      <c r="D12" s="913"/>
      <c r="E12" s="913"/>
      <c r="F12" s="913"/>
      <c r="G12" s="913"/>
      <c r="H12" s="913"/>
      <c r="I12" s="913"/>
      <c r="J12" s="913"/>
      <c r="K12" s="913"/>
      <c r="L12" s="366"/>
    </row>
    <row r="13" spans="1:12" x14ac:dyDescent="0.2">
      <c r="A13" s="366"/>
      <c r="L13" s="366"/>
    </row>
    <row r="14" spans="1:12" x14ac:dyDescent="0.2">
      <c r="A14" s="366"/>
      <c r="B14" s="370" t="s">
        <v>630</v>
      </c>
      <c r="L14" s="366"/>
    </row>
    <row r="15" spans="1:12" x14ac:dyDescent="0.2">
      <c r="A15" s="366"/>
      <c r="L15" s="366"/>
    </row>
    <row r="16" spans="1:12" x14ac:dyDescent="0.2">
      <c r="A16" s="366"/>
      <c r="B16" s="367" t="s">
        <v>631</v>
      </c>
      <c r="L16" s="366"/>
    </row>
    <row r="17" spans="1:12" x14ac:dyDescent="0.2">
      <c r="A17" s="366"/>
      <c r="B17" s="367" t="s">
        <v>632</v>
      </c>
      <c r="L17" s="366"/>
    </row>
    <row r="18" spans="1:12" x14ac:dyDescent="0.2">
      <c r="A18" s="366"/>
      <c r="L18" s="366"/>
    </row>
    <row r="19" spans="1:12" x14ac:dyDescent="0.2">
      <c r="A19" s="366"/>
      <c r="B19" s="370" t="s">
        <v>633</v>
      </c>
      <c r="L19" s="366"/>
    </row>
    <row r="20" spans="1:12" x14ac:dyDescent="0.2">
      <c r="A20" s="366"/>
      <c r="B20" s="370"/>
      <c r="L20" s="366"/>
    </row>
    <row r="21" spans="1:12" x14ac:dyDescent="0.2">
      <c r="A21" s="366"/>
      <c r="B21" s="367" t="s">
        <v>634</v>
      </c>
      <c r="L21" s="366"/>
    </row>
    <row r="22" spans="1:12" x14ac:dyDescent="0.2">
      <c r="A22" s="366"/>
      <c r="L22" s="366"/>
    </row>
    <row r="23" spans="1:12" x14ac:dyDescent="0.2">
      <c r="A23" s="366"/>
      <c r="B23" s="367" t="s">
        <v>635</v>
      </c>
      <c r="E23" s="367" t="s">
        <v>636</v>
      </c>
      <c r="F23" s="915">
        <v>133685008</v>
      </c>
      <c r="G23" s="915"/>
      <c r="L23" s="366"/>
    </row>
    <row r="24" spans="1:12" x14ac:dyDescent="0.2">
      <c r="A24" s="366"/>
      <c r="L24" s="366"/>
    </row>
    <row r="25" spans="1:12" x14ac:dyDescent="0.2">
      <c r="A25" s="366"/>
      <c r="C25" s="920">
        <f>F23</f>
        <v>133685008</v>
      </c>
      <c r="D25" s="920"/>
      <c r="E25" s="367" t="s">
        <v>637</v>
      </c>
      <c r="F25" s="371">
        <v>1000</v>
      </c>
      <c r="G25" s="371" t="s">
        <v>636</v>
      </c>
      <c r="H25" s="372">
        <f>F23/F25</f>
        <v>133685.008</v>
      </c>
      <c r="L25" s="366"/>
    </row>
    <row r="26" spans="1:12" ht="15" thickBot="1" x14ac:dyDescent="0.25">
      <c r="A26" s="366"/>
      <c r="L26" s="366"/>
    </row>
    <row r="27" spans="1:12" x14ac:dyDescent="0.2">
      <c r="A27" s="366"/>
      <c r="B27" s="373" t="s">
        <v>630</v>
      </c>
      <c r="C27" s="374"/>
      <c r="D27" s="374"/>
      <c r="E27" s="374"/>
      <c r="F27" s="374"/>
      <c r="G27" s="374"/>
      <c r="H27" s="374"/>
      <c r="I27" s="374"/>
      <c r="J27" s="374"/>
      <c r="K27" s="375"/>
      <c r="L27" s="366"/>
    </row>
    <row r="28" spans="1:12" x14ac:dyDescent="0.2">
      <c r="A28" s="366"/>
      <c r="B28" s="376">
        <f>F23</f>
        <v>133685008</v>
      </c>
      <c r="C28" s="377" t="s">
        <v>638</v>
      </c>
      <c r="D28" s="377"/>
      <c r="E28" s="377" t="s">
        <v>637</v>
      </c>
      <c r="F28" s="378">
        <v>1000</v>
      </c>
      <c r="G28" s="378" t="s">
        <v>636</v>
      </c>
      <c r="H28" s="379">
        <f>B28/F28</f>
        <v>133685.008</v>
      </c>
      <c r="I28" s="377" t="s">
        <v>639</v>
      </c>
      <c r="J28" s="377"/>
      <c r="K28" s="380"/>
      <c r="L28" s="366"/>
    </row>
    <row r="29" spans="1:12" ht="15" thickBot="1" x14ac:dyDescent="0.25">
      <c r="A29" s="366"/>
      <c r="B29" s="381"/>
      <c r="C29" s="382"/>
      <c r="D29" s="382"/>
      <c r="E29" s="382"/>
      <c r="F29" s="382"/>
      <c r="G29" s="382"/>
      <c r="H29" s="382"/>
      <c r="I29" s="382"/>
      <c r="J29" s="382"/>
      <c r="K29" s="383"/>
      <c r="L29" s="366"/>
    </row>
    <row r="30" spans="1:12" ht="40.5" customHeight="1" x14ac:dyDescent="0.2">
      <c r="A30" s="366"/>
      <c r="B30" s="921" t="s">
        <v>626</v>
      </c>
      <c r="C30" s="921"/>
      <c r="D30" s="921"/>
      <c r="E30" s="921"/>
      <c r="F30" s="921"/>
      <c r="G30" s="921"/>
      <c r="H30" s="921"/>
      <c r="I30" s="921"/>
      <c r="J30" s="921"/>
      <c r="K30" s="921"/>
      <c r="L30" s="366"/>
    </row>
    <row r="31" spans="1:12" x14ac:dyDescent="0.2">
      <c r="A31" s="366"/>
      <c r="B31" s="912" t="s">
        <v>640</v>
      </c>
      <c r="C31" s="912"/>
      <c r="D31" s="912"/>
      <c r="E31" s="912"/>
      <c r="F31" s="912"/>
      <c r="G31" s="912"/>
      <c r="H31" s="912"/>
      <c r="I31" s="912"/>
      <c r="J31" s="912"/>
      <c r="K31" s="912"/>
      <c r="L31" s="366"/>
    </row>
    <row r="32" spans="1:12" x14ac:dyDescent="0.2">
      <c r="A32" s="366"/>
      <c r="L32" s="366"/>
    </row>
    <row r="33" spans="1:12" x14ac:dyDescent="0.2">
      <c r="A33" s="366"/>
      <c r="B33" s="912" t="s">
        <v>641</v>
      </c>
      <c r="C33" s="912"/>
      <c r="D33" s="912"/>
      <c r="E33" s="912"/>
      <c r="F33" s="912"/>
      <c r="G33" s="912"/>
      <c r="H33" s="912"/>
      <c r="I33" s="912"/>
      <c r="J33" s="912"/>
      <c r="K33" s="912"/>
      <c r="L33" s="366"/>
    </row>
    <row r="34" spans="1:12" x14ac:dyDescent="0.2">
      <c r="A34" s="366"/>
      <c r="L34" s="366"/>
    </row>
    <row r="35" spans="1:12" ht="89.25" customHeight="1" x14ac:dyDescent="0.2">
      <c r="A35" s="366"/>
      <c r="B35" s="913" t="s">
        <v>642</v>
      </c>
      <c r="C35" s="922"/>
      <c r="D35" s="922"/>
      <c r="E35" s="922"/>
      <c r="F35" s="922"/>
      <c r="G35" s="922"/>
      <c r="H35" s="922"/>
      <c r="I35" s="922"/>
      <c r="J35" s="922"/>
      <c r="K35" s="922"/>
      <c r="L35" s="366"/>
    </row>
    <row r="36" spans="1:12" x14ac:dyDescent="0.2">
      <c r="A36" s="366"/>
      <c r="L36" s="366"/>
    </row>
    <row r="37" spans="1:12" x14ac:dyDescent="0.2">
      <c r="A37" s="366"/>
      <c r="B37" s="370" t="s">
        <v>643</v>
      </c>
      <c r="L37" s="366"/>
    </row>
    <row r="38" spans="1:12" x14ac:dyDescent="0.2">
      <c r="A38" s="366"/>
      <c r="L38" s="366"/>
    </row>
    <row r="39" spans="1:12" x14ac:dyDescent="0.2">
      <c r="A39" s="366"/>
      <c r="B39" s="367" t="s">
        <v>644</v>
      </c>
      <c r="L39" s="366"/>
    </row>
    <row r="40" spans="1:12" x14ac:dyDescent="0.2">
      <c r="A40" s="366"/>
      <c r="L40" s="366"/>
    </row>
    <row r="41" spans="1:12" x14ac:dyDescent="0.2">
      <c r="A41" s="366"/>
      <c r="C41" s="914">
        <v>3120000</v>
      </c>
      <c r="D41" s="914"/>
      <c r="E41" s="367" t="s">
        <v>637</v>
      </c>
      <c r="F41" s="371">
        <v>1000</v>
      </c>
      <c r="G41" s="371" t="s">
        <v>636</v>
      </c>
      <c r="H41" s="384">
        <f>C41/F41</f>
        <v>3120</v>
      </c>
      <c r="L41" s="366"/>
    </row>
    <row r="42" spans="1:12" x14ac:dyDescent="0.2">
      <c r="A42" s="366"/>
      <c r="L42" s="366"/>
    </row>
    <row r="43" spans="1:12" x14ac:dyDescent="0.2">
      <c r="A43" s="366"/>
      <c r="B43" s="367" t="s">
        <v>645</v>
      </c>
      <c r="L43" s="366"/>
    </row>
    <row r="44" spans="1:12" x14ac:dyDescent="0.2">
      <c r="A44" s="366"/>
      <c r="L44" s="366"/>
    </row>
    <row r="45" spans="1:12" x14ac:dyDescent="0.2">
      <c r="A45" s="366"/>
      <c r="B45" s="367" t="s">
        <v>646</v>
      </c>
      <c r="L45" s="366"/>
    </row>
    <row r="46" spans="1:12" ht="15" thickBot="1" x14ac:dyDescent="0.25">
      <c r="A46" s="366"/>
      <c r="L46" s="366"/>
    </row>
    <row r="47" spans="1:12" x14ac:dyDescent="0.2">
      <c r="A47" s="366"/>
      <c r="B47" s="385" t="s">
        <v>630</v>
      </c>
      <c r="C47" s="374"/>
      <c r="D47" s="374"/>
      <c r="E47" s="374"/>
      <c r="F47" s="374"/>
      <c r="G47" s="374"/>
      <c r="H47" s="374"/>
      <c r="I47" s="374"/>
      <c r="J47" s="374"/>
      <c r="K47" s="375"/>
      <c r="L47" s="366"/>
    </row>
    <row r="48" spans="1:12" x14ac:dyDescent="0.2">
      <c r="A48" s="366"/>
      <c r="B48" s="915">
        <v>133685008</v>
      </c>
      <c r="C48" s="915"/>
      <c r="D48" s="377" t="s">
        <v>647</v>
      </c>
      <c r="E48" s="377" t="s">
        <v>637</v>
      </c>
      <c r="F48" s="378">
        <v>1000</v>
      </c>
      <c r="G48" s="378" t="s">
        <v>636</v>
      </c>
      <c r="H48" s="379">
        <f>B48/F48</f>
        <v>133685.008</v>
      </c>
      <c r="I48" s="377" t="s">
        <v>648</v>
      </c>
      <c r="J48" s="377"/>
      <c r="K48" s="380"/>
      <c r="L48" s="366"/>
    </row>
    <row r="49" spans="1:24" x14ac:dyDescent="0.2">
      <c r="A49" s="366"/>
      <c r="B49" s="386"/>
      <c r="C49" s="377"/>
      <c r="D49" s="377"/>
      <c r="E49" s="377"/>
      <c r="F49" s="377"/>
      <c r="G49" s="377"/>
      <c r="H49" s="377"/>
      <c r="I49" s="377"/>
      <c r="J49" s="377"/>
      <c r="K49" s="380"/>
      <c r="L49" s="366"/>
    </row>
    <row r="50" spans="1:24" x14ac:dyDescent="0.2">
      <c r="A50" s="366"/>
      <c r="B50" s="387">
        <v>7067793</v>
      </c>
      <c r="C50" s="377" t="s">
        <v>649</v>
      </c>
      <c r="D50" s="377"/>
      <c r="E50" s="377" t="s">
        <v>637</v>
      </c>
      <c r="F50" s="379">
        <f>H48</f>
        <v>133685.008</v>
      </c>
      <c r="G50" s="916" t="s">
        <v>650</v>
      </c>
      <c r="H50" s="917"/>
      <c r="I50" s="378" t="s">
        <v>636</v>
      </c>
      <c r="J50" s="388">
        <f>B50/F50</f>
        <v>52.869002334203401</v>
      </c>
      <c r="K50" s="380"/>
      <c r="L50" s="366"/>
    </row>
    <row r="51" spans="1:24" ht="15" thickBot="1" x14ac:dyDescent="0.25">
      <c r="A51" s="366"/>
      <c r="B51" s="381"/>
      <c r="C51" s="382"/>
      <c r="D51" s="382"/>
      <c r="E51" s="382"/>
      <c r="F51" s="382"/>
      <c r="G51" s="382"/>
      <c r="H51" s="382"/>
      <c r="I51" s="918" t="s">
        <v>651</v>
      </c>
      <c r="J51" s="918"/>
      <c r="K51" s="919"/>
      <c r="L51" s="366"/>
      <c r="O51" s="389"/>
    </row>
    <row r="52" spans="1:24" ht="40.5" customHeight="1" x14ac:dyDescent="0.2">
      <c r="A52" s="366"/>
      <c r="B52" s="921" t="s">
        <v>626</v>
      </c>
      <c r="C52" s="921"/>
      <c r="D52" s="921"/>
      <c r="E52" s="921"/>
      <c r="F52" s="921"/>
      <c r="G52" s="921"/>
      <c r="H52" s="921"/>
      <c r="I52" s="921"/>
      <c r="J52" s="921"/>
      <c r="K52" s="921"/>
      <c r="L52" s="366"/>
    </row>
    <row r="53" spans="1:24" x14ac:dyDescent="0.2">
      <c r="A53" s="366"/>
      <c r="B53" s="912" t="s">
        <v>652</v>
      </c>
      <c r="C53" s="912"/>
      <c r="D53" s="912"/>
      <c r="E53" s="912"/>
      <c r="F53" s="912"/>
      <c r="G53" s="912"/>
      <c r="H53" s="912"/>
      <c r="I53" s="912"/>
      <c r="J53" s="912"/>
      <c r="K53" s="912"/>
      <c r="L53" s="366"/>
    </row>
    <row r="54" spans="1:24" x14ac:dyDescent="0.2">
      <c r="A54" s="366"/>
      <c r="B54" s="369"/>
      <c r="C54" s="369"/>
      <c r="D54" s="369"/>
      <c r="E54" s="369"/>
      <c r="F54" s="369"/>
      <c r="G54" s="369"/>
      <c r="H54" s="369"/>
      <c r="I54" s="369"/>
      <c r="J54" s="369"/>
      <c r="K54" s="369"/>
      <c r="L54" s="366"/>
    </row>
    <row r="55" spans="1:24" x14ac:dyDescent="0.2">
      <c r="A55" s="366"/>
      <c r="B55" s="908" t="s">
        <v>653</v>
      </c>
      <c r="C55" s="908"/>
      <c r="D55" s="908"/>
      <c r="E55" s="908"/>
      <c r="F55" s="908"/>
      <c r="G55" s="908"/>
      <c r="H55" s="908"/>
      <c r="I55" s="908"/>
      <c r="J55" s="908"/>
      <c r="K55" s="908"/>
      <c r="L55" s="366"/>
    </row>
    <row r="56" spans="1:24" ht="15" customHeight="1" x14ac:dyDescent="0.2">
      <c r="A56" s="366"/>
      <c r="L56" s="366"/>
    </row>
    <row r="57" spans="1:24" ht="74.25" customHeight="1" x14ac:dyDescent="0.2">
      <c r="A57" s="366"/>
      <c r="B57" s="913" t="s">
        <v>654</v>
      </c>
      <c r="C57" s="922"/>
      <c r="D57" s="922"/>
      <c r="E57" s="922"/>
      <c r="F57" s="922"/>
      <c r="G57" s="922"/>
      <c r="H57" s="922"/>
      <c r="I57" s="922"/>
      <c r="J57" s="922"/>
      <c r="K57" s="922"/>
      <c r="L57" s="366"/>
      <c r="M57" s="390"/>
      <c r="N57" s="391"/>
      <c r="O57" s="391"/>
      <c r="P57" s="391"/>
      <c r="Q57" s="391"/>
      <c r="R57" s="391"/>
      <c r="S57" s="391"/>
      <c r="T57" s="391"/>
      <c r="U57" s="391"/>
      <c r="V57" s="391"/>
      <c r="W57" s="391"/>
      <c r="X57" s="391"/>
    </row>
    <row r="58" spans="1:24" ht="15" customHeight="1" x14ac:dyDescent="0.2">
      <c r="A58" s="366"/>
      <c r="B58" s="913"/>
      <c r="C58" s="922"/>
      <c r="D58" s="922"/>
      <c r="E58" s="922"/>
      <c r="F58" s="922"/>
      <c r="G58" s="922"/>
      <c r="H58" s="922"/>
      <c r="I58" s="922"/>
      <c r="J58" s="922"/>
      <c r="K58" s="922"/>
      <c r="L58" s="366"/>
      <c r="M58" s="390"/>
      <c r="N58" s="391"/>
      <c r="O58" s="391"/>
      <c r="P58" s="391"/>
      <c r="Q58" s="391"/>
      <c r="R58" s="391"/>
      <c r="S58" s="391"/>
      <c r="T58" s="391"/>
      <c r="U58" s="391"/>
      <c r="V58" s="391"/>
      <c r="W58" s="391"/>
      <c r="X58" s="391"/>
    </row>
    <row r="59" spans="1:24" x14ac:dyDescent="0.2">
      <c r="A59" s="366"/>
      <c r="B59" s="370" t="s">
        <v>643</v>
      </c>
      <c r="L59" s="366"/>
      <c r="M59" s="391"/>
      <c r="N59" s="391"/>
      <c r="O59" s="391"/>
      <c r="P59" s="391"/>
      <c r="Q59" s="391"/>
      <c r="R59" s="391"/>
      <c r="S59" s="391"/>
      <c r="T59" s="391"/>
      <c r="U59" s="391"/>
      <c r="V59" s="391"/>
      <c r="W59" s="391"/>
      <c r="X59" s="391"/>
    </row>
    <row r="60" spans="1:24" x14ac:dyDescent="0.2">
      <c r="A60" s="366"/>
      <c r="L60" s="366"/>
      <c r="M60" s="391"/>
      <c r="N60" s="391"/>
      <c r="O60" s="391"/>
      <c r="P60" s="391"/>
      <c r="Q60" s="391"/>
      <c r="R60" s="391"/>
      <c r="S60" s="391"/>
      <c r="T60" s="391"/>
      <c r="U60" s="391"/>
      <c r="V60" s="391"/>
      <c r="W60" s="391"/>
      <c r="X60" s="391"/>
    </row>
    <row r="61" spans="1:24" x14ac:dyDescent="0.2">
      <c r="A61" s="366"/>
      <c r="B61" s="367" t="s">
        <v>655</v>
      </c>
      <c r="L61" s="366"/>
      <c r="M61" s="391"/>
      <c r="N61" s="391"/>
      <c r="O61" s="391"/>
      <c r="P61" s="391"/>
      <c r="Q61" s="391"/>
      <c r="R61" s="391"/>
      <c r="S61" s="391"/>
      <c r="T61" s="391"/>
      <c r="U61" s="391"/>
      <c r="V61" s="391"/>
      <c r="W61" s="391"/>
      <c r="X61" s="391"/>
    </row>
    <row r="62" spans="1:24" x14ac:dyDescent="0.2">
      <c r="A62" s="366"/>
      <c r="B62" s="367" t="s">
        <v>656</v>
      </c>
      <c r="L62" s="366"/>
      <c r="M62" s="391"/>
      <c r="N62" s="391"/>
      <c r="O62" s="391"/>
      <c r="P62" s="391"/>
      <c r="Q62" s="391"/>
      <c r="R62" s="391"/>
      <c r="S62" s="391"/>
      <c r="T62" s="391"/>
      <c r="U62" s="391"/>
      <c r="V62" s="391"/>
      <c r="W62" s="391"/>
      <c r="X62" s="391"/>
    </row>
    <row r="63" spans="1:24" x14ac:dyDescent="0.2">
      <c r="A63" s="366"/>
      <c r="B63" s="367" t="s">
        <v>657</v>
      </c>
      <c r="L63" s="366"/>
      <c r="M63" s="391"/>
      <c r="N63" s="391"/>
      <c r="O63" s="391"/>
      <c r="P63" s="391"/>
      <c r="Q63" s="391"/>
      <c r="R63" s="391"/>
      <c r="S63" s="391"/>
      <c r="T63" s="391"/>
      <c r="U63" s="391"/>
      <c r="V63" s="391"/>
      <c r="W63" s="391"/>
      <c r="X63" s="391"/>
    </row>
    <row r="64" spans="1:24" x14ac:dyDescent="0.2">
      <c r="A64" s="366"/>
      <c r="L64" s="366"/>
      <c r="M64" s="391"/>
      <c r="N64" s="391"/>
      <c r="O64" s="391"/>
      <c r="P64" s="391"/>
      <c r="Q64" s="391"/>
      <c r="R64" s="391"/>
      <c r="S64" s="391"/>
      <c r="T64" s="391"/>
      <c r="U64" s="391"/>
      <c r="V64" s="391"/>
      <c r="W64" s="391"/>
      <c r="X64" s="391"/>
    </row>
    <row r="65" spans="1:24" x14ac:dyDescent="0.2">
      <c r="A65" s="366"/>
      <c r="B65" s="367" t="s">
        <v>658</v>
      </c>
      <c r="L65" s="366"/>
      <c r="M65" s="391"/>
      <c r="N65" s="391"/>
      <c r="O65" s="391"/>
      <c r="P65" s="391"/>
      <c r="Q65" s="391"/>
      <c r="R65" s="391"/>
      <c r="S65" s="391"/>
      <c r="T65" s="391"/>
      <c r="U65" s="391"/>
      <c r="V65" s="391"/>
      <c r="W65" s="391"/>
      <c r="X65" s="391"/>
    </row>
    <row r="66" spans="1:24" x14ac:dyDescent="0.2">
      <c r="A66" s="366"/>
      <c r="B66" s="367" t="s">
        <v>659</v>
      </c>
      <c r="L66" s="366"/>
      <c r="M66" s="391"/>
      <c r="N66" s="391"/>
      <c r="O66" s="391"/>
      <c r="P66" s="391"/>
      <c r="Q66" s="391"/>
      <c r="R66" s="391"/>
      <c r="S66" s="391"/>
      <c r="T66" s="391"/>
      <c r="U66" s="391"/>
      <c r="V66" s="391"/>
      <c r="W66" s="391"/>
      <c r="X66" s="391"/>
    </row>
    <row r="67" spans="1:24" x14ac:dyDescent="0.2">
      <c r="A67" s="366"/>
      <c r="L67" s="366"/>
      <c r="M67" s="391"/>
      <c r="N67" s="391"/>
      <c r="O67" s="391"/>
      <c r="P67" s="391"/>
      <c r="Q67" s="391"/>
      <c r="R67" s="391"/>
      <c r="S67" s="391"/>
      <c r="T67" s="391"/>
      <c r="U67" s="391"/>
      <c r="V67" s="391"/>
      <c r="W67" s="391"/>
      <c r="X67" s="391"/>
    </row>
    <row r="68" spans="1:24" x14ac:dyDescent="0.2">
      <c r="A68" s="366"/>
      <c r="B68" s="367" t="s">
        <v>660</v>
      </c>
      <c r="L68" s="366"/>
      <c r="M68" s="392"/>
      <c r="N68" s="393"/>
      <c r="O68" s="393"/>
      <c r="P68" s="393"/>
      <c r="Q68" s="393"/>
      <c r="R68" s="393"/>
      <c r="S68" s="393"/>
      <c r="T68" s="393"/>
      <c r="U68" s="393"/>
      <c r="V68" s="393"/>
      <c r="W68" s="393"/>
      <c r="X68" s="391"/>
    </row>
    <row r="69" spans="1:24" x14ac:dyDescent="0.2">
      <c r="A69" s="366"/>
      <c r="B69" s="367" t="s">
        <v>661</v>
      </c>
      <c r="L69" s="366"/>
      <c r="M69" s="391"/>
      <c r="N69" s="391"/>
      <c r="O69" s="391"/>
      <c r="P69" s="391"/>
      <c r="Q69" s="391"/>
      <c r="R69" s="391"/>
      <c r="S69" s="391"/>
      <c r="T69" s="391"/>
      <c r="U69" s="391"/>
      <c r="V69" s="391"/>
      <c r="W69" s="391"/>
      <c r="X69" s="391"/>
    </row>
    <row r="70" spans="1:24" x14ac:dyDescent="0.2">
      <c r="A70" s="366"/>
      <c r="B70" s="367" t="s">
        <v>662</v>
      </c>
      <c r="L70" s="366"/>
      <c r="M70" s="391"/>
      <c r="N70" s="391"/>
      <c r="O70" s="391"/>
      <c r="P70" s="391"/>
      <c r="Q70" s="391"/>
      <c r="R70" s="391"/>
      <c r="S70" s="391"/>
      <c r="T70" s="391"/>
      <c r="U70" s="391"/>
      <c r="V70" s="391"/>
      <c r="W70" s="391"/>
      <c r="X70" s="391"/>
    </row>
    <row r="71" spans="1:24" ht="15" thickBot="1" x14ac:dyDescent="0.25">
      <c r="A71" s="366"/>
      <c r="B71" s="377"/>
      <c r="C71" s="377"/>
      <c r="D71" s="377"/>
      <c r="E71" s="377"/>
      <c r="F71" s="377"/>
      <c r="G71" s="377"/>
      <c r="H71" s="377"/>
      <c r="I71" s="377"/>
      <c r="J71" s="377"/>
      <c r="K71" s="377"/>
      <c r="L71" s="366"/>
    </row>
    <row r="72" spans="1:24" x14ac:dyDescent="0.2">
      <c r="A72" s="366"/>
      <c r="B72" s="373" t="s">
        <v>630</v>
      </c>
      <c r="C72" s="374"/>
      <c r="D72" s="374"/>
      <c r="E72" s="374"/>
      <c r="F72" s="374"/>
      <c r="G72" s="374"/>
      <c r="H72" s="374"/>
      <c r="I72" s="374"/>
      <c r="J72" s="374"/>
      <c r="K72" s="375"/>
      <c r="L72" s="394"/>
    </row>
    <row r="73" spans="1:24" x14ac:dyDescent="0.2">
      <c r="A73" s="366"/>
      <c r="B73" s="386"/>
      <c r="C73" s="377" t="s">
        <v>638</v>
      </c>
      <c r="D73" s="377"/>
      <c r="E73" s="377"/>
      <c r="F73" s="377"/>
      <c r="G73" s="377"/>
      <c r="H73" s="377"/>
      <c r="I73" s="377"/>
      <c r="J73" s="377"/>
      <c r="K73" s="380"/>
      <c r="L73" s="394"/>
    </row>
    <row r="74" spans="1:24" x14ac:dyDescent="0.2">
      <c r="A74" s="366"/>
      <c r="B74" s="386" t="s">
        <v>663</v>
      </c>
      <c r="C74" s="915">
        <v>133685008</v>
      </c>
      <c r="D74" s="915"/>
      <c r="E74" s="378" t="s">
        <v>637</v>
      </c>
      <c r="F74" s="378">
        <v>1000</v>
      </c>
      <c r="G74" s="378" t="s">
        <v>636</v>
      </c>
      <c r="H74" s="395">
        <f>C74/F74</f>
        <v>133685.008</v>
      </c>
      <c r="I74" s="377" t="s">
        <v>664</v>
      </c>
      <c r="J74" s="377"/>
      <c r="K74" s="380"/>
      <c r="L74" s="394"/>
    </row>
    <row r="75" spans="1:24" x14ac:dyDescent="0.2">
      <c r="A75" s="366"/>
      <c r="B75" s="386"/>
      <c r="C75" s="377"/>
      <c r="D75" s="377"/>
      <c r="E75" s="378"/>
      <c r="F75" s="377"/>
      <c r="G75" s="377"/>
      <c r="H75" s="377"/>
      <c r="I75" s="377"/>
      <c r="J75" s="377"/>
      <c r="K75" s="380"/>
      <c r="L75" s="394"/>
    </row>
    <row r="76" spans="1:24" x14ac:dyDescent="0.2">
      <c r="A76" s="366"/>
      <c r="B76" s="386"/>
      <c r="C76" s="377" t="s">
        <v>665</v>
      </c>
      <c r="D76" s="377"/>
      <c r="E76" s="378"/>
      <c r="F76" s="377" t="s">
        <v>664</v>
      </c>
      <c r="G76" s="377"/>
      <c r="H76" s="377"/>
      <c r="I76" s="377"/>
      <c r="J76" s="377"/>
      <c r="K76" s="380"/>
      <c r="L76" s="394"/>
    </row>
    <row r="77" spans="1:24" x14ac:dyDescent="0.2">
      <c r="A77" s="366"/>
      <c r="B77" s="386" t="s">
        <v>666</v>
      </c>
      <c r="C77" s="915">
        <v>5000</v>
      </c>
      <c r="D77" s="915"/>
      <c r="E77" s="378" t="s">
        <v>637</v>
      </c>
      <c r="F77" s="395">
        <f>H74</f>
        <v>133685.008</v>
      </c>
      <c r="G77" s="378" t="s">
        <v>636</v>
      </c>
      <c r="H77" s="388">
        <f>C77/F77</f>
        <v>3.740135169083432E-2</v>
      </c>
      <c r="I77" s="377" t="s">
        <v>667</v>
      </c>
      <c r="J77" s="377"/>
      <c r="K77" s="380"/>
      <c r="L77" s="394"/>
    </row>
    <row r="78" spans="1:24" x14ac:dyDescent="0.2">
      <c r="A78" s="366"/>
      <c r="B78" s="386"/>
      <c r="C78" s="377"/>
      <c r="D78" s="377"/>
      <c r="E78" s="378"/>
      <c r="F78" s="377"/>
      <c r="G78" s="377"/>
      <c r="H78" s="377"/>
      <c r="I78" s="377"/>
      <c r="J78" s="377"/>
      <c r="K78" s="380"/>
      <c r="L78" s="394"/>
    </row>
    <row r="79" spans="1:24" x14ac:dyDescent="0.2">
      <c r="A79" s="366"/>
      <c r="B79" s="396"/>
      <c r="C79" s="397" t="s">
        <v>668</v>
      </c>
      <c r="D79" s="397"/>
      <c r="E79" s="398"/>
      <c r="F79" s="397"/>
      <c r="G79" s="397"/>
      <c r="H79" s="397"/>
      <c r="I79" s="397"/>
      <c r="J79" s="397"/>
      <c r="K79" s="399"/>
      <c r="L79" s="394"/>
    </row>
    <row r="80" spans="1:24" x14ac:dyDescent="0.2">
      <c r="A80" s="366"/>
      <c r="B80" s="386" t="s">
        <v>669</v>
      </c>
      <c r="C80" s="915">
        <v>100000</v>
      </c>
      <c r="D80" s="915"/>
      <c r="E80" s="378" t="s">
        <v>234</v>
      </c>
      <c r="F80" s="378">
        <v>0.115</v>
      </c>
      <c r="G80" s="378" t="s">
        <v>636</v>
      </c>
      <c r="H80" s="395">
        <f>C80*F80</f>
        <v>11500</v>
      </c>
      <c r="I80" s="377" t="s">
        <v>670</v>
      </c>
      <c r="J80" s="377"/>
      <c r="K80" s="380"/>
      <c r="L80" s="394"/>
    </row>
    <row r="81" spans="1:12" x14ac:dyDescent="0.2">
      <c r="A81" s="366"/>
      <c r="B81" s="386"/>
      <c r="C81" s="377"/>
      <c r="D81" s="377"/>
      <c r="E81" s="378"/>
      <c r="F81" s="377"/>
      <c r="G81" s="377"/>
      <c r="H81" s="377"/>
      <c r="I81" s="377"/>
      <c r="J81" s="377"/>
      <c r="K81" s="380"/>
      <c r="L81" s="394"/>
    </row>
    <row r="82" spans="1:12" x14ac:dyDescent="0.2">
      <c r="A82" s="366"/>
      <c r="B82" s="396"/>
      <c r="C82" s="397" t="s">
        <v>671</v>
      </c>
      <c r="D82" s="397"/>
      <c r="E82" s="398"/>
      <c r="F82" s="397" t="s">
        <v>667</v>
      </c>
      <c r="G82" s="397"/>
      <c r="H82" s="397"/>
      <c r="I82" s="397"/>
      <c r="J82" s="397" t="s">
        <v>672</v>
      </c>
      <c r="K82" s="399"/>
      <c r="L82" s="394"/>
    </row>
    <row r="83" spans="1:12" x14ac:dyDescent="0.2">
      <c r="A83" s="366"/>
      <c r="B83" s="386" t="s">
        <v>673</v>
      </c>
      <c r="C83" s="923">
        <f>H80</f>
        <v>11500</v>
      </c>
      <c r="D83" s="923"/>
      <c r="E83" s="378" t="s">
        <v>234</v>
      </c>
      <c r="F83" s="388">
        <f>H77</f>
        <v>3.740135169083432E-2</v>
      </c>
      <c r="G83" s="378" t="s">
        <v>637</v>
      </c>
      <c r="H83" s="378">
        <v>1000</v>
      </c>
      <c r="I83" s="378" t="s">
        <v>636</v>
      </c>
      <c r="J83" s="400">
        <f>C83*F83/H83</f>
        <v>0.43011554444459466</v>
      </c>
      <c r="K83" s="380"/>
      <c r="L83" s="394"/>
    </row>
    <row r="84" spans="1:12" ht="15" thickBot="1" x14ac:dyDescent="0.25">
      <c r="A84" s="366"/>
      <c r="B84" s="381"/>
      <c r="C84" s="401"/>
      <c r="D84" s="401"/>
      <c r="E84" s="402"/>
      <c r="F84" s="403"/>
      <c r="G84" s="402"/>
      <c r="H84" s="402"/>
      <c r="I84" s="402"/>
      <c r="J84" s="404"/>
      <c r="K84" s="383"/>
      <c r="L84" s="394"/>
    </row>
    <row r="85" spans="1:12" ht="40.5" customHeight="1" x14ac:dyDescent="0.2">
      <c r="A85" s="366"/>
      <c r="B85" s="921" t="s">
        <v>626</v>
      </c>
      <c r="C85" s="921"/>
      <c r="D85" s="921"/>
      <c r="E85" s="921"/>
      <c r="F85" s="921"/>
      <c r="G85" s="921"/>
      <c r="H85" s="921"/>
      <c r="I85" s="921"/>
      <c r="J85" s="921"/>
      <c r="K85" s="921"/>
      <c r="L85" s="366"/>
    </row>
    <row r="86" spans="1:12" x14ac:dyDescent="0.2">
      <c r="A86" s="366"/>
      <c r="B86" s="908" t="s">
        <v>674</v>
      </c>
      <c r="C86" s="908"/>
      <c r="D86" s="908"/>
      <c r="E86" s="908"/>
      <c r="F86" s="908"/>
      <c r="G86" s="908"/>
      <c r="H86" s="908"/>
      <c r="I86" s="908"/>
      <c r="J86" s="908"/>
      <c r="K86" s="908"/>
      <c r="L86" s="366"/>
    </row>
    <row r="87" spans="1:12" x14ac:dyDescent="0.2">
      <c r="A87" s="366"/>
      <c r="B87" s="405"/>
      <c r="C87" s="405"/>
      <c r="D87" s="405"/>
      <c r="E87" s="405"/>
      <c r="F87" s="405"/>
      <c r="G87" s="405"/>
      <c r="H87" s="405"/>
      <c r="I87" s="405"/>
      <c r="J87" s="405"/>
      <c r="K87" s="405"/>
      <c r="L87" s="366"/>
    </row>
    <row r="88" spans="1:12" x14ac:dyDescent="0.2">
      <c r="A88" s="366"/>
      <c r="B88" s="908" t="s">
        <v>675</v>
      </c>
      <c r="C88" s="908"/>
      <c r="D88" s="908"/>
      <c r="E88" s="908"/>
      <c r="F88" s="908"/>
      <c r="G88" s="908"/>
      <c r="H88" s="908"/>
      <c r="I88" s="908"/>
      <c r="J88" s="908"/>
      <c r="K88" s="908"/>
      <c r="L88" s="366"/>
    </row>
    <row r="89" spans="1:12" x14ac:dyDescent="0.2">
      <c r="A89" s="366"/>
      <c r="B89" s="406"/>
      <c r="C89" s="406"/>
      <c r="D89" s="406"/>
      <c r="E89" s="406"/>
      <c r="F89" s="406"/>
      <c r="G89" s="406"/>
      <c r="H89" s="406"/>
      <c r="I89" s="406"/>
      <c r="J89" s="406"/>
      <c r="K89" s="406"/>
      <c r="L89" s="366"/>
    </row>
    <row r="90" spans="1:12" ht="45" customHeight="1" x14ac:dyDescent="0.2">
      <c r="A90" s="366"/>
      <c r="B90" s="913" t="s">
        <v>676</v>
      </c>
      <c r="C90" s="913"/>
      <c r="D90" s="913"/>
      <c r="E90" s="913"/>
      <c r="F90" s="913"/>
      <c r="G90" s="913"/>
      <c r="H90" s="913"/>
      <c r="I90" s="913"/>
      <c r="J90" s="913"/>
      <c r="K90" s="913"/>
      <c r="L90" s="366"/>
    </row>
    <row r="91" spans="1:12" ht="15" customHeight="1" thickBot="1" x14ac:dyDescent="0.25">
      <c r="A91" s="366"/>
      <c r="L91" s="366"/>
    </row>
    <row r="92" spans="1:12" ht="15" customHeight="1" x14ac:dyDescent="0.2">
      <c r="A92" s="366"/>
      <c r="B92" s="407" t="s">
        <v>630</v>
      </c>
      <c r="C92" s="408"/>
      <c r="D92" s="408"/>
      <c r="E92" s="408"/>
      <c r="F92" s="408"/>
      <c r="G92" s="408"/>
      <c r="H92" s="408"/>
      <c r="I92" s="408"/>
      <c r="J92" s="408"/>
      <c r="K92" s="409"/>
      <c r="L92" s="366"/>
    </row>
    <row r="93" spans="1:12" ht="15" customHeight="1" x14ac:dyDescent="0.2">
      <c r="A93" s="366"/>
      <c r="B93" s="410"/>
      <c r="C93" s="411" t="s">
        <v>638</v>
      </c>
      <c r="D93" s="411"/>
      <c r="E93" s="411"/>
      <c r="F93" s="411"/>
      <c r="G93" s="411"/>
      <c r="H93" s="411"/>
      <c r="I93" s="411"/>
      <c r="J93" s="411"/>
      <c r="K93" s="412"/>
      <c r="L93" s="366"/>
    </row>
    <row r="94" spans="1:12" ht="15" customHeight="1" x14ac:dyDescent="0.2">
      <c r="A94" s="366"/>
      <c r="B94" s="410" t="s">
        <v>663</v>
      </c>
      <c r="C94" s="915">
        <v>133685008</v>
      </c>
      <c r="D94" s="915"/>
      <c r="E94" s="378" t="s">
        <v>637</v>
      </c>
      <c r="F94" s="378">
        <v>1000</v>
      </c>
      <c r="G94" s="378" t="s">
        <v>636</v>
      </c>
      <c r="H94" s="395">
        <f>C94/F94</f>
        <v>133685.008</v>
      </c>
      <c r="I94" s="411" t="s">
        <v>664</v>
      </c>
      <c r="J94" s="411"/>
      <c r="K94" s="412"/>
      <c r="L94" s="366"/>
    </row>
    <row r="95" spans="1:12" ht="15" customHeight="1" x14ac:dyDescent="0.2">
      <c r="A95" s="366"/>
      <c r="B95" s="410"/>
      <c r="C95" s="411"/>
      <c r="D95" s="411"/>
      <c r="E95" s="378"/>
      <c r="F95" s="411"/>
      <c r="G95" s="411"/>
      <c r="H95" s="411"/>
      <c r="I95" s="411"/>
      <c r="J95" s="411"/>
      <c r="K95" s="412"/>
      <c r="L95" s="366"/>
    </row>
    <row r="96" spans="1:12" ht="15" customHeight="1" x14ac:dyDescent="0.2">
      <c r="A96" s="366"/>
      <c r="B96" s="410"/>
      <c r="C96" s="411" t="s">
        <v>665</v>
      </c>
      <c r="D96" s="411"/>
      <c r="E96" s="378"/>
      <c r="F96" s="411" t="s">
        <v>664</v>
      </c>
      <c r="G96" s="411"/>
      <c r="H96" s="411"/>
      <c r="I96" s="411"/>
      <c r="J96" s="411"/>
      <c r="K96" s="412"/>
      <c r="L96" s="366"/>
    </row>
    <row r="97" spans="1:12" ht="15" customHeight="1" x14ac:dyDescent="0.2">
      <c r="A97" s="366"/>
      <c r="B97" s="410" t="s">
        <v>666</v>
      </c>
      <c r="C97" s="915">
        <v>50000</v>
      </c>
      <c r="D97" s="915"/>
      <c r="E97" s="378" t="s">
        <v>637</v>
      </c>
      <c r="F97" s="395">
        <f>H94</f>
        <v>133685.008</v>
      </c>
      <c r="G97" s="378" t="s">
        <v>636</v>
      </c>
      <c r="H97" s="388">
        <f>C97/F97</f>
        <v>0.37401351690834322</v>
      </c>
      <c r="I97" s="411" t="s">
        <v>667</v>
      </c>
      <c r="J97" s="411"/>
      <c r="K97" s="412"/>
      <c r="L97" s="366"/>
    </row>
    <row r="98" spans="1:12" ht="15" customHeight="1" x14ac:dyDescent="0.2">
      <c r="A98" s="366"/>
      <c r="B98" s="410"/>
      <c r="C98" s="411"/>
      <c r="D98" s="411"/>
      <c r="E98" s="378"/>
      <c r="F98" s="411"/>
      <c r="G98" s="411"/>
      <c r="H98" s="411"/>
      <c r="I98" s="411"/>
      <c r="J98" s="411"/>
      <c r="K98" s="412"/>
      <c r="L98" s="366"/>
    </row>
    <row r="99" spans="1:12" ht="15" customHeight="1" x14ac:dyDescent="0.2">
      <c r="A99" s="366"/>
      <c r="B99" s="413"/>
      <c r="C99" s="414" t="s">
        <v>677</v>
      </c>
      <c r="D99" s="414"/>
      <c r="E99" s="398"/>
      <c r="F99" s="414"/>
      <c r="G99" s="414"/>
      <c r="H99" s="414"/>
      <c r="I99" s="414"/>
      <c r="J99" s="414"/>
      <c r="K99" s="415"/>
      <c r="L99" s="366"/>
    </row>
    <row r="100" spans="1:12" ht="15" customHeight="1" x14ac:dyDescent="0.2">
      <c r="A100" s="366"/>
      <c r="B100" s="410" t="s">
        <v>669</v>
      </c>
      <c r="C100" s="915">
        <v>2500000</v>
      </c>
      <c r="D100" s="915"/>
      <c r="E100" s="378" t="s">
        <v>234</v>
      </c>
      <c r="F100" s="416">
        <v>0.3</v>
      </c>
      <c r="G100" s="378" t="s">
        <v>636</v>
      </c>
      <c r="H100" s="395">
        <f>C100*F100</f>
        <v>750000</v>
      </c>
      <c r="I100" s="411" t="s">
        <v>670</v>
      </c>
      <c r="J100" s="411"/>
      <c r="K100" s="412"/>
      <c r="L100" s="366"/>
    </row>
    <row r="101" spans="1:12" ht="15" customHeight="1" x14ac:dyDescent="0.2">
      <c r="A101" s="366"/>
      <c r="B101" s="410"/>
      <c r="C101" s="411"/>
      <c r="D101" s="411"/>
      <c r="E101" s="378"/>
      <c r="F101" s="411"/>
      <c r="G101" s="411"/>
      <c r="H101" s="411"/>
      <c r="I101" s="411"/>
      <c r="J101" s="411"/>
      <c r="K101" s="412"/>
      <c r="L101" s="366"/>
    </row>
    <row r="102" spans="1:12" ht="15" customHeight="1" x14ac:dyDescent="0.2">
      <c r="A102" s="366"/>
      <c r="B102" s="413"/>
      <c r="C102" s="414" t="s">
        <v>671</v>
      </c>
      <c r="D102" s="414"/>
      <c r="E102" s="398"/>
      <c r="F102" s="414" t="s">
        <v>667</v>
      </c>
      <c r="G102" s="414"/>
      <c r="H102" s="414"/>
      <c r="I102" s="414"/>
      <c r="J102" s="414" t="s">
        <v>672</v>
      </c>
      <c r="K102" s="415"/>
      <c r="L102" s="366"/>
    </row>
    <row r="103" spans="1:12" ht="15" customHeight="1" x14ac:dyDescent="0.2">
      <c r="A103" s="366"/>
      <c r="B103" s="410" t="s">
        <v>673</v>
      </c>
      <c r="C103" s="923">
        <f>H100</f>
        <v>750000</v>
      </c>
      <c r="D103" s="923"/>
      <c r="E103" s="378" t="s">
        <v>234</v>
      </c>
      <c r="F103" s="388">
        <f>H97</f>
        <v>0.37401351690834322</v>
      </c>
      <c r="G103" s="378" t="s">
        <v>637</v>
      </c>
      <c r="H103" s="378">
        <v>1000</v>
      </c>
      <c r="I103" s="378" t="s">
        <v>636</v>
      </c>
      <c r="J103" s="400">
        <f>C103*F103/H103</f>
        <v>280.51013768125745</v>
      </c>
      <c r="K103" s="412"/>
      <c r="L103" s="366"/>
    </row>
    <row r="104" spans="1:12" ht="15" customHeight="1" thickBot="1" x14ac:dyDescent="0.25">
      <c r="A104" s="366"/>
      <c r="B104" s="417"/>
      <c r="C104" s="401"/>
      <c r="D104" s="401"/>
      <c r="E104" s="402"/>
      <c r="F104" s="403"/>
      <c r="G104" s="402"/>
      <c r="H104" s="402"/>
      <c r="I104" s="402"/>
      <c r="J104" s="404"/>
      <c r="K104" s="418"/>
      <c r="L104" s="366"/>
    </row>
    <row r="105" spans="1:12" ht="40.5" customHeight="1" x14ac:dyDescent="0.2">
      <c r="A105" s="366"/>
      <c r="B105" s="921" t="s">
        <v>626</v>
      </c>
      <c r="C105" s="924"/>
      <c r="D105" s="924"/>
      <c r="E105" s="924"/>
      <c r="F105" s="924"/>
      <c r="G105" s="924"/>
      <c r="H105" s="924"/>
      <c r="I105" s="924"/>
      <c r="J105" s="924"/>
      <c r="K105" s="924"/>
      <c r="L105" s="366"/>
    </row>
    <row r="106" spans="1:12" ht="15" customHeight="1" x14ac:dyDescent="0.2">
      <c r="A106" s="366"/>
      <c r="B106" s="925" t="s">
        <v>678</v>
      </c>
      <c r="C106" s="909"/>
      <c r="D106" s="909"/>
      <c r="E106" s="909"/>
      <c r="F106" s="909"/>
      <c r="G106" s="909"/>
      <c r="H106" s="909"/>
      <c r="I106" s="909"/>
      <c r="J106" s="909"/>
      <c r="K106" s="909"/>
      <c r="L106" s="366"/>
    </row>
    <row r="107" spans="1:12" ht="15" customHeight="1" x14ac:dyDescent="0.2">
      <c r="A107" s="366"/>
      <c r="B107" s="411"/>
      <c r="C107" s="419"/>
      <c r="D107" s="419"/>
      <c r="E107" s="378"/>
      <c r="F107" s="388"/>
      <c r="G107" s="378"/>
      <c r="H107" s="378"/>
      <c r="I107" s="378"/>
      <c r="J107" s="400"/>
      <c r="K107" s="411"/>
      <c r="L107" s="366"/>
    </row>
    <row r="108" spans="1:12" ht="15" customHeight="1" x14ac:dyDescent="0.2">
      <c r="A108" s="366"/>
      <c r="B108" s="925" t="s">
        <v>679</v>
      </c>
      <c r="C108" s="926"/>
      <c r="D108" s="926"/>
      <c r="E108" s="926"/>
      <c r="F108" s="926"/>
      <c r="G108" s="926"/>
      <c r="H108" s="926"/>
      <c r="I108" s="926"/>
      <c r="J108" s="926"/>
      <c r="K108" s="926"/>
      <c r="L108" s="366"/>
    </row>
    <row r="109" spans="1:12" ht="15" customHeight="1" x14ac:dyDescent="0.2">
      <c r="A109" s="366"/>
      <c r="B109" s="411"/>
      <c r="C109" s="419"/>
      <c r="D109" s="419"/>
      <c r="E109" s="378"/>
      <c r="F109" s="388"/>
      <c r="G109" s="378"/>
      <c r="H109" s="378"/>
      <c r="I109" s="378"/>
      <c r="J109" s="400"/>
      <c r="K109" s="411"/>
      <c r="L109" s="366"/>
    </row>
    <row r="110" spans="1:12" ht="59.25" customHeight="1" x14ac:dyDescent="0.2">
      <c r="A110" s="366"/>
      <c r="B110" s="929" t="s">
        <v>680</v>
      </c>
      <c r="C110" s="922"/>
      <c r="D110" s="922"/>
      <c r="E110" s="922"/>
      <c r="F110" s="922"/>
      <c r="G110" s="922"/>
      <c r="H110" s="922"/>
      <c r="I110" s="922"/>
      <c r="J110" s="922"/>
      <c r="K110" s="922"/>
      <c r="L110" s="366"/>
    </row>
    <row r="111" spans="1:12" ht="15" thickBot="1" x14ac:dyDescent="0.25">
      <c r="A111" s="366"/>
      <c r="B111" s="369"/>
      <c r="C111" s="369"/>
      <c r="D111" s="369"/>
      <c r="E111" s="369"/>
      <c r="F111" s="369"/>
      <c r="G111" s="369"/>
      <c r="H111" s="369"/>
      <c r="I111" s="369"/>
      <c r="J111" s="369"/>
      <c r="K111" s="369"/>
      <c r="L111" s="420"/>
    </row>
    <row r="112" spans="1:12" x14ac:dyDescent="0.2">
      <c r="A112" s="366"/>
      <c r="B112" s="373" t="s">
        <v>630</v>
      </c>
      <c r="C112" s="374"/>
      <c r="D112" s="374"/>
      <c r="E112" s="374"/>
      <c r="F112" s="374"/>
      <c r="G112" s="374"/>
      <c r="H112" s="374"/>
      <c r="I112" s="374"/>
      <c r="J112" s="374"/>
      <c r="K112" s="375"/>
      <c r="L112" s="366"/>
    </row>
    <row r="113" spans="1:12" x14ac:dyDescent="0.2">
      <c r="A113" s="366"/>
      <c r="B113" s="386"/>
      <c r="C113" s="377" t="s">
        <v>638</v>
      </c>
      <c r="D113" s="377"/>
      <c r="E113" s="377"/>
      <c r="F113" s="377"/>
      <c r="G113" s="377"/>
      <c r="H113" s="377"/>
      <c r="I113" s="377"/>
      <c r="J113" s="377"/>
      <c r="K113" s="380"/>
      <c r="L113" s="366"/>
    </row>
    <row r="114" spans="1:12" x14ac:dyDescent="0.2">
      <c r="A114" s="366"/>
      <c r="B114" s="386" t="s">
        <v>663</v>
      </c>
      <c r="C114" s="915">
        <v>133685008</v>
      </c>
      <c r="D114" s="915"/>
      <c r="E114" s="378" t="s">
        <v>637</v>
      </c>
      <c r="F114" s="378">
        <v>1000</v>
      </c>
      <c r="G114" s="378" t="s">
        <v>636</v>
      </c>
      <c r="H114" s="395">
        <f>C114/F114</f>
        <v>133685.008</v>
      </c>
      <c r="I114" s="377" t="s">
        <v>664</v>
      </c>
      <c r="J114" s="377"/>
      <c r="K114" s="380"/>
      <c r="L114" s="366"/>
    </row>
    <row r="115" spans="1:12" x14ac:dyDescent="0.2">
      <c r="A115" s="366"/>
      <c r="B115" s="386"/>
      <c r="C115" s="377"/>
      <c r="D115" s="377"/>
      <c r="E115" s="378"/>
      <c r="F115" s="377"/>
      <c r="G115" s="377"/>
      <c r="H115" s="377"/>
      <c r="I115" s="377"/>
      <c r="J115" s="377"/>
      <c r="K115" s="380"/>
      <c r="L115" s="366"/>
    </row>
    <row r="116" spans="1:12" x14ac:dyDescent="0.2">
      <c r="A116" s="366"/>
      <c r="B116" s="386"/>
      <c r="C116" s="377" t="s">
        <v>665</v>
      </c>
      <c r="D116" s="377"/>
      <c r="E116" s="378"/>
      <c r="F116" s="377" t="s">
        <v>664</v>
      </c>
      <c r="G116" s="377"/>
      <c r="H116" s="377"/>
      <c r="I116" s="377"/>
      <c r="J116" s="377"/>
      <c r="K116" s="380"/>
      <c r="L116" s="366"/>
    </row>
    <row r="117" spans="1:12" x14ac:dyDescent="0.2">
      <c r="A117" s="366"/>
      <c r="B117" s="386" t="s">
        <v>666</v>
      </c>
      <c r="C117" s="915">
        <v>50000</v>
      </c>
      <c r="D117" s="915"/>
      <c r="E117" s="378" t="s">
        <v>637</v>
      </c>
      <c r="F117" s="395">
        <f>H114</f>
        <v>133685.008</v>
      </c>
      <c r="G117" s="378" t="s">
        <v>636</v>
      </c>
      <c r="H117" s="388">
        <f>C117/F117</f>
        <v>0.37401351690834322</v>
      </c>
      <c r="I117" s="377" t="s">
        <v>667</v>
      </c>
      <c r="J117" s="377"/>
      <c r="K117" s="380"/>
      <c r="L117" s="366"/>
    </row>
    <row r="118" spans="1:12" x14ac:dyDescent="0.2">
      <c r="A118" s="366"/>
      <c r="B118" s="386"/>
      <c r="C118" s="377"/>
      <c r="D118" s="377"/>
      <c r="E118" s="378"/>
      <c r="F118" s="377"/>
      <c r="G118" s="377"/>
      <c r="H118" s="377"/>
      <c r="I118" s="377"/>
      <c r="J118" s="377"/>
      <c r="K118" s="380"/>
      <c r="L118" s="366"/>
    </row>
    <row r="119" spans="1:12" x14ac:dyDescent="0.2">
      <c r="A119" s="366"/>
      <c r="B119" s="396"/>
      <c r="C119" s="397" t="s">
        <v>677</v>
      </c>
      <c r="D119" s="397"/>
      <c r="E119" s="398"/>
      <c r="F119" s="397"/>
      <c r="G119" s="397"/>
      <c r="H119" s="397"/>
      <c r="I119" s="397"/>
      <c r="J119" s="397"/>
      <c r="K119" s="399"/>
      <c r="L119" s="366"/>
    </row>
    <row r="120" spans="1:12" x14ac:dyDescent="0.2">
      <c r="A120" s="366"/>
      <c r="B120" s="386" t="s">
        <v>669</v>
      </c>
      <c r="C120" s="915">
        <v>2500000</v>
      </c>
      <c r="D120" s="915"/>
      <c r="E120" s="378" t="s">
        <v>234</v>
      </c>
      <c r="F120" s="416">
        <v>0.25</v>
      </c>
      <c r="G120" s="378" t="s">
        <v>636</v>
      </c>
      <c r="H120" s="395">
        <f>C120*F120</f>
        <v>625000</v>
      </c>
      <c r="I120" s="377" t="s">
        <v>670</v>
      </c>
      <c r="J120" s="377"/>
      <c r="K120" s="380"/>
      <c r="L120" s="366"/>
    </row>
    <row r="121" spans="1:12" x14ac:dyDescent="0.2">
      <c r="A121" s="366"/>
      <c r="B121" s="386"/>
      <c r="C121" s="377"/>
      <c r="D121" s="377"/>
      <c r="E121" s="378"/>
      <c r="F121" s="377"/>
      <c r="G121" s="377"/>
      <c r="H121" s="377"/>
      <c r="I121" s="377"/>
      <c r="J121" s="377"/>
      <c r="K121" s="380"/>
      <c r="L121" s="366"/>
    </row>
    <row r="122" spans="1:12" x14ac:dyDescent="0.2">
      <c r="A122" s="366"/>
      <c r="B122" s="396"/>
      <c r="C122" s="397" t="s">
        <v>671</v>
      </c>
      <c r="D122" s="397"/>
      <c r="E122" s="398"/>
      <c r="F122" s="397" t="s">
        <v>667</v>
      </c>
      <c r="G122" s="397"/>
      <c r="H122" s="397"/>
      <c r="I122" s="397"/>
      <c r="J122" s="397" t="s">
        <v>672</v>
      </c>
      <c r="K122" s="399"/>
      <c r="L122" s="366"/>
    </row>
    <row r="123" spans="1:12" x14ac:dyDescent="0.2">
      <c r="A123" s="366"/>
      <c r="B123" s="386" t="s">
        <v>673</v>
      </c>
      <c r="C123" s="923">
        <f>H120</f>
        <v>625000</v>
      </c>
      <c r="D123" s="923"/>
      <c r="E123" s="378" t="s">
        <v>234</v>
      </c>
      <c r="F123" s="388">
        <f>H117</f>
        <v>0.37401351690834322</v>
      </c>
      <c r="G123" s="378" t="s">
        <v>637</v>
      </c>
      <c r="H123" s="378">
        <v>1000</v>
      </c>
      <c r="I123" s="378" t="s">
        <v>636</v>
      </c>
      <c r="J123" s="400">
        <f>C123*F123/H123</f>
        <v>233.75844806771451</v>
      </c>
      <c r="K123" s="380"/>
      <c r="L123" s="366"/>
    </row>
    <row r="124" spans="1:12" ht="15" thickBot="1" x14ac:dyDescent="0.25">
      <c r="A124" s="366"/>
      <c r="B124" s="381"/>
      <c r="C124" s="401"/>
      <c r="D124" s="401"/>
      <c r="E124" s="402"/>
      <c r="F124" s="403"/>
      <c r="G124" s="402"/>
      <c r="H124" s="402"/>
      <c r="I124" s="402"/>
      <c r="J124" s="404"/>
      <c r="K124" s="383"/>
      <c r="L124" s="366"/>
    </row>
    <row r="125" spans="1:12" ht="40.5" customHeight="1" x14ac:dyDescent="0.2">
      <c r="A125" s="366"/>
      <c r="B125" s="921" t="s">
        <v>626</v>
      </c>
      <c r="C125" s="921"/>
      <c r="D125" s="921"/>
      <c r="E125" s="921"/>
      <c r="F125" s="921"/>
      <c r="G125" s="921"/>
      <c r="H125" s="921"/>
      <c r="I125" s="921"/>
      <c r="J125" s="921"/>
      <c r="K125" s="921"/>
      <c r="L125" s="420"/>
    </row>
    <row r="126" spans="1:12" x14ac:dyDescent="0.2">
      <c r="A126" s="366"/>
      <c r="B126" s="908" t="s">
        <v>681</v>
      </c>
      <c r="C126" s="908"/>
      <c r="D126" s="908"/>
      <c r="E126" s="908"/>
      <c r="F126" s="908"/>
      <c r="G126" s="908"/>
      <c r="H126" s="908"/>
      <c r="I126" s="908"/>
      <c r="J126" s="908"/>
      <c r="K126" s="908"/>
      <c r="L126" s="420"/>
    </row>
    <row r="127" spans="1:12" x14ac:dyDescent="0.2">
      <c r="A127" s="366"/>
      <c r="B127" s="369"/>
      <c r="C127" s="369"/>
      <c r="D127" s="369"/>
      <c r="E127" s="369"/>
      <c r="F127" s="369"/>
      <c r="G127" s="369"/>
      <c r="H127" s="369"/>
      <c r="I127" s="369"/>
      <c r="J127" s="369"/>
      <c r="K127" s="369"/>
      <c r="L127" s="420"/>
    </row>
    <row r="128" spans="1:12" x14ac:dyDescent="0.2">
      <c r="A128" s="366"/>
      <c r="B128" s="908" t="s">
        <v>682</v>
      </c>
      <c r="C128" s="908"/>
      <c r="D128" s="908"/>
      <c r="E128" s="908"/>
      <c r="F128" s="908"/>
      <c r="G128" s="908"/>
      <c r="H128" s="908"/>
      <c r="I128" s="908"/>
      <c r="J128" s="908"/>
      <c r="K128" s="908"/>
      <c r="L128" s="420"/>
    </row>
    <row r="129" spans="1:12" x14ac:dyDescent="0.2">
      <c r="A129" s="366"/>
      <c r="B129" s="406"/>
      <c r="C129" s="406"/>
      <c r="D129" s="406"/>
      <c r="E129" s="406"/>
      <c r="F129" s="406"/>
      <c r="G129" s="406"/>
      <c r="H129" s="406"/>
      <c r="I129" s="406"/>
      <c r="J129" s="406"/>
      <c r="K129" s="406"/>
      <c r="L129" s="420"/>
    </row>
    <row r="130" spans="1:12" ht="74.25" customHeight="1" x14ac:dyDescent="0.2">
      <c r="A130" s="366"/>
      <c r="B130" s="913" t="s">
        <v>683</v>
      </c>
      <c r="C130" s="913"/>
      <c r="D130" s="913"/>
      <c r="E130" s="913"/>
      <c r="F130" s="913"/>
      <c r="G130" s="913"/>
      <c r="H130" s="913"/>
      <c r="I130" s="913"/>
      <c r="J130" s="913"/>
      <c r="K130" s="913"/>
      <c r="L130" s="420"/>
    </row>
    <row r="131" spans="1:12" ht="15" thickBot="1" x14ac:dyDescent="0.25">
      <c r="A131" s="366"/>
      <c r="L131" s="366"/>
    </row>
    <row r="132" spans="1:12" x14ac:dyDescent="0.2">
      <c r="A132" s="366"/>
      <c r="B132" s="373" t="s">
        <v>630</v>
      </c>
      <c r="C132" s="374"/>
      <c r="D132" s="374"/>
      <c r="E132" s="374"/>
      <c r="F132" s="374"/>
      <c r="G132" s="374"/>
      <c r="H132" s="374"/>
      <c r="I132" s="374"/>
      <c r="J132" s="374"/>
      <c r="K132" s="375"/>
      <c r="L132" s="366"/>
    </row>
    <row r="133" spans="1:12" x14ac:dyDescent="0.2">
      <c r="A133" s="366"/>
      <c r="B133" s="386"/>
      <c r="C133" s="930" t="s">
        <v>684</v>
      </c>
      <c r="D133" s="930"/>
      <c r="E133" s="377"/>
      <c r="F133" s="378" t="s">
        <v>685</v>
      </c>
      <c r="G133" s="377"/>
      <c r="H133" s="930" t="s">
        <v>670</v>
      </c>
      <c r="I133" s="930"/>
      <c r="J133" s="377"/>
      <c r="K133" s="380"/>
      <c r="L133" s="366"/>
    </row>
    <row r="134" spans="1:12" x14ac:dyDescent="0.2">
      <c r="A134" s="366"/>
      <c r="B134" s="386" t="s">
        <v>663</v>
      </c>
      <c r="C134" s="915">
        <v>100000</v>
      </c>
      <c r="D134" s="915"/>
      <c r="E134" s="378" t="s">
        <v>234</v>
      </c>
      <c r="F134" s="378">
        <v>0.115</v>
      </c>
      <c r="G134" s="378" t="s">
        <v>636</v>
      </c>
      <c r="H134" s="928">
        <f>C134*F134</f>
        <v>11500</v>
      </c>
      <c r="I134" s="928"/>
      <c r="J134" s="377"/>
      <c r="K134" s="380"/>
      <c r="L134" s="366"/>
    </row>
    <row r="135" spans="1:12" x14ac:dyDescent="0.2">
      <c r="A135" s="366"/>
      <c r="B135" s="386"/>
      <c r="C135" s="377"/>
      <c r="D135" s="377"/>
      <c r="E135" s="377"/>
      <c r="F135" s="377"/>
      <c r="G135" s="377"/>
      <c r="H135" s="377"/>
      <c r="I135" s="377"/>
      <c r="J135" s="377"/>
      <c r="K135" s="380"/>
      <c r="L135" s="366"/>
    </row>
    <row r="136" spans="1:12" x14ac:dyDescent="0.2">
      <c r="A136" s="366"/>
      <c r="B136" s="396"/>
      <c r="C136" s="927" t="s">
        <v>670</v>
      </c>
      <c r="D136" s="927"/>
      <c r="E136" s="397"/>
      <c r="F136" s="398" t="s">
        <v>686</v>
      </c>
      <c r="G136" s="398"/>
      <c r="H136" s="397"/>
      <c r="I136" s="397"/>
      <c r="J136" s="397" t="s">
        <v>687</v>
      </c>
      <c r="K136" s="399"/>
      <c r="L136" s="366"/>
    </row>
    <row r="137" spans="1:12" x14ac:dyDescent="0.2">
      <c r="A137" s="366"/>
      <c r="B137" s="386" t="s">
        <v>666</v>
      </c>
      <c r="C137" s="928">
        <f>H134</f>
        <v>11500</v>
      </c>
      <c r="D137" s="928"/>
      <c r="E137" s="378" t="s">
        <v>234</v>
      </c>
      <c r="F137" s="421">
        <v>52.869</v>
      </c>
      <c r="G137" s="378" t="s">
        <v>637</v>
      </c>
      <c r="H137" s="378">
        <v>1000</v>
      </c>
      <c r="I137" s="378" t="s">
        <v>636</v>
      </c>
      <c r="J137" s="422">
        <f>C137*F137/H137</f>
        <v>607.99350000000004</v>
      </c>
      <c r="K137" s="380"/>
      <c r="L137" s="366"/>
    </row>
    <row r="138" spans="1:12" ht="15" thickBot="1" x14ac:dyDescent="0.25">
      <c r="A138" s="366"/>
      <c r="B138" s="381"/>
      <c r="C138" s="423"/>
      <c r="D138" s="423"/>
      <c r="E138" s="402"/>
      <c r="F138" s="424"/>
      <c r="G138" s="402"/>
      <c r="H138" s="402"/>
      <c r="I138" s="402"/>
      <c r="J138" s="425"/>
      <c r="K138" s="383"/>
      <c r="L138" s="366"/>
    </row>
    <row r="139" spans="1:12" ht="40.5" customHeight="1" x14ac:dyDescent="0.2">
      <c r="A139" s="366"/>
      <c r="B139" s="426" t="s">
        <v>626</v>
      </c>
      <c r="C139" s="427"/>
      <c r="D139" s="427"/>
      <c r="E139" s="428"/>
      <c r="F139" s="429"/>
      <c r="G139" s="428"/>
      <c r="H139" s="428"/>
      <c r="I139" s="428"/>
      <c r="J139" s="430"/>
      <c r="K139" s="431"/>
      <c r="L139" s="366"/>
    </row>
    <row r="140" spans="1:12" x14ac:dyDescent="0.2">
      <c r="A140" s="366"/>
      <c r="B140" s="432" t="s">
        <v>688</v>
      </c>
      <c r="C140" s="433"/>
      <c r="D140" s="433"/>
      <c r="E140" s="434"/>
      <c r="F140" s="435"/>
      <c r="G140" s="434"/>
      <c r="H140" s="434"/>
      <c r="I140" s="434"/>
      <c r="J140" s="436"/>
      <c r="K140" s="437"/>
      <c r="L140" s="366"/>
    </row>
    <row r="141" spans="1:12" x14ac:dyDescent="0.2">
      <c r="A141" s="366"/>
      <c r="B141" s="386"/>
      <c r="C141" s="395"/>
      <c r="D141" s="395"/>
      <c r="E141" s="378"/>
      <c r="F141" s="438"/>
      <c r="G141" s="378"/>
      <c r="H141" s="378"/>
      <c r="I141" s="378"/>
      <c r="J141" s="422"/>
      <c r="K141" s="380"/>
      <c r="L141" s="366"/>
    </row>
    <row r="142" spans="1:12" x14ac:dyDescent="0.2">
      <c r="A142" s="366"/>
      <c r="B142" s="432" t="s">
        <v>689</v>
      </c>
      <c r="C142" s="433"/>
      <c r="D142" s="433"/>
      <c r="E142" s="434"/>
      <c r="F142" s="435"/>
      <c r="G142" s="434"/>
      <c r="H142" s="434"/>
      <c r="I142" s="434"/>
      <c r="J142" s="436"/>
      <c r="K142" s="437"/>
      <c r="L142" s="366"/>
    </row>
    <row r="143" spans="1:12" x14ac:dyDescent="0.2">
      <c r="A143" s="366"/>
      <c r="B143" s="386"/>
      <c r="C143" s="395"/>
      <c r="D143" s="395"/>
      <c r="E143" s="378"/>
      <c r="F143" s="438"/>
      <c r="G143" s="378"/>
      <c r="H143" s="378"/>
      <c r="I143" s="378"/>
      <c r="J143" s="422"/>
      <c r="K143" s="380"/>
      <c r="L143" s="366"/>
    </row>
    <row r="144" spans="1:12" ht="76.5" customHeight="1" x14ac:dyDescent="0.2">
      <c r="A144" s="366"/>
      <c r="B144" s="931" t="s">
        <v>690</v>
      </c>
      <c r="C144" s="932"/>
      <c r="D144" s="932"/>
      <c r="E144" s="932"/>
      <c r="F144" s="932"/>
      <c r="G144" s="932"/>
      <c r="H144" s="932"/>
      <c r="I144" s="932"/>
      <c r="J144" s="932"/>
      <c r="K144" s="933"/>
      <c r="L144" s="366"/>
    </row>
    <row r="145" spans="1:12" ht="15" thickBot="1" x14ac:dyDescent="0.25">
      <c r="A145" s="366"/>
      <c r="B145" s="386"/>
      <c r="C145" s="395"/>
      <c r="D145" s="395"/>
      <c r="E145" s="378"/>
      <c r="F145" s="438"/>
      <c r="G145" s="378"/>
      <c r="H145" s="378"/>
      <c r="I145" s="378"/>
      <c r="J145" s="422"/>
      <c r="K145" s="380"/>
      <c r="L145" s="366"/>
    </row>
    <row r="146" spans="1:12" x14ac:dyDescent="0.2">
      <c r="A146" s="366"/>
      <c r="B146" s="373" t="s">
        <v>630</v>
      </c>
      <c r="C146" s="439"/>
      <c r="D146" s="439"/>
      <c r="E146" s="440"/>
      <c r="F146" s="441"/>
      <c r="G146" s="440"/>
      <c r="H146" s="440"/>
      <c r="I146" s="440"/>
      <c r="J146" s="442"/>
      <c r="K146" s="375"/>
      <c r="L146" s="366"/>
    </row>
    <row r="147" spans="1:12" x14ac:dyDescent="0.2">
      <c r="A147" s="366"/>
      <c r="B147" s="386"/>
      <c r="C147" s="928" t="s">
        <v>691</v>
      </c>
      <c r="D147" s="928"/>
      <c r="E147" s="378"/>
      <c r="F147" s="438" t="s">
        <v>692</v>
      </c>
      <c r="G147" s="378"/>
      <c r="H147" s="378"/>
      <c r="I147" s="378"/>
      <c r="J147" s="934" t="s">
        <v>693</v>
      </c>
      <c r="K147" s="935"/>
      <c r="L147" s="366"/>
    </row>
    <row r="148" spans="1:12" x14ac:dyDescent="0.2">
      <c r="A148" s="366"/>
      <c r="B148" s="386"/>
      <c r="C148" s="936">
        <v>52.869</v>
      </c>
      <c r="D148" s="936"/>
      <c r="E148" s="378" t="s">
        <v>234</v>
      </c>
      <c r="F148" s="443">
        <v>133685008</v>
      </c>
      <c r="G148" s="444" t="s">
        <v>637</v>
      </c>
      <c r="H148" s="378">
        <v>1000</v>
      </c>
      <c r="I148" s="378" t="s">
        <v>636</v>
      </c>
      <c r="J148" s="928">
        <f>C148*(F148/1000)</f>
        <v>7067792.6879519997</v>
      </c>
      <c r="K148" s="937"/>
      <c r="L148" s="366"/>
    </row>
    <row r="149" spans="1:12" ht="15" thickBot="1" x14ac:dyDescent="0.25">
      <c r="A149" s="366"/>
      <c r="B149" s="381"/>
      <c r="C149" s="423"/>
      <c r="D149" s="423"/>
      <c r="E149" s="402"/>
      <c r="F149" s="424"/>
      <c r="G149" s="402"/>
      <c r="H149" s="402"/>
      <c r="I149" s="402"/>
      <c r="J149" s="425"/>
      <c r="K149" s="383"/>
      <c r="L149" s="366"/>
    </row>
    <row r="150" spans="1:12" ht="15" thickBot="1" x14ac:dyDescent="0.25">
      <c r="A150" s="366"/>
      <c r="B150" s="381"/>
      <c r="C150" s="382"/>
      <c r="D150" s="382"/>
      <c r="E150" s="382"/>
      <c r="F150" s="382"/>
      <c r="G150" s="382"/>
      <c r="H150" s="382"/>
      <c r="I150" s="382"/>
      <c r="J150" s="382"/>
      <c r="K150" s="383"/>
      <c r="L150" s="366"/>
    </row>
    <row r="151" spans="1:12" x14ac:dyDescent="0.2">
      <c r="A151" s="366"/>
      <c r="B151" s="366"/>
      <c r="C151" s="366"/>
      <c r="D151" s="366"/>
      <c r="E151" s="366"/>
      <c r="F151" s="366"/>
      <c r="G151" s="366"/>
      <c r="H151" s="366"/>
      <c r="I151" s="366"/>
      <c r="J151" s="366"/>
      <c r="K151" s="366"/>
      <c r="L151" s="366"/>
    </row>
    <row r="152" spans="1:12" x14ac:dyDescent="0.2">
      <c r="A152" s="366"/>
      <c r="B152" s="366"/>
      <c r="C152" s="366"/>
      <c r="D152" s="366"/>
      <c r="E152" s="366"/>
      <c r="F152" s="366"/>
      <c r="G152" s="366"/>
      <c r="H152" s="366"/>
      <c r="I152" s="366"/>
      <c r="J152" s="366"/>
      <c r="K152" s="366"/>
      <c r="L152" s="366"/>
    </row>
    <row r="153" spans="1:12" x14ac:dyDescent="0.2">
      <c r="A153" s="366"/>
      <c r="B153" s="366"/>
      <c r="C153" s="366"/>
      <c r="D153" s="366"/>
      <c r="E153" s="366"/>
      <c r="F153" s="366"/>
      <c r="G153" s="366"/>
      <c r="H153" s="366"/>
      <c r="I153" s="366"/>
      <c r="J153" s="366"/>
      <c r="K153" s="366"/>
      <c r="L153" s="366"/>
    </row>
    <row r="154" spans="1:12" x14ac:dyDescent="0.2">
      <c r="A154" s="445"/>
      <c r="B154" s="445"/>
      <c r="C154" s="445"/>
      <c r="D154" s="445"/>
      <c r="E154" s="445"/>
      <c r="F154" s="445"/>
      <c r="G154" s="445"/>
      <c r="H154" s="445"/>
      <c r="I154" s="445"/>
      <c r="J154" s="445"/>
      <c r="K154" s="445"/>
      <c r="L154" s="445"/>
    </row>
    <row r="155" spans="1:12" x14ac:dyDescent="0.2">
      <c r="A155" s="445"/>
      <c r="B155" s="445"/>
      <c r="C155" s="445"/>
      <c r="D155" s="445"/>
      <c r="E155" s="445"/>
      <c r="F155" s="445"/>
      <c r="G155" s="445"/>
      <c r="H155" s="445"/>
      <c r="I155" s="445"/>
      <c r="J155" s="445"/>
      <c r="K155" s="445"/>
      <c r="L155" s="445"/>
    </row>
    <row r="156" spans="1:12" x14ac:dyDescent="0.2">
      <c r="A156" s="445"/>
      <c r="B156" s="445"/>
      <c r="C156" s="445"/>
      <c r="D156" s="445"/>
      <c r="E156" s="445"/>
      <c r="F156" s="445"/>
      <c r="G156" s="445"/>
      <c r="H156" s="445"/>
      <c r="I156" s="445"/>
      <c r="J156" s="445"/>
      <c r="K156" s="445"/>
      <c r="L156" s="445"/>
    </row>
    <row r="157" spans="1:12" x14ac:dyDescent="0.2">
      <c r="A157" s="445"/>
      <c r="B157" s="445"/>
      <c r="C157" s="445"/>
      <c r="D157" s="445"/>
      <c r="E157" s="445"/>
      <c r="F157" s="445"/>
      <c r="G157" s="445"/>
      <c r="H157" s="445"/>
      <c r="I157" s="445"/>
      <c r="J157" s="445"/>
      <c r="K157" s="445"/>
      <c r="L157" s="445"/>
    </row>
    <row r="158" spans="1:12" x14ac:dyDescent="0.2">
      <c r="A158" s="445"/>
      <c r="B158" s="445"/>
      <c r="C158" s="445"/>
      <c r="D158" s="445"/>
      <c r="E158" s="445"/>
      <c r="F158" s="445"/>
      <c r="G158" s="445"/>
      <c r="H158" s="445"/>
      <c r="I158" s="445"/>
      <c r="J158" s="445"/>
      <c r="K158" s="445"/>
      <c r="L158" s="445"/>
    </row>
    <row r="159" spans="1:12" x14ac:dyDescent="0.2">
      <c r="A159" s="445"/>
      <c r="B159" s="445"/>
      <c r="C159" s="445"/>
      <c r="D159" s="445"/>
      <c r="E159" s="445"/>
      <c r="F159" s="445"/>
      <c r="G159" s="445"/>
      <c r="H159" s="445"/>
      <c r="I159" s="445"/>
      <c r="J159" s="445"/>
      <c r="K159" s="445"/>
      <c r="L159" s="445"/>
    </row>
    <row r="160" spans="1:12" x14ac:dyDescent="0.2">
      <c r="A160" s="445"/>
      <c r="B160" s="445"/>
      <c r="C160" s="445"/>
      <c r="D160" s="445"/>
      <c r="E160" s="445"/>
      <c r="F160" s="445"/>
      <c r="G160" s="445"/>
      <c r="H160" s="445"/>
      <c r="I160" s="445"/>
      <c r="J160" s="445"/>
      <c r="K160" s="445"/>
      <c r="L160" s="445"/>
    </row>
    <row r="161" spans="1:12" x14ac:dyDescent="0.2">
      <c r="A161" s="445"/>
      <c r="B161" s="445"/>
      <c r="C161" s="445"/>
      <c r="D161" s="445"/>
      <c r="E161" s="445"/>
      <c r="F161" s="445"/>
      <c r="G161" s="445"/>
      <c r="H161" s="445"/>
      <c r="I161" s="445"/>
      <c r="J161" s="445"/>
      <c r="K161" s="445"/>
      <c r="L161" s="445"/>
    </row>
    <row r="162" spans="1:12" x14ac:dyDescent="0.2">
      <c r="A162" s="445"/>
      <c r="B162" s="445"/>
      <c r="C162" s="445"/>
      <c r="D162" s="445"/>
      <c r="E162" s="445"/>
      <c r="F162" s="445"/>
      <c r="G162" s="445"/>
      <c r="H162" s="445"/>
      <c r="I162" s="445"/>
      <c r="J162" s="445"/>
      <c r="K162" s="445"/>
      <c r="L162" s="445"/>
    </row>
    <row r="163" spans="1:12" x14ac:dyDescent="0.2">
      <c r="A163" s="445"/>
      <c r="B163" s="445"/>
      <c r="C163" s="445"/>
      <c r="D163" s="445"/>
      <c r="E163" s="445"/>
      <c r="F163" s="445"/>
      <c r="G163" s="445"/>
      <c r="H163" s="445"/>
      <c r="I163" s="445"/>
      <c r="J163" s="445"/>
      <c r="K163" s="445"/>
      <c r="L163" s="445"/>
    </row>
    <row r="164" spans="1:12" x14ac:dyDescent="0.2">
      <c r="A164" s="445"/>
      <c r="B164" s="445"/>
      <c r="C164" s="445"/>
      <c r="D164" s="445"/>
      <c r="E164" s="445"/>
      <c r="F164" s="445"/>
      <c r="G164" s="445"/>
      <c r="H164" s="445"/>
      <c r="I164" s="445"/>
      <c r="J164" s="445"/>
      <c r="K164" s="445"/>
      <c r="L164" s="445"/>
    </row>
    <row r="165" spans="1:12" x14ac:dyDescent="0.2">
      <c r="A165" s="445"/>
      <c r="B165" s="445"/>
      <c r="C165" s="445"/>
      <c r="D165" s="445"/>
      <c r="E165" s="445"/>
      <c r="F165" s="445"/>
      <c r="G165" s="445"/>
      <c r="H165" s="445"/>
      <c r="I165" s="445"/>
      <c r="J165" s="445"/>
      <c r="K165" s="445"/>
      <c r="L165" s="445"/>
    </row>
    <row r="166" spans="1:12" x14ac:dyDescent="0.2">
      <c r="A166" s="445"/>
      <c r="B166" s="445"/>
      <c r="C166" s="445"/>
      <c r="D166" s="445"/>
      <c r="E166" s="445"/>
      <c r="F166" s="445"/>
      <c r="G166" s="445"/>
      <c r="H166" s="445"/>
      <c r="I166" s="445"/>
      <c r="J166" s="445"/>
      <c r="K166" s="445"/>
      <c r="L166" s="445"/>
    </row>
    <row r="167" spans="1:12" x14ac:dyDescent="0.2">
      <c r="A167" s="445"/>
      <c r="B167" s="445"/>
      <c r="C167" s="445"/>
      <c r="D167" s="445"/>
      <c r="E167" s="445"/>
      <c r="F167" s="445"/>
      <c r="G167" s="445"/>
      <c r="H167" s="445"/>
      <c r="I167" s="445"/>
      <c r="J167" s="445"/>
      <c r="K167" s="445"/>
      <c r="L167" s="445"/>
    </row>
    <row r="168" spans="1:12" x14ac:dyDescent="0.2">
      <c r="A168" s="445"/>
      <c r="B168" s="445"/>
      <c r="C168" s="445"/>
      <c r="D168" s="445"/>
      <c r="E168" s="445"/>
      <c r="F168" s="445"/>
      <c r="G168" s="445"/>
      <c r="H168" s="445"/>
      <c r="I168" s="445"/>
      <c r="J168" s="445"/>
      <c r="K168" s="445"/>
      <c r="L168" s="445"/>
    </row>
    <row r="169" spans="1:12" x14ac:dyDescent="0.2">
      <c r="A169" s="445"/>
      <c r="B169" s="445"/>
      <c r="C169" s="445"/>
      <c r="D169" s="445"/>
      <c r="E169" s="445"/>
      <c r="F169" s="445"/>
      <c r="G169" s="445"/>
      <c r="H169" s="445"/>
      <c r="I169" s="445"/>
      <c r="J169" s="445"/>
      <c r="K169" s="445"/>
      <c r="L169" s="445"/>
    </row>
    <row r="170" spans="1:12" x14ac:dyDescent="0.2">
      <c r="A170" s="445"/>
      <c r="B170" s="445"/>
      <c r="C170" s="445"/>
      <c r="D170" s="445"/>
      <c r="E170" s="445"/>
      <c r="F170" s="445"/>
      <c r="G170" s="445"/>
      <c r="H170" s="445"/>
      <c r="I170" s="445"/>
      <c r="J170" s="445"/>
      <c r="K170" s="445"/>
      <c r="L170" s="445"/>
    </row>
    <row r="171" spans="1:12" x14ac:dyDescent="0.2">
      <c r="A171" s="445"/>
      <c r="B171" s="445"/>
      <c r="C171" s="445"/>
      <c r="D171" s="445"/>
      <c r="E171" s="445"/>
      <c r="F171" s="445"/>
      <c r="G171" s="445"/>
      <c r="H171" s="445"/>
      <c r="I171" s="445"/>
      <c r="J171" s="445"/>
      <c r="K171" s="445"/>
      <c r="L171" s="445"/>
    </row>
    <row r="172" spans="1:12" x14ac:dyDescent="0.2">
      <c r="A172" s="445"/>
      <c r="B172" s="445"/>
      <c r="C172" s="445"/>
      <c r="D172" s="445"/>
      <c r="E172" s="445"/>
      <c r="F172" s="445"/>
      <c r="G172" s="445"/>
      <c r="H172" s="445"/>
      <c r="I172" s="445"/>
      <c r="J172" s="445"/>
      <c r="K172" s="445"/>
      <c r="L172" s="445"/>
    </row>
    <row r="173" spans="1:12" x14ac:dyDescent="0.2">
      <c r="A173" s="445"/>
      <c r="B173" s="445"/>
      <c r="C173" s="445"/>
      <c r="D173" s="445"/>
      <c r="E173" s="445"/>
      <c r="F173" s="445"/>
      <c r="G173" s="445"/>
      <c r="H173" s="445"/>
      <c r="I173" s="445"/>
      <c r="J173" s="445"/>
      <c r="K173" s="445"/>
      <c r="L173" s="445"/>
    </row>
    <row r="174" spans="1:12" x14ac:dyDescent="0.2">
      <c r="A174" s="445"/>
      <c r="B174" s="445"/>
      <c r="C174" s="445"/>
      <c r="D174" s="445"/>
      <c r="E174" s="445"/>
      <c r="F174" s="445"/>
      <c r="G174" s="445"/>
      <c r="H174" s="445"/>
      <c r="I174" s="445"/>
      <c r="J174" s="445"/>
      <c r="K174" s="445"/>
      <c r="L174" s="445"/>
    </row>
    <row r="175" spans="1:12" x14ac:dyDescent="0.2">
      <c r="A175" s="445"/>
      <c r="B175" s="445"/>
      <c r="C175" s="445"/>
      <c r="D175" s="445"/>
      <c r="E175" s="445"/>
      <c r="F175" s="445"/>
      <c r="G175" s="445"/>
      <c r="H175" s="445"/>
      <c r="I175" s="445"/>
      <c r="J175" s="445"/>
      <c r="K175" s="445"/>
      <c r="L175" s="445"/>
    </row>
    <row r="176" spans="1:12" x14ac:dyDescent="0.2">
      <c r="A176" s="445"/>
      <c r="B176" s="445"/>
      <c r="C176" s="445"/>
      <c r="D176" s="445"/>
      <c r="E176" s="445"/>
      <c r="F176" s="445"/>
      <c r="G176" s="445"/>
      <c r="H176" s="445"/>
      <c r="I176" s="445"/>
      <c r="J176" s="445"/>
      <c r="K176" s="445"/>
      <c r="L176" s="445"/>
    </row>
    <row r="177" spans="1:12" x14ac:dyDescent="0.2">
      <c r="A177" s="445"/>
      <c r="B177" s="445"/>
      <c r="C177" s="445"/>
      <c r="D177" s="445"/>
      <c r="E177" s="445"/>
      <c r="F177" s="445"/>
      <c r="G177" s="445"/>
      <c r="H177" s="445"/>
      <c r="I177" s="445"/>
      <c r="J177" s="445"/>
      <c r="K177" s="445"/>
      <c r="L177" s="445"/>
    </row>
    <row r="178" spans="1:12" x14ac:dyDescent="0.2">
      <c r="A178" s="445"/>
      <c r="B178" s="445"/>
      <c r="C178" s="445"/>
      <c r="D178" s="445"/>
      <c r="E178" s="445"/>
      <c r="F178" s="445"/>
      <c r="G178" s="445"/>
      <c r="H178" s="445"/>
      <c r="I178" s="445"/>
      <c r="J178" s="445"/>
      <c r="K178" s="445"/>
      <c r="L178" s="445"/>
    </row>
    <row r="179" spans="1:12" x14ac:dyDescent="0.2">
      <c r="A179" s="445"/>
      <c r="B179" s="445"/>
      <c r="C179" s="445"/>
      <c r="D179" s="445"/>
      <c r="E179" s="445"/>
      <c r="F179" s="445"/>
      <c r="G179" s="445"/>
      <c r="H179" s="445"/>
      <c r="I179" s="445"/>
      <c r="J179" s="445"/>
      <c r="K179" s="445"/>
      <c r="L179" s="445"/>
    </row>
    <row r="180" spans="1:12" x14ac:dyDescent="0.2">
      <c r="A180" s="445"/>
      <c r="B180" s="445"/>
      <c r="C180" s="445"/>
      <c r="D180" s="445"/>
      <c r="E180" s="445"/>
      <c r="F180" s="445"/>
      <c r="G180" s="445"/>
      <c r="H180" s="445"/>
      <c r="I180" s="445"/>
      <c r="J180" s="445"/>
      <c r="K180" s="445"/>
      <c r="L180" s="445"/>
    </row>
    <row r="181" spans="1:12" x14ac:dyDescent="0.2">
      <c r="A181" s="445"/>
      <c r="B181" s="445"/>
      <c r="C181" s="445"/>
      <c r="D181" s="445"/>
      <c r="E181" s="445"/>
      <c r="F181" s="445"/>
      <c r="G181" s="445"/>
      <c r="H181" s="445"/>
      <c r="I181" s="445"/>
      <c r="J181" s="445"/>
      <c r="K181" s="445"/>
      <c r="L181" s="445"/>
    </row>
    <row r="182" spans="1:12" x14ac:dyDescent="0.2">
      <c r="A182" s="445"/>
      <c r="B182" s="445"/>
      <c r="C182" s="445"/>
      <c r="D182" s="445"/>
      <c r="E182" s="445"/>
      <c r="F182" s="445"/>
      <c r="G182" s="445"/>
      <c r="H182" s="445"/>
      <c r="I182" s="445"/>
      <c r="J182" s="445"/>
      <c r="K182" s="445"/>
      <c r="L182" s="445"/>
    </row>
    <row r="183" spans="1:12" x14ac:dyDescent="0.2">
      <c r="A183" s="445"/>
      <c r="B183" s="445"/>
      <c r="C183" s="445"/>
      <c r="D183" s="445"/>
      <c r="E183" s="445"/>
      <c r="F183" s="445"/>
      <c r="G183" s="445"/>
      <c r="H183" s="445"/>
      <c r="I183" s="445"/>
      <c r="J183" s="445"/>
      <c r="K183" s="445"/>
      <c r="L183" s="445"/>
    </row>
    <row r="184" spans="1:12" x14ac:dyDescent="0.2">
      <c r="A184" s="445"/>
      <c r="B184" s="445"/>
      <c r="C184" s="445"/>
      <c r="D184" s="445"/>
      <c r="E184" s="445"/>
      <c r="F184" s="445"/>
      <c r="G184" s="445"/>
      <c r="H184" s="445"/>
      <c r="I184" s="445"/>
      <c r="J184" s="445"/>
      <c r="K184" s="445"/>
      <c r="L184" s="445"/>
    </row>
    <row r="185" spans="1:12" x14ac:dyDescent="0.2">
      <c r="A185" s="445"/>
      <c r="B185" s="445"/>
      <c r="C185" s="445"/>
      <c r="D185" s="445"/>
      <c r="E185" s="445"/>
      <c r="F185" s="445"/>
      <c r="G185" s="445"/>
      <c r="H185" s="445"/>
      <c r="I185" s="445"/>
      <c r="J185" s="445"/>
      <c r="K185" s="445"/>
      <c r="L185" s="445"/>
    </row>
    <row r="186" spans="1:12" x14ac:dyDescent="0.2">
      <c r="A186" s="445"/>
      <c r="B186" s="445"/>
      <c r="C186" s="445"/>
      <c r="D186" s="445"/>
      <c r="E186" s="445"/>
      <c r="F186" s="445"/>
      <c r="G186" s="445"/>
      <c r="H186" s="445"/>
      <c r="I186" s="445"/>
      <c r="J186" s="445"/>
      <c r="K186" s="445"/>
      <c r="L186" s="445"/>
    </row>
    <row r="187" spans="1:12" x14ac:dyDescent="0.2">
      <c r="A187" s="445"/>
      <c r="B187" s="445"/>
      <c r="C187" s="445"/>
      <c r="D187" s="445"/>
      <c r="E187" s="445"/>
      <c r="F187" s="445"/>
      <c r="G187" s="445"/>
      <c r="H187" s="445"/>
      <c r="I187" s="445"/>
      <c r="J187" s="445"/>
      <c r="K187" s="445"/>
      <c r="L187" s="445"/>
    </row>
    <row r="188" spans="1:12" x14ac:dyDescent="0.2">
      <c r="A188" s="445"/>
      <c r="B188" s="445"/>
      <c r="C188" s="445"/>
      <c r="D188" s="445"/>
      <c r="E188" s="445"/>
      <c r="F188" s="445"/>
      <c r="G188" s="445"/>
      <c r="H188" s="445"/>
      <c r="I188" s="445"/>
      <c r="J188" s="445"/>
      <c r="K188" s="445"/>
      <c r="L188" s="445"/>
    </row>
    <row r="189" spans="1:12" x14ac:dyDescent="0.2">
      <c r="A189" s="445"/>
      <c r="B189" s="445"/>
      <c r="C189" s="445"/>
      <c r="D189" s="445"/>
      <c r="E189" s="445"/>
      <c r="F189" s="445"/>
      <c r="G189" s="445"/>
      <c r="H189" s="445"/>
      <c r="I189" s="445"/>
      <c r="J189" s="445"/>
      <c r="K189" s="445"/>
      <c r="L189" s="445"/>
    </row>
    <row r="190" spans="1:12" x14ac:dyDescent="0.2">
      <c r="A190" s="445"/>
      <c r="B190" s="445"/>
      <c r="C190" s="445"/>
      <c r="D190" s="445"/>
      <c r="E190" s="445"/>
      <c r="F190" s="445"/>
      <c r="G190" s="445"/>
      <c r="H190" s="445"/>
      <c r="I190" s="445"/>
      <c r="J190" s="445"/>
      <c r="K190" s="445"/>
      <c r="L190" s="445"/>
    </row>
    <row r="191" spans="1:12" x14ac:dyDescent="0.2">
      <c r="A191" s="445"/>
      <c r="B191" s="445"/>
      <c r="C191" s="445"/>
      <c r="D191" s="445"/>
      <c r="E191" s="445"/>
      <c r="F191" s="445"/>
      <c r="G191" s="445"/>
      <c r="H191" s="445"/>
      <c r="I191" s="445"/>
      <c r="J191" s="445"/>
      <c r="K191" s="445"/>
      <c r="L191" s="445"/>
    </row>
    <row r="192" spans="1:12" x14ac:dyDescent="0.2">
      <c r="A192" s="445"/>
      <c r="B192" s="445"/>
      <c r="C192" s="445"/>
      <c r="D192" s="445"/>
      <c r="E192" s="445"/>
      <c r="F192" s="445"/>
      <c r="G192" s="445"/>
      <c r="H192" s="445"/>
      <c r="I192" s="445"/>
      <c r="J192" s="445"/>
      <c r="K192" s="445"/>
      <c r="L192" s="445"/>
    </row>
    <row r="193" spans="1:12" x14ac:dyDescent="0.2">
      <c r="A193" s="445"/>
      <c r="B193" s="445"/>
      <c r="C193" s="445"/>
      <c r="D193" s="445"/>
      <c r="E193" s="445"/>
      <c r="F193" s="445"/>
      <c r="G193" s="445"/>
      <c r="H193" s="445"/>
      <c r="I193" s="445"/>
      <c r="J193" s="445"/>
      <c r="K193" s="445"/>
      <c r="L193" s="445"/>
    </row>
    <row r="194" spans="1:12" x14ac:dyDescent="0.2">
      <c r="A194" s="445"/>
      <c r="B194" s="445"/>
      <c r="C194" s="445"/>
      <c r="D194" s="445"/>
      <c r="E194" s="445"/>
      <c r="F194" s="445"/>
      <c r="G194" s="445"/>
      <c r="H194" s="445"/>
      <c r="I194" s="445"/>
      <c r="J194" s="445"/>
      <c r="K194" s="445"/>
      <c r="L194" s="445"/>
    </row>
    <row r="195" spans="1:12" x14ac:dyDescent="0.2">
      <c r="A195" s="445"/>
      <c r="B195" s="445"/>
      <c r="C195" s="445"/>
      <c r="D195" s="445"/>
      <c r="E195" s="445"/>
      <c r="F195" s="445"/>
      <c r="G195" s="445"/>
      <c r="H195" s="445"/>
      <c r="I195" s="445"/>
      <c r="J195" s="445"/>
      <c r="K195" s="445"/>
      <c r="L195" s="445"/>
    </row>
    <row r="196" spans="1:12" x14ac:dyDescent="0.2">
      <c r="A196" s="445"/>
      <c r="B196" s="445"/>
      <c r="C196" s="445"/>
      <c r="D196" s="445"/>
      <c r="E196" s="445"/>
      <c r="F196" s="445"/>
      <c r="G196" s="445"/>
      <c r="H196" s="445"/>
      <c r="I196" s="445"/>
      <c r="J196" s="445"/>
      <c r="K196" s="445"/>
      <c r="L196" s="445"/>
    </row>
    <row r="197" spans="1:12" x14ac:dyDescent="0.2">
      <c r="A197" s="445"/>
      <c r="B197" s="445"/>
      <c r="C197" s="445"/>
      <c r="D197" s="445"/>
      <c r="E197" s="445"/>
      <c r="F197" s="445"/>
      <c r="G197" s="445"/>
      <c r="H197" s="445"/>
      <c r="I197" s="445"/>
      <c r="J197" s="445"/>
      <c r="K197" s="445"/>
      <c r="L197" s="445"/>
    </row>
    <row r="198" spans="1:12" x14ac:dyDescent="0.2">
      <c r="A198" s="445"/>
      <c r="B198" s="445"/>
      <c r="C198" s="445"/>
      <c r="D198" s="445"/>
      <c r="E198" s="445"/>
      <c r="F198" s="445"/>
      <c r="G198" s="445"/>
      <c r="H198" s="445"/>
      <c r="I198" s="445"/>
      <c r="J198" s="445"/>
      <c r="K198" s="445"/>
      <c r="L198" s="445"/>
    </row>
    <row r="199" spans="1:12" x14ac:dyDescent="0.2">
      <c r="A199" s="445"/>
      <c r="B199" s="445"/>
      <c r="C199" s="445"/>
      <c r="D199" s="445"/>
      <c r="E199" s="445"/>
      <c r="F199" s="445"/>
      <c r="G199" s="445"/>
      <c r="H199" s="445"/>
      <c r="I199" s="445"/>
      <c r="J199" s="445"/>
      <c r="K199" s="445"/>
      <c r="L199" s="445"/>
    </row>
    <row r="200" spans="1:12" x14ac:dyDescent="0.2">
      <c r="A200" s="445"/>
      <c r="B200" s="445"/>
      <c r="C200" s="445"/>
      <c r="D200" s="445"/>
      <c r="E200" s="445"/>
      <c r="F200" s="445"/>
      <c r="G200" s="445"/>
      <c r="H200" s="445"/>
      <c r="I200" s="445"/>
      <c r="J200" s="445"/>
      <c r="K200" s="445"/>
      <c r="L200" s="445"/>
    </row>
    <row r="201" spans="1:12" x14ac:dyDescent="0.2">
      <c r="A201" s="445"/>
      <c r="B201" s="445"/>
      <c r="C201" s="445"/>
      <c r="D201" s="445"/>
      <c r="E201" s="445"/>
      <c r="F201" s="445"/>
      <c r="G201" s="445"/>
      <c r="H201" s="445"/>
      <c r="I201" s="445"/>
      <c r="J201" s="445"/>
      <c r="K201" s="445"/>
      <c r="L201" s="445"/>
    </row>
    <row r="202" spans="1:12" x14ac:dyDescent="0.2">
      <c r="A202" s="445"/>
      <c r="B202" s="445"/>
      <c r="C202" s="445"/>
      <c r="D202" s="445"/>
      <c r="E202" s="445"/>
      <c r="F202" s="445"/>
      <c r="G202" s="445"/>
      <c r="H202" s="445"/>
      <c r="I202" s="445"/>
      <c r="J202" s="445"/>
      <c r="K202" s="445"/>
      <c r="L202" s="445"/>
    </row>
    <row r="203" spans="1:12" x14ac:dyDescent="0.2">
      <c r="A203" s="445"/>
      <c r="B203" s="445"/>
      <c r="C203" s="445"/>
      <c r="D203" s="445"/>
      <c r="E203" s="445"/>
      <c r="F203" s="445"/>
      <c r="G203" s="445"/>
      <c r="H203" s="445"/>
      <c r="I203" s="445"/>
      <c r="J203" s="445"/>
      <c r="K203" s="445"/>
      <c r="L203" s="445"/>
    </row>
    <row r="204" spans="1:12" x14ac:dyDescent="0.2">
      <c r="A204" s="445"/>
      <c r="B204" s="445"/>
      <c r="C204" s="445"/>
      <c r="D204" s="445"/>
      <c r="E204" s="445"/>
      <c r="F204" s="445"/>
      <c r="G204" s="445"/>
      <c r="H204" s="445"/>
      <c r="I204" s="445"/>
      <c r="J204" s="445"/>
      <c r="K204" s="445"/>
      <c r="L204" s="445"/>
    </row>
    <row r="205" spans="1:12" x14ac:dyDescent="0.2">
      <c r="A205" s="445"/>
      <c r="B205" s="445"/>
      <c r="C205" s="445"/>
      <c r="D205" s="445"/>
      <c r="E205" s="445"/>
      <c r="F205" s="445"/>
      <c r="G205" s="445"/>
      <c r="H205" s="445"/>
      <c r="I205" s="445"/>
      <c r="J205" s="445"/>
      <c r="K205" s="445"/>
      <c r="L205" s="445"/>
    </row>
    <row r="206" spans="1:12" x14ac:dyDescent="0.2">
      <c r="A206" s="445"/>
      <c r="B206" s="445"/>
      <c r="C206" s="445"/>
      <c r="D206" s="445"/>
      <c r="E206" s="445"/>
      <c r="F206" s="445"/>
      <c r="G206" s="445"/>
      <c r="H206" s="445"/>
      <c r="I206" s="445"/>
      <c r="J206" s="445"/>
      <c r="K206" s="445"/>
      <c r="L206" s="445"/>
    </row>
    <row r="207" spans="1:12" x14ac:dyDescent="0.2">
      <c r="A207" s="445"/>
      <c r="B207" s="445"/>
      <c r="C207" s="445"/>
      <c r="D207" s="445"/>
      <c r="E207" s="445"/>
      <c r="F207" s="445"/>
      <c r="G207" s="445"/>
      <c r="H207" s="445"/>
      <c r="I207" s="445"/>
      <c r="J207" s="445"/>
      <c r="K207" s="445"/>
      <c r="L207" s="445"/>
    </row>
    <row r="208" spans="1:12" x14ac:dyDescent="0.2">
      <c r="A208" s="445"/>
      <c r="B208" s="445"/>
      <c r="C208" s="445"/>
      <c r="D208" s="445"/>
      <c r="E208" s="445"/>
      <c r="F208" s="445"/>
      <c r="G208" s="445"/>
      <c r="H208" s="445"/>
      <c r="I208" s="445"/>
      <c r="J208" s="445"/>
      <c r="K208" s="445"/>
      <c r="L208" s="445"/>
    </row>
    <row r="209" spans="1:12" x14ac:dyDescent="0.2">
      <c r="A209" s="445"/>
      <c r="B209" s="445"/>
      <c r="C209" s="445"/>
      <c r="D209" s="445"/>
      <c r="E209" s="445"/>
      <c r="F209" s="445"/>
      <c r="G209" s="445"/>
      <c r="H209" s="445"/>
      <c r="I209" s="445"/>
      <c r="J209" s="445"/>
      <c r="K209" s="445"/>
      <c r="L209" s="445"/>
    </row>
    <row r="210" spans="1:12" x14ac:dyDescent="0.2">
      <c r="A210" s="445"/>
      <c r="B210" s="445"/>
      <c r="C210" s="445"/>
      <c r="D210" s="445"/>
      <c r="E210" s="445"/>
      <c r="F210" s="445"/>
      <c r="G210" s="445"/>
      <c r="H210" s="445"/>
      <c r="I210" s="445"/>
      <c r="J210" s="445"/>
      <c r="K210" s="445"/>
      <c r="L210" s="445"/>
    </row>
    <row r="211" spans="1:12" x14ac:dyDescent="0.2">
      <c r="A211" s="445"/>
      <c r="B211" s="445"/>
      <c r="C211" s="445"/>
      <c r="D211" s="445"/>
      <c r="E211" s="445"/>
      <c r="F211" s="445"/>
      <c r="G211" s="445"/>
      <c r="H211" s="445"/>
      <c r="I211" s="445"/>
      <c r="J211" s="445"/>
      <c r="K211" s="445"/>
      <c r="L211" s="445"/>
    </row>
    <row r="212" spans="1:12" x14ac:dyDescent="0.2">
      <c r="A212" s="445"/>
      <c r="B212" s="445"/>
      <c r="C212" s="445"/>
      <c r="D212" s="445"/>
      <c r="E212" s="445"/>
      <c r="F212" s="445"/>
      <c r="G212" s="445"/>
      <c r="H212" s="445"/>
      <c r="I212" s="445"/>
      <c r="J212" s="445"/>
      <c r="K212" s="445"/>
      <c r="L212" s="445"/>
    </row>
    <row r="213" spans="1:12" x14ac:dyDescent="0.2">
      <c r="A213" s="445"/>
      <c r="B213" s="445"/>
      <c r="C213" s="445"/>
      <c r="D213" s="445"/>
      <c r="E213" s="445"/>
      <c r="F213" s="445"/>
      <c r="G213" s="445"/>
      <c r="H213" s="445"/>
      <c r="I213" s="445"/>
      <c r="J213" s="445"/>
      <c r="K213" s="445"/>
      <c r="L213" s="445"/>
    </row>
    <row r="214" spans="1:12" x14ac:dyDescent="0.2">
      <c r="A214" s="445"/>
      <c r="B214" s="445"/>
      <c r="C214" s="445"/>
      <c r="D214" s="445"/>
      <c r="E214" s="445"/>
      <c r="F214" s="445"/>
      <c r="G214" s="445"/>
      <c r="H214" s="445"/>
      <c r="I214" s="445"/>
      <c r="J214" s="445"/>
      <c r="K214" s="445"/>
      <c r="L214" s="445"/>
    </row>
    <row r="215" spans="1:12" x14ac:dyDescent="0.2">
      <c r="A215" s="445"/>
      <c r="B215" s="445"/>
      <c r="C215" s="445"/>
      <c r="D215" s="445"/>
      <c r="E215" s="445"/>
      <c r="F215" s="445"/>
      <c r="G215" s="445"/>
      <c r="H215" s="445"/>
      <c r="I215" s="445"/>
      <c r="J215" s="445"/>
      <c r="K215" s="445"/>
      <c r="L215" s="445"/>
    </row>
    <row r="216" spans="1:12" x14ac:dyDescent="0.2">
      <c r="A216" s="445"/>
      <c r="B216" s="445"/>
      <c r="C216" s="445"/>
      <c r="D216" s="445"/>
      <c r="E216" s="445"/>
      <c r="F216" s="445"/>
      <c r="G216" s="445"/>
      <c r="H216" s="445"/>
      <c r="I216" s="445"/>
      <c r="J216" s="445"/>
      <c r="K216" s="445"/>
      <c r="L216" s="445"/>
    </row>
    <row r="217" spans="1:12" x14ac:dyDescent="0.2">
      <c r="A217" s="445"/>
      <c r="B217" s="445"/>
      <c r="C217" s="445"/>
      <c r="D217" s="445"/>
      <c r="E217" s="445"/>
      <c r="F217" s="445"/>
      <c r="G217" s="445"/>
      <c r="H217" s="445"/>
      <c r="I217" s="445"/>
      <c r="J217" s="445"/>
      <c r="K217" s="445"/>
      <c r="L217" s="445"/>
    </row>
    <row r="218" spans="1:12" x14ac:dyDescent="0.2">
      <c r="A218" s="445"/>
      <c r="B218" s="445"/>
      <c r="C218" s="445"/>
      <c r="D218" s="445"/>
      <c r="E218" s="445"/>
      <c r="F218" s="445"/>
      <c r="G218" s="445"/>
      <c r="H218" s="445"/>
      <c r="I218" s="445"/>
      <c r="J218" s="445"/>
      <c r="K218" s="445"/>
      <c r="L218" s="445"/>
    </row>
    <row r="219" spans="1:12" x14ac:dyDescent="0.2">
      <c r="A219" s="445"/>
      <c r="B219" s="445"/>
      <c r="C219" s="445"/>
      <c r="D219" s="445"/>
      <c r="E219" s="445"/>
      <c r="F219" s="445"/>
      <c r="G219" s="445"/>
      <c r="H219" s="445"/>
      <c r="I219" s="445"/>
      <c r="J219" s="445"/>
      <c r="K219" s="445"/>
      <c r="L219" s="445"/>
    </row>
    <row r="220" spans="1:12" x14ac:dyDescent="0.2">
      <c r="A220" s="445"/>
      <c r="B220" s="445"/>
      <c r="C220" s="445"/>
      <c r="D220" s="445"/>
      <c r="E220" s="445"/>
      <c r="F220" s="445"/>
      <c r="G220" s="445"/>
      <c r="H220" s="445"/>
      <c r="I220" s="445"/>
      <c r="J220" s="445"/>
      <c r="K220" s="445"/>
      <c r="L220" s="445"/>
    </row>
    <row r="221" spans="1:12" x14ac:dyDescent="0.2">
      <c r="A221" s="445"/>
      <c r="B221" s="445"/>
      <c r="C221" s="445"/>
      <c r="D221" s="445"/>
      <c r="E221" s="445"/>
      <c r="F221" s="445"/>
      <c r="G221" s="445"/>
      <c r="H221" s="445"/>
      <c r="I221" s="445"/>
      <c r="J221" s="445"/>
      <c r="K221" s="445"/>
      <c r="L221" s="445"/>
    </row>
    <row r="222" spans="1:12" x14ac:dyDescent="0.2">
      <c r="A222" s="445"/>
      <c r="B222" s="445"/>
      <c r="C222" s="445"/>
      <c r="D222" s="445"/>
      <c r="E222" s="445"/>
      <c r="F222" s="445"/>
      <c r="G222" s="445"/>
      <c r="H222" s="445"/>
      <c r="I222" s="445"/>
      <c r="J222" s="445"/>
      <c r="K222" s="445"/>
      <c r="L222" s="445"/>
    </row>
    <row r="223" spans="1:12" x14ac:dyDescent="0.2">
      <c r="A223" s="445"/>
      <c r="B223" s="445"/>
      <c r="C223" s="445"/>
      <c r="D223" s="445"/>
      <c r="E223" s="445"/>
      <c r="F223" s="445"/>
      <c r="G223" s="445"/>
      <c r="H223" s="445"/>
      <c r="I223" s="445"/>
      <c r="J223" s="445"/>
      <c r="K223" s="445"/>
      <c r="L223" s="445"/>
    </row>
    <row r="224" spans="1:12" x14ac:dyDescent="0.2">
      <c r="A224" s="445"/>
      <c r="B224" s="445"/>
      <c r="C224" s="445"/>
      <c r="D224" s="445"/>
      <c r="E224" s="445"/>
      <c r="F224" s="445"/>
      <c r="G224" s="445"/>
      <c r="H224" s="445"/>
      <c r="I224" s="445"/>
      <c r="J224" s="445"/>
      <c r="K224" s="445"/>
      <c r="L224" s="445"/>
    </row>
    <row r="225" spans="1:12" x14ac:dyDescent="0.2">
      <c r="A225" s="445"/>
      <c r="B225" s="445"/>
      <c r="C225" s="445"/>
      <c r="D225" s="445"/>
      <c r="E225" s="445"/>
      <c r="F225" s="445"/>
      <c r="G225" s="445"/>
      <c r="H225" s="445"/>
      <c r="I225" s="445"/>
      <c r="J225" s="445"/>
      <c r="K225" s="445"/>
      <c r="L225" s="445"/>
    </row>
    <row r="226" spans="1:12" x14ac:dyDescent="0.2">
      <c r="A226" s="445"/>
      <c r="B226" s="445"/>
      <c r="C226" s="445"/>
      <c r="D226" s="445"/>
      <c r="E226" s="445"/>
      <c r="F226" s="445"/>
      <c r="G226" s="445"/>
      <c r="H226" s="445"/>
      <c r="I226" s="445"/>
      <c r="J226" s="445"/>
      <c r="K226" s="445"/>
      <c r="L226" s="445"/>
    </row>
    <row r="227" spans="1:12" x14ac:dyDescent="0.2">
      <c r="A227" s="445"/>
      <c r="B227" s="445"/>
      <c r="C227" s="445"/>
      <c r="D227" s="445"/>
      <c r="E227" s="445"/>
      <c r="F227" s="445"/>
      <c r="G227" s="445"/>
      <c r="H227" s="445"/>
      <c r="I227" s="445"/>
      <c r="J227" s="445"/>
      <c r="K227" s="445"/>
      <c r="L227" s="445"/>
    </row>
    <row r="228" spans="1:12" x14ac:dyDescent="0.2">
      <c r="A228" s="445"/>
      <c r="B228" s="445"/>
      <c r="C228" s="445"/>
      <c r="D228" s="445"/>
      <c r="E228" s="445"/>
      <c r="F228" s="445"/>
      <c r="G228" s="445"/>
      <c r="H228" s="445"/>
      <c r="I228" s="445"/>
      <c r="J228" s="445"/>
      <c r="K228" s="445"/>
      <c r="L228" s="445"/>
    </row>
    <row r="229" spans="1:12" x14ac:dyDescent="0.2">
      <c r="A229" s="445"/>
      <c r="B229" s="445"/>
      <c r="C229" s="445"/>
      <c r="D229" s="445"/>
      <c r="E229" s="445"/>
      <c r="F229" s="445"/>
      <c r="G229" s="445"/>
      <c r="H229" s="445"/>
      <c r="I229" s="445"/>
      <c r="J229" s="445"/>
      <c r="K229" s="445"/>
      <c r="L229" s="445"/>
    </row>
    <row r="230" spans="1:12" x14ac:dyDescent="0.2">
      <c r="A230" s="445"/>
      <c r="B230" s="445"/>
      <c r="C230" s="445"/>
      <c r="D230" s="445"/>
      <c r="E230" s="445"/>
      <c r="F230" s="445"/>
      <c r="G230" s="445"/>
      <c r="H230" s="445"/>
      <c r="I230" s="445"/>
      <c r="J230" s="445"/>
      <c r="K230" s="445"/>
      <c r="L230" s="445"/>
    </row>
    <row r="231" spans="1:12" x14ac:dyDescent="0.2">
      <c r="A231" s="445"/>
      <c r="B231" s="445"/>
      <c r="C231" s="445"/>
      <c r="D231" s="445"/>
      <c r="E231" s="445"/>
      <c r="F231" s="445"/>
      <c r="G231" s="445"/>
      <c r="H231" s="445"/>
      <c r="I231" s="445"/>
      <c r="J231" s="445"/>
      <c r="K231" s="445"/>
      <c r="L231" s="445"/>
    </row>
    <row r="232" spans="1:12" x14ac:dyDescent="0.2">
      <c r="A232" s="445"/>
      <c r="B232" s="445"/>
      <c r="C232" s="445"/>
      <c r="D232" s="445"/>
      <c r="E232" s="445"/>
      <c r="F232" s="445"/>
      <c r="G232" s="445"/>
      <c r="H232" s="445"/>
      <c r="I232" s="445"/>
      <c r="J232" s="445"/>
      <c r="K232" s="445"/>
      <c r="L232" s="445"/>
    </row>
    <row r="233" spans="1:12" x14ac:dyDescent="0.2">
      <c r="A233" s="445"/>
      <c r="B233" s="445"/>
      <c r="C233" s="445"/>
      <c r="D233" s="445"/>
      <c r="E233" s="445"/>
      <c r="F233" s="445"/>
      <c r="G233" s="445"/>
      <c r="H233" s="445"/>
      <c r="I233" s="445"/>
      <c r="J233" s="445"/>
      <c r="K233" s="445"/>
      <c r="L233" s="445"/>
    </row>
    <row r="234" spans="1:12" x14ac:dyDescent="0.2">
      <c r="A234" s="445"/>
      <c r="B234" s="445"/>
      <c r="C234" s="445"/>
      <c r="D234" s="445"/>
      <c r="E234" s="445"/>
      <c r="F234" s="445"/>
      <c r="G234" s="445"/>
      <c r="H234" s="445"/>
      <c r="I234" s="445"/>
      <c r="J234" s="445"/>
      <c r="K234" s="445"/>
      <c r="L234" s="445"/>
    </row>
    <row r="235" spans="1:12" x14ac:dyDescent="0.2">
      <c r="A235" s="445"/>
      <c r="B235" s="445"/>
      <c r="C235" s="445"/>
      <c r="D235" s="445"/>
      <c r="E235" s="445"/>
      <c r="F235" s="445"/>
      <c r="G235" s="445"/>
      <c r="H235" s="445"/>
      <c r="I235" s="445"/>
      <c r="J235" s="445"/>
      <c r="K235" s="445"/>
      <c r="L235" s="445"/>
    </row>
    <row r="236" spans="1:12" x14ac:dyDescent="0.2">
      <c r="A236" s="445"/>
      <c r="B236" s="445"/>
      <c r="C236" s="445"/>
      <c r="D236" s="445"/>
      <c r="E236" s="445"/>
      <c r="F236" s="445"/>
      <c r="G236" s="445"/>
      <c r="H236" s="445"/>
      <c r="I236" s="445"/>
      <c r="J236" s="445"/>
      <c r="K236" s="445"/>
      <c r="L236" s="445"/>
    </row>
    <row r="237" spans="1:12" x14ac:dyDescent="0.2">
      <c r="A237" s="445"/>
      <c r="B237" s="445"/>
      <c r="C237" s="445"/>
      <c r="D237" s="445"/>
      <c r="E237" s="445"/>
      <c r="F237" s="445"/>
      <c r="G237" s="445"/>
      <c r="H237" s="445"/>
      <c r="I237" s="445"/>
      <c r="J237" s="445"/>
      <c r="K237" s="445"/>
      <c r="L237" s="445"/>
    </row>
    <row r="238" spans="1:12" x14ac:dyDescent="0.2">
      <c r="A238" s="445"/>
      <c r="B238" s="445"/>
      <c r="C238" s="445"/>
      <c r="D238" s="445"/>
      <c r="E238" s="445"/>
      <c r="F238" s="445"/>
      <c r="G238" s="445"/>
      <c r="H238" s="445"/>
      <c r="I238" s="445"/>
      <c r="J238" s="445"/>
      <c r="K238" s="445"/>
      <c r="L238" s="445"/>
    </row>
    <row r="239" spans="1:12" x14ac:dyDescent="0.2">
      <c r="A239" s="445"/>
      <c r="B239" s="445"/>
      <c r="C239" s="445"/>
      <c r="D239" s="445"/>
      <c r="E239" s="445"/>
      <c r="F239" s="445"/>
      <c r="G239" s="445"/>
      <c r="H239" s="445"/>
      <c r="I239" s="445"/>
      <c r="J239" s="445"/>
      <c r="K239" s="445"/>
      <c r="L239" s="445"/>
    </row>
    <row r="240" spans="1:12" x14ac:dyDescent="0.2">
      <c r="A240" s="445"/>
      <c r="B240" s="445"/>
      <c r="C240" s="445"/>
      <c r="D240" s="445"/>
      <c r="E240" s="445"/>
      <c r="F240" s="445"/>
      <c r="G240" s="445"/>
      <c r="H240" s="445"/>
      <c r="I240" s="445"/>
      <c r="J240" s="445"/>
      <c r="K240" s="445"/>
      <c r="L240" s="445"/>
    </row>
    <row r="241" spans="1:12" x14ac:dyDescent="0.2">
      <c r="A241" s="445"/>
      <c r="B241" s="445"/>
      <c r="C241" s="445"/>
      <c r="D241" s="445"/>
      <c r="E241" s="445"/>
      <c r="F241" s="445"/>
      <c r="G241" s="445"/>
      <c r="H241" s="445"/>
      <c r="I241" s="445"/>
      <c r="J241" s="445"/>
      <c r="K241" s="445"/>
      <c r="L241" s="445"/>
    </row>
    <row r="242" spans="1:12" x14ac:dyDescent="0.2">
      <c r="A242" s="445"/>
      <c r="B242" s="445"/>
      <c r="C242" s="445"/>
      <c r="D242" s="445"/>
      <c r="E242" s="445"/>
      <c r="F242" s="445"/>
      <c r="G242" s="445"/>
      <c r="H242" s="445"/>
      <c r="I242" s="445"/>
      <c r="J242" s="445"/>
      <c r="K242" s="445"/>
      <c r="L242" s="445"/>
    </row>
    <row r="243" spans="1:12" x14ac:dyDescent="0.2">
      <c r="A243" s="445"/>
      <c r="B243" s="445"/>
      <c r="C243" s="445"/>
      <c r="D243" s="445"/>
      <c r="E243" s="445"/>
      <c r="F243" s="445"/>
      <c r="G243" s="445"/>
      <c r="H243" s="445"/>
      <c r="I243" s="445"/>
      <c r="J243" s="445"/>
      <c r="K243" s="445"/>
      <c r="L243" s="445"/>
    </row>
    <row r="244" spans="1:12" x14ac:dyDescent="0.2">
      <c r="A244" s="445"/>
      <c r="B244" s="445"/>
      <c r="C244" s="445"/>
      <c r="D244" s="445"/>
      <c r="E244" s="445"/>
      <c r="F244" s="445"/>
      <c r="G244" s="445"/>
      <c r="H244" s="445"/>
      <c r="I244" s="445"/>
      <c r="J244" s="445"/>
      <c r="K244" s="445"/>
      <c r="L244" s="445"/>
    </row>
    <row r="245" spans="1:12" x14ac:dyDescent="0.2">
      <c r="A245" s="445"/>
      <c r="B245" s="445"/>
      <c r="C245" s="445"/>
      <c r="D245" s="445"/>
      <c r="E245" s="445"/>
      <c r="F245" s="445"/>
      <c r="G245" s="445"/>
      <c r="H245" s="445"/>
      <c r="I245" s="445"/>
      <c r="J245" s="445"/>
      <c r="K245" s="445"/>
      <c r="L245" s="445"/>
    </row>
    <row r="246" spans="1:12" x14ac:dyDescent="0.2">
      <c r="A246" s="445"/>
      <c r="B246" s="445"/>
      <c r="C246" s="445"/>
      <c r="D246" s="445"/>
      <c r="E246" s="445"/>
      <c r="F246" s="445"/>
      <c r="G246" s="445"/>
      <c r="H246" s="445"/>
      <c r="I246" s="445"/>
      <c r="J246" s="445"/>
      <c r="K246" s="445"/>
      <c r="L246" s="445"/>
    </row>
    <row r="247" spans="1:12" x14ac:dyDescent="0.2">
      <c r="A247" s="445"/>
      <c r="B247" s="445"/>
      <c r="C247" s="445"/>
      <c r="D247" s="445"/>
      <c r="E247" s="445"/>
      <c r="F247" s="445"/>
      <c r="G247" s="445"/>
      <c r="H247" s="445"/>
      <c r="I247" s="445"/>
      <c r="J247" s="445"/>
      <c r="K247" s="445"/>
      <c r="L247" s="445"/>
    </row>
    <row r="248" spans="1:12" x14ac:dyDescent="0.2">
      <c r="A248" s="445"/>
      <c r="B248" s="445"/>
      <c r="C248" s="445"/>
      <c r="D248" s="445"/>
      <c r="E248" s="445"/>
      <c r="F248" s="445"/>
      <c r="G248" s="445"/>
      <c r="H248" s="445"/>
      <c r="I248" s="445"/>
      <c r="J248" s="445"/>
      <c r="K248" s="445"/>
      <c r="L248" s="445"/>
    </row>
    <row r="249" spans="1:12" x14ac:dyDescent="0.2">
      <c r="A249" s="445"/>
      <c r="B249" s="445"/>
      <c r="C249" s="445"/>
      <c r="D249" s="445"/>
      <c r="E249" s="445"/>
      <c r="F249" s="445"/>
      <c r="G249" s="445"/>
      <c r="H249" s="445"/>
      <c r="I249" s="445"/>
      <c r="J249" s="445"/>
      <c r="K249" s="445"/>
      <c r="L249" s="445"/>
    </row>
    <row r="250" spans="1:12" x14ac:dyDescent="0.2">
      <c r="A250" s="445"/>
      <c r="B250" s="445"/>
      <c r="C250" s="445"/>
      <c r="D250" s="445"/>
      <c r="E250" s="445"/>
      <c r="F250" s="445"/>
      <c r="G250" s="445"/>
      <c r="H250" s="445"/>
      <c r="I250" s="445"/>
      <c r="J250" s="445"/>
      <c r="K250" s="445"/>
      <c r="L250" s="445"/>
    </row>
    <row r="251" spans="1:12" x14ac:dyDescent="0.2">
      <c r="A251" s="445"/>
      <c r="B251" s="445"/>
      <c r="C251" s="445"/>
      <c r="D251" s="445"/>
      <c r="E251" s="445"/>
      <c r="F251" s="445"/>
      <c r="G251" s="445"/>
      <c r="H251" s="445"/>
      <c r="I251" s="445"/>
      <c r="J251" s="445"/>
      <c r="K251" s="445"/>
      <c r="L251" s="445"/>
    </row>
    <row r="252" spans="1:12" x14ac:dyDescent="0.2">
      <c r="A252" s="445"/>
      <c r="B252" s="445"/>
      <c r="C252" s="445"/>
      <c r="D252" s="445"/>
      <c r="E252" s="445"/>
      <c r="F252" s="445"/>
      <c r="G252" s="445"/>
      <c r="H252" s="445"/>
      <c r="I252" s="445"/>
      <c r="J252" s="445"/>
      <c r="K252" s="445"/>
      <c r="L252" s="445"/>
    </row>
    <row r="253" spans="1:12" x14ac:dyDescent="0.2">
      <c r="A253" s="445"/>
      <c r="B253" s="445"/>
      <c r="C253" s="445"/>
      <c r="D253" s="445"/>
      <c r="E253" s="445"/>
      <c r="F253" s="445"/>
      <c r="G253" s="445"/>
      <c r="H253" s="445"/>
      <c r="I253" s="445"/>
      <c r="J253" s="445"/>
      <c r="K253" s="445"/>
      <c r="L253" s="445"/>
    </row>
    <row r="254" spans="1:12" x14ac:dyDescent="0.2">
      <c r="A254" s="445"/>
      <c r="B254" s="445"/>
      <c r="C254" s="445"/>
      <c r="D254" s="445"/>
      <c r="E254" s="445"/>
      <c r="F254" s="445"/>
      <c r="G254" s="445"/>
      <c r="H254" s="445"/>
      <c r="I254" s="445"/>
      <c r="J254" s="445"/>
      <c r="K254" s="445"/>
      <c r="L254" s="445"/>
    </row>
    <row r="255" spans="1:12" x14ac:dyDescent="0.2">
      <c r="A255" s="445"/>
      <c r="B255" s="445"/>
      <c r="C255" s="445"/>
      <c r="D255" s="445"/>
      <c r="E255" s="445"/>
      <c r="F255" s="445"/>
      <c r="G255" s="445"/>
      <c r="H255" s="445"/>
      <c r="I255" s="445"/>
      <c r="J255" s="445"/>
      <c r="K255" s="445"/>
      <c r="L255" s="445"/>
    </row>
    <row r="256" spans="1:12" x14ac:dyDescent="0.2">
      <c r="A256" s="445"/>
      <c r="B256" s="445"/>
      <c r="C256" s="445"/>
      <c r="D256" s="445"/>
      <c r="E256" s="445"/>
      <c r="F256" s="445"/>
      <c r="G256" s="445"/>
      <c r="H256" s="445"/>
      <c r="I256" s="445"/>
      <c r="J256" s="445"/>
      <c r="K256" s="445"/>
      <c r="L256" s="445"/>
    </row>
    <row r="257" spans="1:12" x14ac:dyDescent="0.2">
      <c r="A257" s="445"/>
      <c r="B257" s="445"/>
      <c r="C257" s="445"/>
      <c r="D257" s="445"/>
      <c r="E257" s="445"/>
      <c r="F257" s="445"/>
      <c r="G257" s="445"/>
      <c r="H257" s="445"/>
      <c r="I257" s="445"/>
      <c r="J257" s="445"/>
      <c r="K257" s="445"/>
      <c r="L257" s="445"/>
    </row>
    <row r="258" spans="1:12" x14ac:dyDescent="0.2">
      <c r="A258" s="445"/>
      <c r="B258" s="445"/>
      <c r="C258" s="445"/>
      <c r="D258" s="445"/>
      <c r="E258" s="445"/>
      <c r="F258" s="445"/>
      <c r="G258" s="445"/>
      <c r="H258" s="445"/>
      <c r="I258" s="445"/>
      <c r="J258" s="445"/>
      <c r="K258" s="445"/>
      <c r="L258" s="445"/>
    </row>
    <row r="259" spans="1:12" x14ac:dyDescent="0.2">
      <c r="A259" s="445"/>
      <c r="B259" s="445"/>
      <c r="C259" s="445"/>
      <c r="D259" s="445"/>
      <c r="E259" s="445"/>
      <c r="F259" s="445"/>
      <c r="G259" s="445"/>
      <c r="H259" s="445"/>
      <c r="I259" s="445"/>
      <c r="J259" s="445"/>
      <c r="K259" s="445"/>
      <c r="L259" s="445"/>
    </row>
    <row r="260" spans="1:12" x14ac:dyDescent="0.2">
      <c r="A260" s="445"/>
      <c r="B260" s="445"/>
      <c r="C260" s="445"/>
      <c r="D260" s="445"/>
      <c r="E260" s="445"/>
      <c r="F260" s="445"/>
      <c r="G260" s="445"/>
      <c r="H260" s="445"/>
      <c r="I260" s="445"/>
      <c r="J260" s="445"/>
      <c r="K260" s="445"/>
      <c r="L260" s="445"/>
    </row>
    <row r="261" spans="1:12" x14ac:dyDescent="0.2">
      <c r="A261" s="445"/>
      <c r="B261" s="445"/>
      <c r="C261" s="445"/>
      <c r="D261" s="445"/>
      <c r="E261" s="445"/>
      <c r="F261" s="445"/>
      <c r="G261" s="445"/>
      <c r="H261" s="445"/>
      <c r="I261" s="445"/>
      <c r="J261" s="445"/>
      <c r="K261" s="445"/>
      <c r="L261" s="445"/>
    </row>
    <row r="262" spans="1:12" x14ac:dyDescent="0.2">
      <c r="A262" s="445"/>
      <c r="B262" s="445"/>
      <c r="C262" s="445"/>
      <c r="D262" s="445"/>
      <c r="E262" s="445"/>
      <c r="F262" s="445"/>
      <c r="G262" s="445"/>
      <c r="H262" s="445"/>
      <c r="I262" s="445"/>
      <c r="J262" s="445"/>
      <c r="K262" s="445"/>
      <c r="L262" s="445"/>
    </row>
    <row r="263" spans="1:12" x14ac:dyDescent="0.2">
      <c r="A263" s="445"/>
      <c r="B263" s="445"/>
      <c r="C263" s="445"/>
      <c r="D263" s="445"/>
      <c r="E263" s="445"/>
      <c r="F263" s="445"/>
      <c r="G263" s="445"/>
      <c r="H263" s="445"/>
      <c r="I263" s="445"/>
      <c r="J263" s="445"/>
      <c r="K263" s="445"/>
      <c r="L263" s="445"/>
    </row>
    <row r="264" spans="1:12" x14ac:dyDescent="0.2">
      <c r="A264" s="445"/>
      <c r="B264" s="445"/>
      <c r="C264" s="445"/>
      <c r="D264" s="445"/>
      <c r="E264" s="445"/>
      <c r="F264" s="445"/>
      <c r="G264" s="445"/>
      <c r="H264" s="445"/>
      <c r="I264" s="445"/>
      <c r="J264" s="445"/>
      <c r="K264" s="445"/>
      <c r="L264" s="445"/>
    </row>
    <row r="265" spans="1:12" x14ac:dyDescent="0.2">
      <c r="A265" s="445"/>
      <c r="B265" s="445"/>
      <c r="C265" s="445"/>
      <c r="D265" s="445"/>
      <c r="E265" s="445"/>
      <c r="F265" s="445"/>
      <c r="G265" s="445"/>
      <c r="H265" s="445"/>
      <c r="I265" s="445"/>
      <c r="J265" s="445"/>
      <c r="K265" s="445"/>
      <c r="L265" s="445"/>
    </row>
    <row r="266" spans="1:12" x14ac:dyDescent="0.2">
      <c r="A266" s="445"/>
      <c r="B266" s="445"/>
      <c r="C266" s="445"/>
      <c r="D266" s="445"/>
      <c r="E266" s="445"/>
      <c r="F266" s="445"/>
      <c r="G266" s="445"/>
      <c r="H266" s="445"/>
      <c r="I266" s="445"/>
      <c r="J266" s="445"/>
      <c r="K266" s="445"/>
      <c r="L266" s="445"/>
    </row>
    <row r="267" spans="1:12" x14ac:dyDescent="0.2">
      <c r="A267" s="445"/>
      <c r="B267" s="445"/>
      <c r="C267" s="445"/>
      <c r="D267" s="445"/>
      <c r="E267" s="445"/>
      <c r="F267" s="445"/>
      <c r="G267" s="445"/>
      <c r="H267" s="445"/>
      <c r="I267" s="445"/>
      <c r="J267" s="445"/>
      <c r="K267" s="445"/>
      <c r="L267" s="445"/>
    </row>
    <row r="268" spans="1:12" x14ac:dyDescent="0.2">
      <c r="A268" s="445"/>
      <c r="B268" s="445"/>
      <c r="C268" s="445"/>
      <c r="D268" s="445"/>
      <c r="E268" s="445"/>
      <c r="F268" s="445"/>
      <c r="G268" s="445"/>
      <c r="H268" s="445"/>
      <c r="I268" s="445"/>
      <c r="J268" s="445"/>
      <c r="K268" s="445"/>
      <c r="L268" s="445"/>
    </row>
    <row r="269" spans="1:12" x14ac:dyDescent="0.2">
      <c r="A269" s="445"/>
      <c r="B269" s="445"/>
      <c r="C269" s="445"/>
      <c r="D269" s="445"/>
      <c r="E269" s="445"/>
      <c r="F269" s="445"/>
      <c r="G269" s="445"/>
      <c r="H269" s="445"/>
      <c r="I269" s="445"/>
      <c r="J269" s="445"/>
      <c r="K269" s="445"/>
      <c r="L269" s="445"/>
    </row>
    <row r="270" spans="1:12" x14ac:dyDescent="0.2">
      <c r="A270" s="445"/>
      <c r="B270" s="445"/>
      <c r="C270" s="445"/>
      <c r="D270" s="445"/>
      <c r="E270" s="445"/>
      <c r="F270" s="445"/>
      <c r="G270" s="445"/>
      <c r="H270" s="445"/>
      <c r="I270" s="445"/>
      <c r="J270" s="445"/>
      <c r="K270" s="445"/>
      <c r="L270" s="445"/>
    </row>
    <row r="271" spans="1:12" x14ac:dyDescent="0.2">
      <c r="A271" s="445"/>
      <c r="B271" s="445"/>
      <c r="C271" s="445"/>
      <c r="D271" s="445"/>
      <c r="E271" s="445"/>
      <c r="F271" s="445"/>
      <c r="G271" s="445"/>
      <c r="H271" s="445"/>
      <c r="I271" s="445"/>
      <c r="J271" s="445"/>
      <c r="K271" s="445"/>
      <c r="L271" s="445"/>
    </row>
    <row r="272" spans="1:12" x14ac:dyDescent="0.2">
      <c r="A272" s="445"/>
      <c r="B272" s="445"/>
      <c r="C272" s="445"/>
      <c r="D272" s="445"/>
      <c r="E272" s="445"/>
      <c r="F272" s="445"/>
      <c r="G272" s="445"/>
      <c r="H272" s="445"/>
      <c r="I272" s="445"/>
      <c r="J272" s="445"/>
      <c r="K272" s="445"/>
      <c r="L272" s="445"/>
    </row>
    <row r="273" spans="1:12" x14ac:dyDescent="0.2">
      <c r="A273" s="445"/>
      <c r="B273" s="445"/>
      <c r="C273" s="445"/>
      <c r="D273" s="445"/>
      <c r="E273" s="445"/>
      <c r="F273" s="445"/>
      <c r="G273" s="445"/>
      <c r="H273" s="445"/>
      <c r="I273" s="445"/>
      <c r="J273" s="445"/>
      <c r="K273" s="445"/>
      <c r="L273" s="445"/>
    </row>
    <row r="274" spans="1:12" x14ac:dyDescent="0.2">
      <c r="A274" s="445"/>
      <c r="B274" s="445"/>
      <c r="C274" s="445"/>
      <c r="D274" s="445"/>
      <c r="E274" s="445"/>
      <c r="F274" s="445"/>
      <c r="G274" s="445"/>
      <c r="H274" s="445"/>
      <c r="I274" s="445"/>
      <c r="J274" s="445"/>
      <c r="K274" s="445"/>
      <c r="L274" s="445"/>
    </row>
    <row r="275" spans="1:12" x14ac:dyDescent="0.2">
      <c r="A275" s="445"/>
      <c r="B275" s="445"/>
      <c r="C275" s="445"/>
      <c r="D275" s="445"/>
      <c r="E275" s="445"/>
      <c r="F275" s="445"/>
      <c r="G275" s="445"/>
      <c r="H275" s="445"/>
      <c r="I275" s="445"/>
      <c r="J275" s="445"/>
      <c r="K275" s="445"/>
      <c r="L275" s="445"/>
    </row>
    <row r="276" spans="1:12" x14ac:dyDescent="0.2">
      <c r="A276" s="445"/>
      <c r="B276" s="445"/>
      <c r="C276" s="445"/>
      <c r="D276" s="445"/>
      <c r="E276" s="445"/>
      <c r="F276" s="445"/>
      <c r="G276" s="445"/>
      <c r="H276" s="445"/>
      <c r="I276" s="445"/>
      <c r="J276" s="445"/>
      <c r="K276" s="445"/>
      <c r="L276" s="445"/>
    </row>
    <row r="277" spans="1:12" x14ac:dyDescent="0.2">
      <c r="A277" s="445"/>
      <c r="B277" s="445"/>
      <c r="C277" s="445"/>
      <c r="D277" s="445"/>
      <c r="E277" s="445"/>
      <c r="F277" s="445"/>
      <c r="G277" s="445"/>
      <c r="H277" s="445"/>
      <c r="I277" s="445"/>
      <c r="J277" s="445"/>
      <c r="K277" s="445"/>
      <c r="L277" s="445"/>
    </row>
    <row r="278" spans="1:12" x14ac:dyDescent="0.2">
      <c r="A278" s="445"/>
      <c r="B278" s="445"/>
      <c r="C278" s="445"/>
      <c r="D278" s="445"/>
      <c r="E278" s="445"/>
      <c r="F278" s="445"/>
      <c r="G278" s="445"/>
      <c r="H278" s="445"/>
      <c r="I278" s="445"/>
      <c r="J278" s="445"/>
      <c r="K278" s="445"/>
      <c r="L278" s="445"/>
    </row>
    <row r="279" spans="1:12" x14ac:dyDescent="0.2">
      <c r="A279" s="445"/>
      <c r="B279" s="445"/>
      <c r="C279" s="445"/>
      <c r="D279" s="445"/>
      <c r="E279" s="445"/>
      <c r="F279" s="445"/>
      <c r="G279" s="445"/>
      <c r="H279" s="445"/>
      <c r="I279" s="445"/>
      <c r="J279" s="445"/>
      <c r="K279" s="445"/>
      <c r="L279" s="445"/>
    </row>
    <row r="280" spans="1:12" x14ac:dyDescent="0.2">
      <c r="A280" s="445"/>
      <c r="B280" s="445"/>
      <c r="C280" s="445"/>
      <c r="D280" s="445"/>
      <c r="E280" s="445"/>
      <c r="F280" s="445"/>
      <c r="G280" s="445"/>
      <c r="H280" s="445"/>
      <c r="I280" s="445"/>
      <c r="J280" s="445"/>
      <c r="K280" s="445"/>
      <c r="L280" s="445"/>
    </row>
    <row r="281" spans="1:12" x14ac:dyDescent="0.2">
      <c r="A281" s="445"/>
      <c r="B281" s="445"/>
      <c r="C281" s="445"/>
      <c r="D281" s="445"/>
      <c r="E281" s="445"/>
      <c r="F281" s="445"/>
      <c r="G281" s="445"/>
      <c r="H281" s="445"/>
      <c r="I281" s="445"/>
      <c r="J281" s="445"/>
      <c r="K281" s="445"/>
      <c r="L281" s="445"/>
    </row>
    <row r="282" spans="1:12" x14ac:dyDescent="0.2">
      <c r="A282" s="445"/>
      <c r="B282" s="445"/>
      <c r="C282" s="445"/>
      <c r="D282" s="445"/>
      <c r="E282" s="445"/>
      <c r="F282" s="445"/>
      <c r="G282" s="445"/>
      <c r="H282" s="445"/>
      <c r="I282" s="445"/>
      <c r="J282" s="445"/>
      <c r="K282" s="445"/>
      <c r="L282" s="445"/>
    </row>
    <row r="283" spans="1:12" x14ac:dyDescent="0.2">
      <c r="A283" s="445"/>
      <c r="B283" s="445"/>
      <c r="C283" s="445"/>
      <c r="D283" s="445"/>
      <c r="E283" s="445"/>
      <c r="F283" s="445"/>
      <c r="G283" s="445"/>
      <c r="H283" s="445"/>
      <c r="I283" s="445"/>
      <c r="J283" s="445"/>
      <c r="K283" s="445"/>
      <c r="L283" s="445"/>
    </row>
    <row r="284" spans="1:12" x14ac:dyDescent="0.2">
      <c r="A284" s="445"/>
      <c r="B284" s="445"/>
      <c r="C284" s="445"/>
      <c r="D284" s="445"/>
      <c r="E284" s="445"/>
      <c r="F284" s="445"/>
      <c r="G284" s="445"/>
      <c r="H284" s="445"/>
      <c r="I284" s="445"/>
      <c r="J284" s="445"/>
      <c r="K284" s="445"/>
      <c r="L284" s="445"/>
    </row>
    <row r="285" spans="1:12" x14ac:dyDescent="0.2">
      <c r="A285" s="445"/>
      <c r="B285" s="445"/>
      <c r="C285" s="445"/>
      <c r="D285" s="445"/>
      <c r="E285" s="445"/>
      <c r="F285" s="445"/>
      <c r="G285" s="445"/>
      <c r="H285" s="445"/>
      <c r="I285" s="445"/>
      <c r="J285" s="445"/>
      <c r="K285" s="445"/>
      <c r="L285" s="445"/>
    </row>
    <row r="286" spans="1:12" x14ac:dyDescent="0.2">
      <c r="A286" s="445"/>
      <c r="B286" s="445"/>
      <c r="C286" s="445"/>
      <c r="D286" s="445"/>
      <c r="E286" s="445"/>
      <c r="F286" s="445"/>
      <c r="G286" s="445"/>
      <c r="H286" s="445"/>
      <c r="I286" s="445"/>
      <c r="J286" s="445"/>
      <c r="K286" s="445"/>
      <c r="L286" s="445"/>
    </row>
    <row r="287" spans="1:12" x14ac:dyDescent="0.2">
      <c r="A287" s="445"/>
      <c r="B287" s="445"/>
      <c r="C287" s="445"/>
      <c r="D287" s="445"/>
      <c r="E287" s="445"/>
      <c r="F287" s="445"/>
      <c r="G287" s="445"/>
      <c r="H287" s="445"/>
      <c r="I287" s="445"/>
      <c r="J287" s="445"/>
      <c r="K287" s="445"/>
      <c r="L287" s="445"/>
    </row>
    <row r="288" spans="1:12" x14ac:dyDescent="0.2">
      <c r="A288" s="445"/>
      <c r="B288" s="445"/>
      <c r="C288" s="445"/>
      <c r="D288" s="445"/>
      <c r="E288" s="445"/>
      <c r="F288" s="445"/>
      <c r="G288" s="445"/>
      <c r="H288" s="445"/>
      <c r="I288" s="445"/>
      <c r="J288" s="445"/>
      <c r="K288" s="445"/>
      <c r="L288" s="445"/>
    </row>
    <row r="289" spans="1:12" x14ac:dyDescent="0.2">
      <c r="A289" s="445"/>
      <c r="B289" s="445"/>
      <c r="C289" s="445"/>
      <c r="D289" s="445"/>
      <c r="E289" s="445"/>
      <c r="F289" s="445"/>
      <c r="G289" s="445"/>
      <c r="H289" s="445"/>
      <c r="I289" s="445"/>
      <c r="J289" s="445"/>
      <c r="K289" s="445"/>
      <c r="L289" s="445"/>
    </row>
    <row r="290" spans="1:12" x14ac:dyDescent="0.2">
      <c r="A290" s="445"/>
      <c r="B290" s="445"/>
      <c r="C290" s="445"/>
      <c r="D290" s="445"/>
      <c r="E290" s="445"/>
      <c r="F290" s="445"/>
      <c r="G290" s="445"/>
      <c r="H290" s="445"/>
      <c r="I290" s="445"/>
      <c r="J290" s="445"/>
      <c r="K290" s="445"/>
      <c r="L290" s="445"/>
    </row>
    <row r="291" spans="1:12" x14ac:dyDescent="0.2">
      <c r="A291" s="445"/>
      <c r="B291" s="445"/>
      <c r="C291" s="445"/>
      <c r="D291" s="445"/>
      <c r="E291" s="445"/>
      <c r="F291" s="445"/>
      <c r="G291" s="445"/>
      <c r="H291" s="445"/>
      <c r="I291" s="445"/>
      <c r="J291" s="445"/>
      <c r="K291" s="445"/>
      <c r="L291" s="445"/>
    </row>
    <row r="292" spans="1:12" x14ac:dyDescent="0.2">
      <c r="A292" s="445"/>
      <c r="B292" s="445"/>
      <c r="C292" s="445"/>
      <c r="D292" s="445"/>
      <c r="E292" s="445"/>
      <c r="F292" s="445"/>
      <c r="G292" s="445"/>
      <c r="H292" s="445"/>
      <c r="I292" s="445"/>
      <c r="J292" s="445"/>
      <c r="K292" s="445"/>
      <c r="L292" s="445"/>
    </row>
    <row r="293" spans="1:12" x14ac:dyDescent="0.2">
      <c r="A293" s="445"/>
      <c r="B293" s="445"/>
      <c r="C293" s="445"/>
      <c r="D293" s="445"/>
      <c r="E293" s="445"/>
      <c r="F293" s="445"/>
      <c r="G293" s="445"/>
      <c r="H293" s="445"/>
      <c r="I293" s="445"/>
      <c r="J293" s="445"/>
      <c r="K293" s="445"/>
      <c r="L293" s="445"/>
    </row>
    <row r="294" spans="1:12" x14ac:dyDescent="0.2">
      <c r="A294" s="445"/>
      <c r="B294" s="445"/>
      <c r="C294" s="445"/>
      <c r="D294" s="445"/>
      <c r="E294" s="445"/>
      <c r="F294" s="445"/>
      <c r="G294" s="445"/>
      <c r="H294" s="445"/>
      <c r="I294" s="445"/>
      <c r="J294" s="445"/>
      <c r="K294" s="445"/>
      <c r="L294" s="445"/>
    </row>
    <row r="295" spans="1:12" x14ac:dyDescent="0.2">
      <c r="A295" s="445"/>
      <c r="B295" s="445"/>
      <c r="C295" s="445"/>
      <c r="D295" s="445"/>
      <c r="E295" s="445"/>
      <c r="F295" s="445"/>
      <c r="G295" s="445"/>
      <c r="H295" s="445"/>
      <c r="I295" s="445"/>
      <c r="J295" s="445"/>
      <c r="K295" s="445"/>
      <c r="L295" s="445"/>
    </row>
    <row r="296" spans="1:12" x14ac:dyDescent="0.2">
      <c r="A296" s="445"/>
      <c r="B296" s="445"/>
      <c r="C296" s="445"/>
      <c r="D296" s="445"/>
      <c r="E296" s="445"/>
      <c r="F296" s="445"/>
      <c r="G296" s="445"/>
      <c r="H296" s="445"/>
      <c r="I296" s="445"/>
      <c r="J296" s="445"/>
      <c r="K296" s="445"/>
      <c r="L296" s="445"/>
    </row>
    <row r="297" spans="1:12" x14ac:dyDescent="0.2">
      <c r="A297" s="445"/>
      <c r="B297" s="445"/>
      <c r="C297" s="445"/>
      <c r="D297" s="445"/>
      <c r="E297" s="445"/>
      <c r="F297" s="445"/>
      <c r="G297" s="445"/>
      <c r="H297" s="445"/>
      <c r="I297" s="445"/>
      <c r="J297" s="445"/>
      <c r="K297" s="445"/>
      <c r="L297" s="445"/>
    </row>
    <row r="298" spans="1:12" x14ac:dyDescent="0.2">
      <c r="A298" s="445"/>
      <c r="B298" s="445"/>
      <c r="C298" s="445"/>
      <c r="D298" s="445"/>
      <c r="E298" s="445"/>
      <c r="F298" s="445"/>
      <c r="G298" s="445"/>
      <c r="H298" s="445"/>
      <c r="I298" s="445"/>
      <c r="J298" s="445"/>
      <c r="K298" s="445"/>
      <c r="L298" s="445"/>
    </row>
    <row r="299" spans="1:12" x14ac:dyDescent="0.2">
      <c r="A299" s="445"/>
      <c r="B299" s="445"/>
      <c r="C299" s="445"/>
      <c r="D299" s="445"/>
      <c r="E299" s="445"/>
      <c r="F299" s="445"/>
      <c r="G299" s="445"/>
      <c r="H299" s="445"/>
      <c r="I299" s="445"/>
      <c r="J299" s="445"/>
      <c r="K299" s="445"/>
      <c r="L299" s="445"/>
    </row>
    <row r="300" spans="1:12" x14ac:dyDescent="0.2">
      <c r="A300" s="445"/>
      <c r="B300" s="445"/>
      <c r="C300" s="445"/>
      <c r="D300" s="445"/>
      <c r="E300" s="445"/>
      <c r="F300" s="445"/>
      <c r="G300" s="445"/>
      <c r="H300" s="445"/>
      <c r="I300" s="445"/>
      <c r="J300" s="445"/>
      <c r="K300" s="445"/>
      <c r="L300" s="445"/>
    </row>
    <row r="301" spans="1:12" x14ac:dyDescent="0.2">
      <c r="A301" s="445"/>
      <c r="B301" s="445"/>
      <c r="C301" s="445"/>
      <c r="D301" s="445"/>
      <c r="E301" s="445"/>
      <c r="F301" s="445"/>
      <c r="G301" s="445"/>
      <c r="H301" s="445"/>
      <c r="I301" s="445"/>
      <c r="J301" s="445"/>
      <c r="K301" s="445"/>
      <c r="L301" s="445"/>
    </row>
    <row r="302" spans="1:12" x14ac:dyDescent="0.2">
      <c r="A302" s="445"/>
      <c r="B302" s="445"/>
      <c r="C302" s="445"/>
      <c r="D302" s="445"/>
      <c r="E302" s="445"/>
      <c r="F302" s="445"/>
      <c r="G302" s="445"/>
      <c r="H302" s="445"/>
      <c r="I302" s="445"/>
      <c r="J302" s="445"/>
      <c r="K302" s="445"/>
      <c r="L302" s="445"/>
    </row>
    <row r="303" spans="1:12" x14ac:dyDescent="0.2">
      <c r="A303" s="445"/>
      <c r="B303" s="445"/>
      <c r="C303" s="445"/>
      <c r="D303" s="445"/>
      <c r="E303" s="445"/>
      <c r="F303" s="445"/>
      <c r="G303" s="445"/>
      <c r="H303" s="445"/>
      <c r="I303" s="445"/>
      <c r="J303" s="445"/>
      <c r="K303" s="445"/>
      <c r="L303" s="445"/>
    </row>
    <row r="304" spans="1:12" x14ac:dyDescent="0.2">
      <c r="A304" s="445"/>
      <c r="B304" s="445"/>
      <c r="C304" s="445"/>
      <c r="D304" s="445"/>
      <c r="E304" s="445"/>
      <c r="F304" s="445"/>
      <c r="G304" s="445"/>
      <c r="H304" s="445"/>
      <c r="I304" s="445"/>
      <c r="J304" s="445"/>
      <c r="K304" s="445"/>
      <c r="L304" s="445"/>
    </row>
    <row r="305" spans="1:12" x14ac:dyDescent="0.2">
      <c r="A305" s="445"/>
      <c r="B305" s="445"/>
      <c r="C305" s="445"/>
      <c r="D305" s="445"/>
      <c r="E305" s="445"/>
      <c r="F305" s="445"/>
      <c r="G305" s="445"/>
      <c r="H305" s="445"/>
      <c r="I305" s="445"/>
      <c r="J305" s="445"/>
      <c r="K305" s="445"/>
      <c r="L305" s="445"/>
    </row>
    <row r="306" spans="1:12" x14ac:dyDescent="0.2">
      <c r="A306" s="445"/>
      <c r="B306" s="445"/>
      <c r="C306" s="445"/>
      <c r="D306" s="445"/>
      <c r="E306" s="445"/>
      <c r="F306" s="445"/>
      <c r="G306" s="445"/>
      <c r="H306" s="445"/>
      <c r="I306" s="445"/>
      <c r="J306" s="445"/>
      <c r="K306" s="445"/>
      <c r="L306" s="445"/>
    </row>
    <row r="307" spans="1:12" x14ac:dyDescent="0.2">
      <c r="A307" s="445"/>
      <c r="B307" s="445"/>
      <c r="C307" s="445"/>
      <c r="D307" s="445"/>
      <c r="E307" s="445"/>
      <c r="F307" s="445"/>
      <c r="G307" s="445"/>
      <c r="H307" s="445"/>
      <c r="I307" s="445"/>
      <c r="J307" s="445"/>
      <c r="K307" s="445"/>
      <c r="L307" s="445"/>
    </row>
    <row r="308" spans="1:12" x14ac:dyDescent="0.2">
      <c r="A308" s="445"/>
      <c r="B308" s="445"/>
      <c r="C308" s="445"/>
      <c r="D308" s="445"/>
      <c r="E308" s="445"/>
      <c r="F308" s="445"/>
      <c r="G308" s="445"/>
      <c r="H308" s="445"/>
      <c r="I308" s="445"/>
      <c r="J308" s="445"/>
      <c r="K308" s="445"/>
      <c r="L308" s="445"/>
    </row>
    <row r="309" spans="1:12" x14ac:dyDescent="0.2">
      <c r="A309" s="445"/>
      <c r="B309" s="445"/>
      <c r="C309" s="445"/>
      <c r="D309" s="445"/>
      <c r="E309" s="445"/>
      <c r="F309" s="445"/>
      <c r="G309" s="445"/>
      <c r="H309" s="445"/>
      <c r="I309" s="445"/>
      <c r="J309" s="445"/>
      <c r="K309" s="445"/>
      <c r="L309" s="445"/>
    </row>
    <row r="310" spans="1:12" x14ac:dyDescent="0.2">
      <c r="A310" s="445"/>
      <c r="B310" s="445"/>
      <c r="C310" s="445"/>
      <c r="D310" s="445"/>
      <c r="E310" s="445"/>
      <c r="F310" s="445"/>
      <c r="G310" s="445"/>
      <c r="H310" s="445"/>
      <c r="I310" s="445"/>
      <c r="J310" s="445"/>
      <c r="K310" s="445"/>
      <c r="L310" s="445"/>
    </row>
    <row r="311" spans="1:12" x14ac:dyDescent="0.2">
      <c r="A311" s="445"/>
      <c r="B311" s="445"/>
      <c r="C311" s="445"/>
      <c r="D311" s="445"/>
      <c r="E311" s="445"/>
      <c r="F311" s="445"/>
      <c r="G311" s="445"/>
      <c r="H311" s="445"/>
      <c r="I311" s="445"/>
      <c r="J311" s="445"/>
      <c r="K311" s="445"/>
      <c r="L311" s="445"/>
    </row>
    <row r="312" spans="1:12" x14ac:dyDescent="0.2">
      <c r="A312" s="445"/>
      <c r="B312" s="445"/>
      <c r="C312" s="445"/>
      <c r="D312" s="445"/>
      <c r="E312" s="445"/>
      <c r="F312" s="445"/>
      <c r="G312" s="445"/>
      <c r="H312" s="445"/>
      <c r="I312" s="445"/>
      <c r="J312" s="445"/>
      <c r="K312" s="445"/>
      <c r="L312" s="445"/>
    </row>
    <row r="313" spans="1:12" x14ac:dyDescent="0.2">
      <c r="A313" s="445"/>
      <c r="B313" s="445"/>
      <c r="C313" s="445"/>
      <c r="D313" s="445"/>
      <c r="E313" s="445"/>
      <c r="F313" s="445"/>
      <c r="G313" s="445"/>
      <c r="H313" s="445"/>
      <c r="I313" s="445"/>
      <c r="J313" s="445"/>
      <c r="K313" s="445"/>
      <c r="L313" s="445"/>
    </row>
    <row r="314" spans="1:12" x14ac:dyDescent="0.2">
      <c r="A314" s="445"/>
      <c r="B314" s="445"/>
      <c r="C314" s="445"/>
      <c r="D314" s="445"/>
      <c r="E314" s="445"/>
      <c r="F314" s="445"/>
      <c r="G314" s="445"/>
      <c r="H314" s="445"/>
      <c r="I314" s="445"/>
      <c r="J314" s="445"/>
      <c r="K314" s="445"/>
      <c r="L314" s="445"/>
    </row>
    <row r="315" spans="1:12" x14ac:dyDescent="0.2">
      <c r="A315" s="445"/>
      <c r="B315" s="445"/>
      <c r="C315" s="445"/>
      <c r="D315" s="445"/>
      <c r="E315" s="445"/>
      <c r="F315" s="445"/>
      <c r="G315" s="445"/>
      <c r="H315" s="445"/>
      <c r="I315" s="445"/>
      <c r="J315" s="445"/>
      <c r="K315" s="445"/>
      <c r="L315" s="445"/>
    </row>
    <row r="316" spans="1:12" x14ac:dyDescent="0.2">
      <c r="A316" s="445"/>
      <c r="B316" s="445"/>
      <c r="C316" s="445"/>
      <c r="D316" s="445"/>
      <c r="E316" s="445"/>
      <c r="F316" s="445"/>
      <c r="G316" s="445"/>
      <c r="H316" s="445"/>
      <c r="I316" s="445"/>
      <c r="J316" s="445"/>
      <c r="K316" s="445"/>
      <c r="L316" s="445"/>
    </row>
    <row r="317" spans="1:12" x14ac:dyDescent="0.2">
      <c r="A317" s="445"/>
      <c r="B317" s="445"/>
      <c r="C317" s="445"/>
      <c r="D317" s="445"/>
      <c r="E317" s="445"/>
      <c r="F317" s="445"/>
      <c r="G317" s="445"/>
      <c r="H317" s="445"/>
      <c r="I317" s="445"/>
      <c r="J317" s="445"/>
      <c r="K317" s="445"/>
      <c r="L317" s="445"/>
    </row>
    <row r="318" spans="1:12" x14ac:dyDescent="0.2">
      <c r="A318" s="445"/>
      <c r="B318" s="445"/>
      <c r="C318" s="445"/>
      <c r="D318" s="445"/>
      <c r="E318" s="445"/>
      <c r="F318" s="445"/>
      <c r="G318" s="445"/>
      <c r="H318" s="445"/>
      <c r="I318" s="445"/>
      <c r="J318" s="445"/>
      <c r="K318" s="445"/>
      <c r="L318" s="445"/>
    </row>
    <row r="319" spans="1:12" x14ac:dyDescent="0.2">
      <c r="A319" s="445"/>
      <c r="B319" s="445"/>
      <c r="C319" s="445"/>
      <c r="D319" s="445"/>
      <c r="E319" s="445"/>
      <c r="F319" s="445"/>
      <c r="G319" s="445"/>
      <c r="H319" s="445"/>
      <c r="I319" s="445"/>
      <c r="J319" s="445"/>
      <c r="K319" s="445"/>
      <c r="L319" s="445"/>
    </row>
    <row r="320" spans="1:12" x14ac:dyDescent="0.2">
      <c r="A320" s="445"/>
      <c r="B320" s="445"/>
      <c r="C320" s="445"/>
      <c r="D320" s="445"/>
      <c r="E320" s="445"/>
      <c r="F320" s="445"/>
      <c r="G320" s="445"/>
      <c r="H320" s="445"/>
      <c r="I320" s="445"/>
      <c r="J320" s="445"/>
      <c r="K320" s="445"/>
      <c r="L320" s="445"/>
    </row>
    <row r="321" spans="1:12" x14ac:dyDescent="0.2">
      <c r="A321" s="445"/>
      <c r="B321" s="445"/>
      <c r="C321" s="445"/>
      <c r="D321" s="445"/>
      <c r="E321" s="445"/>
      <c r="F321" s="445"/>
      <c r="G321" s="445"/>
      <c r="H321" s="445"/>
      <c r="I321" s="445"/>
      <c r="J321" s="445"/>
      <c r="K321" s="445"/>
      <c r="L321" s="445"/>
    </row>
    <row r="322" spans="1:12" x14ac:dyDescent="0.2">
      <c r="A322" s="445"/>
      <c r="B322" s="445"/>
      <c r="C322" s="445"/>
      <c r="D322" s="445"/>
      <c r="E322" s="445"/>
      <c r="F322" s="445"/>
      <c r="G322" s="445"/>
      <c r="H322" s="445"/>
      <c r="I322" s="445"/>
      <c r="J322" s="445"/>
      <c r="K322" s="445"/>
      <c r="L322" s="445"/>
    </row>
    <row r="323" spans="1:12" x14ac:dyDescent="0.2">
      <c r="A323" s="445"/>
      <c r="B323" s="445"/>
      <c r="C323" s="445"/>
      <c r="D323" s="445"/>
      <c r="E323" s="445"/>
      <c r="F323" s="445"/>
      <c r="G323" s="445"/>
      <c r="H323" s="445"/>
      <c r="I323" s="445"/>
      <c r="J323" s="445"/>
      <c r="K323" s="445"/>
      <c r="L323" s="445"/>
    </row>
    <row r="324" spans="1:12" x14ac:dyDescent="0.2">
      <c r="A324" s="445"/>
      <c r="B324" s="445"/>
      <c r="C324" s="445"/>
      <c r="D324" s="445"/>
      <c r="E324" s="445"/>
      <c r="F324" s="445"/>
      <c r="G324" s="445"/>
      <c r="H324" s="445"/>
      <c r="I324" s="445"/>
      <c r="J324" s="445"/>
      <c r="K324" s="445"/>
      <c r="L324" s="445"/>
    </row>
    <row r="325" spans="1:12" x14ac:dyDescent="0.2">
      <c r="A325" s="445"/>
      <c r="B325" s="445"/>
      <c r="C325" s="445"/>
      <c r="D325" s="445"/>
      <c r="E325" s="445"/>
      <c r="F325" s="445"/>
      <c r="G325" s="445"/>
      <c r="H325" s="445"/>
      <c r="I325" s="445"/>
      <c r="J325" s="445"/>
      <c r="K325" s="445"/>
      <c r="L325" s="445"/>
    </row>
    <row r="326" spans="1:12" x14ac:dyDescent="0.2">
      <c r="A326" s="445"/>
      <c r="B326" s="445"/>
      <c r="C326" s="445"/>
      <c r="D326" s="445"/>
      <c r="E326" s="445"/>
      <c r="F326" s="445"/>
      <c r="G326" s="445"/>
      <c r="H326" s="445"/>
      <c r="I326" s="445"/>
      <c r="J326" s="445"/>
      <c r="K326" s="445"/>
      <c r="L326" s="445"/>
    </row>
    <row r="327" spans="1:12" x14ac:dyDescent="0.2">
      <c r="A327" s="445"/>
      <c r="B327" s="445"/>
      <c r="C327" s="445"/>
      <c r="D327" s="445"/>
      <c r="E327" s="445"/>
      <c r="F327" s="445"/>
      <c r="G327" s="445"/>
      <c r="H327" s="445"/>
      <c r="I327" s="445"/>
      <c r="J327" s="445"/>
      <c r="K327" s="445"/>
      <c r="L327" s="445"/>
    </row>
    <row r="328" spans="1:12" x14ac:dyDescent="0.2">
      <c r="A328" s="445"/>
      <c r="B328" s="445"/>
      <c r="C328" s="445"/>
      <c r="D328" s="445"/>
      <c r="E328" s="445"/>
      <c r="F328" s="445"/>
      <c r="G328" s="445"/>
      <c r="H328" s="445"/>
      <c r="I328" s="445"/>
      <c r="J328" s="445"/>
      <c r="K328" s="445"/>
      <c r="L328" s="445"/>
    </row>
    <row r="329" spans="1:12" x14ac:dyDescent="0.2">
      <c r="A329" s="445"/>
      <c r="B329" s="445"/>
      <c r="C329" s="445"/>
      <c r="D329" s="445"/>
      <c r="E329" s="445"/>
      <c r="F329" s="445"/>
      <c r="G329" s="445"/>
      <c r="H329" s="445"/>
      <c r="I329" s="445"/>
      <c r="J329" s="445"/>
      <c r="K329" s="445"/>
      <c r="L329" s="445"/>
    </row>
    <row r="330" spans="1:12" x14ac:dyDescent="0.2">
      <c r="A330" s="445"/>
      <c r="B330" s="445"/>
      <c r="C330" s="445"/>
      <c r="D330" s="445"/>
      <c r="E330" s="445"/>
      <c r="F330" s="445"/>
      <c r="G330" s="445"/>
      <c r="H330" s="445"/>
      <c r="I330" s="445"/>
      <c r="J330" s="445"/>
      <c r="K330" s="445"/>
      <c r="L330" s="445"/>
    </row>
    <row r="331" spans="1:12" x14ac:dyDescent="0.2">
      <c r="A331" s="445"/>
      <c r="B331" s="445"/>
      <c r="C331" s="445"/>
      <c r="D331" s="445"/>
      <c r="E331" s="445"/>
      <c r="F331" s="445"/>
      <c r="G331" s="445"/>
      <c r="H331" s="445"/>
      <c r="I331" s="445"/>
      <c r="J331" s="445"/>
      <c r="K331" s="445"/>
      <c r="L331" s="445"/>
    </row>
    <row r="332" spans="1:12" x14ac:dyDescent="0.2">
      <c r="A332" s="445"/>
      <c r="B332" s="445"/>
      <c r="C332" s="445"/>
      <c r="D332" s="445"/>
      <c r="E332" s="445"/>
      <c r="F332" s="445"/>
      <c r="G332" s="445"/>
      <c r="H332" s="445"/>
      <c r="I332" s="445"/>
      <c r="J332" s="445"/>
      <c r="K332" s="445"/>
      <c r="L332" s="445"/>
    </row>
    <row r="333" spans="1:12" x14ac:dyDescent="0.2">
      <c r="A333" s="445"/>
      <c r="B333" s="445"/>
      <c r="C333" s="445"/>
      <c r="D333" s="445"/>
      <c r="E333" s="445"/>
      <c r="F333" s="445"/>
      <c r="G333" s="445"/>
      <c r="H333" s="445"/>
      <c r="I333" s="445"/>
      <c r="J333" s="445"/>
      <c r="K333" s="445"/>
      <c r="L333" s="445"/>
    </row>
    <row r="334" spans="1:12" x14ac:dyDescent="0.2">
      <c r="A334" s="445"/>
      <c r="B334" s="445"/>
      <c r="C334" s="445"/>
      <c r="D334" s="445"/>
      <c r="E334" s="445"/>
      <c r="F334" s="445"/>
      <c r="G334" s="445"/>
      <c r="H334" s="445"/>
      <c r="I334" s="445"/>
      <c r="J334" s="445"/>
      <c r="K334" s="445"/>
      <c r="L334" s="445"/>
    </row>
    <row r="335" spans="1:12" x14ac:dyDescent="0.2">
      <c r="A335" s="445"/>
      <c r="B335" s="445"/>
      <c r="C335" s="445"/>
      <c r="D335" s="445"/>
      <c r="E335" s="445"/>
      <c r="F335" s="445"/>
      <c r="G335" s="445"/>
      <c r="H335" s="445"/>
      <c r="I335" s="445"/>
      <c r="J335" s="445"/>
      <c r="K335" s="445"/>
      <c r="L335" s="445"/>
    </row>
    <row r="336" spans="1:12" x14ac:dyDescent="0.2">
      <c r="A336" s="445"/>
      <c r="B336" s="445"/>
      <c r="C336" s="445"/>
      <c r="D336" s="445"/>
      <c r="E336" s="445"/>
      <c r="F336" s="445"/>
      <c r="G336" s="445"/>
      <c r="H336" s="445"/>
      <c r="I336" s="445"/>
      <c r="J336" s="445"/>
      <c r="K336" s="445"/>
      <c r="L336" s="445"/>
    </row>
    <row r="337" spans="1:12" x14ac:dyDescent="0.2">
      <c r="A337" s="445"/>
      <c r="B337" s="445"/>
      <c r="C337" s="445"/>
      <c r="D337" s="445"/>
      <c r="E337" s="445"/>
      <c r="F337" s="445"/>
      <c r="G337" s="445"/>
      <c r="H337" s="445"/>
      <c r="I337" s="445"/>
      <c r="J337" s="445"/>
      <c r="K337" s="445"/>
      <c r="L337" s="445"/>
    </row>
    <row r="338" spans="1:12" x14ac:dyDescent="0.2">
      <c r="A338" s="445"/>
      <c r="B338" s="445"/>
      <c r="C338" s="445"/>
      <c r="D338" s="445"/>
      <c r="E338" s="445"/>
      <c r="F338" s="445"/>
      <c r="G338" s="445"/>
      <c r="H338" s="445"/>
      <c r="I338" s="445"/>
      <c r="J338" s="445"/>
      <c r="K338" s="445"/>
      <c r="L338" s="445"/>
    </row>
    <row r="339" spans="1:12" x14ac:dyDescent="0.2">
      <c r="A339" s="445"/>
      <c r="B339" s="445"/>
      <c r="C339" s="445"/>
      <c r="D339" s="445"/>
      <c r="E339" s="445"/>
      <c r="F339" s="445"/>
      <c r="G339" s="445"/>
      <c r="H339" s="445"/>
      <c r="I339" s="445"/>
      <c r="J339" s="445"/>
      <c r="K339" s="445"/>
      <c r="L339" s="445"/>
    </row>
    <row r="340" spans="1:12" x14ac:dyDescent="0.2">
      <c r="A340" s="445"/>
      <c r="B340" s="445"/>
      <c r="C340" s="445"/>
      <c r="D340" s="445"/>
      <c r="E340" s="445"/>
      <c r="F340" s="445"/>
      <c r="G340" s="445"/>
      <c r="H340" s="445"/>
      <c r="I340" s="445"/>
      <c r="J340" s="445"/>
      <c r="K340" s="445"/>
      <c r="L340" s="445"/>
    </row>
    <row r="341" spans="1:12" x14ac:dyDescent="0.2">
      <c r="A341" s="445"/>
      <c r="B341" s="445"/>
      <c r="C341" s="445"/>
      <c r="D341" s="445"/>
      <c r="E341" s="445"/>
      <c r="F341" s="445"/>
      <c r="G341" s="445"/>
      <c r="H341" s="445"/>
      <c r="I341" s="445"/>
      <c r="J341" s="445"/>
      <c r="K341" s="445"/>
      <c r="L341" s="445"/>
    </row>
    <row r="342" spans="1:12" x14ac:dyDescent="0.2">
      <c r="A342" s="445"/>
      <c r="B342" s="445"/>
      <c r="C342" s="445"/>
      <c r="D342" s="445"/>
      <c r="E342" s="445"/>
      <c r="F342" s="445"/>
      <c r="G342" s="445"/>
      <c r="H342" s="445"/>
      <c r="I342" s="445"/>
      <c r="J342" s="445"/>
      <c r="K342" s="445"/>
      <c r="L342" s="445"/>
    </row>
    <row r="343" spans="1:12" x14ac:dyDescent="0.2">
      <c r="A343" s="445"/>
      <c r="B343" s="445"/>
      <c r="C343" s="445"/>
      <c r="D343" s="445"/>
      <c r="E343" s="445"/>
      <c r="F343" s="445"/>
      <c r="G343" s="445"/>
      <c r="H343" s="445"/>
      <c r="I343" s="445"/>
      <c r="J343" s="445"/>
      <c r="K343" s="445"/>
      <c r="L343" s="445"/>
    </row>
    <row r="344" spans="1:12" x14ac:dyDescent="0.2">
      <c r="A344" s="445"/>
      <c r="B344" s="445"/>
      <c r="C344" s="445"/>
      <c r="D344" s="445"/>
      <c r="E344" s="445"/>
      <c r="F344" s="445"/>
      <c r="G344" s="445"/>
      <c r="H344" s="445"/>
      <c r="I344" s="445"/>
      <c r="J344" s="445"/>
      <c r="K344" s="445"/>
      <c r="L344" s="445"/>
    </row>
    <row r="345" spans="1:12" x14ac:dyDescent="0.2">
      <c r="A345" s="445"/>
      <c r="B345" s="445"/>
      <c r="C345" s="445"/>
      <c r="D345" s="445"/>
      <c r="E345" s="445"/>
      <c r="F345" s="445"/>
      <c r="G345" s="445"/>
      <c r="H345" s="445"/>
      <c r="I345" s="445"/>
      <c r="J345" s="445"/>
      <c r="K345" s="445"/>
      <c r="L345" s="445"/>
    </row>
    <row r="346" spans="1:12" x14ac:dyDescent="0.2">
      <c r="A346" s="445"/>
      <c r="B346" s="445"/>
      <c r="C346" s="445"/>
      <c r="D346" s="445"/>
      <c r="E346" s="445"/>
      <c r="F346" s="445"/>
      <c r="G346" s="445"/>
      <c r="H346" s="445"/>
      <c r="I346" s="445"/>
      <c r="J346" s="445"/>
      <c r="K346" s="445"/>
      <c r="L346" s="445"/>
    </row>
    <row r="347" spans="1:12" x14ac:dyDescent="0.2">
      <c r="A347" s="445"/>
      <c r="B347" s="445"/>
      <c r="C347" s="445"/>
      <c r="D347" s="445"/>
      <c r="E347" s="445"/>
      <c r="F347" s="445"/>
      <c r="G347" s="445"/>
      <c r="H347" s="445"/>
      <c r="I347" s="445"/>
      <c r="J347" s="445"/>
      <c r="K347" s="445"/>
      <c r="L347" s="445"/>
    </row>
    <row r="348" spans="1:12" x14ac:dyDescent="0.2">
      <c r="A348" s="445"/>
      <c r="B348" s="445"/>
      <c r="C348" s="445"/>
      <c r="D348" s="445"/>
      <c r="E348" s="445"/>
      <c r="F348" s="445"/>
      <c r="G348" s="445"/>
      <c r="H348" s="445"/>
      <c r="I348" s="445"/>
      <c r="J348" s="445"/>
      <c r="K348" s="445"/>
      <c r="L348" s="445"/>
    </row>
    <row r="349" spans="1:12" x14ac:dyDescent="0.2">
      <c r="A349" s="445"/>
      <c r="B349" s="445"/>
      <c r="C349" s="445"/>
      <c r="D349" s="445"/>
      <c r="E349" s="445"/>
      <c r="F349" s="445"/>
      <c r="G349" s="445"/>
      <c r="H349" s="445"/>
      <c r="I349" s="445"/>
      <c r="J349" s="445"/>
      <c r="K349" s="445"/>
      <c r="L349" s="445"/>
    </row>
    <row r="350" spans="1:12" x14ac:dyDescent="0.2">
      <c r="A350" s="445"/>
      <c r="B350" s="445"/>
      <c r="C350" s="445"/>
      <c r="D350" s="445"/>
      <c r="E350" s="445"/>
      <c r="F350" s="445"/>
      <c r="G350" s="445"/>
      <c r="H350" s="445"/>
      <c r="I350" s="445"/>
      <c r="J350" s="445"/>
      <c r="K350" s="445"/>
      <c r="L350" s="445"/>
    </row>
    <row r="351" spans="1:12" x14ac:dyDescent="0.2">
      <c r="A351" s="445"/>
      <c r="B351" s="445"/>
      <c r="C351" s="445"/>
      <c r="D351" s="445"/>
      <c r="E351" s="445"/>
      <c r="F351" s="445"/>
      <c r="G351" s="445"/>
      <c r="H351" s="445"/>
      <c r="I351" s="445"/>
      <c r="J351" s="445"/>
      <c r="K351" s="445"/>
      <c r="L351" s="445"/>
    </row>
    <row r="352" spans="1:12" x14ac:dyDescent="0.2">
      <c r="A352" s="445"/>
      <c r="B352" s="445"/>
      <c r="C352" s="445"/>
      <c r="D352" s="445"/>
      <c r="E352" s="445"/>
      <c r="F352" s="445"/>
      <c r="G352" s="445"/>
      <c r="H352" s="445"/>
      <c r="I352" s="445"/>
      <c r="J352" s="445"/>
      <c r="K352" s="445"/>
      <c r="L352" s="445"/>
    </row>
    <row r="353" spans="1:12" x14ac:dyDescent="0.2">
      <c r="A353" s="445"/>
      <c r="B353" s="445"/>
      <c r="C353" s="445"/>
      <c r="D353" s="445"/>
      <c r="E353" s="445"/>
      <c r="F353" s="445"/>
      <c r="G353" s="445"/>
      <c r="H353" s="445"/>
      <c r="I353" s="445"/>
      <c r="J353" s="445"/>
      <c r="K353" s="445"/>
      <c r="L353" s="445"/>
    </row>
    <row r="354" spans="1:12" x14ac:dyDescent="0.2">
      <c r="A354" s="445"/>
      <c r="B354" s="445"/>
      <c r="C354" s="445"/>
      <c r="D354" s="445"/>
      <c r="E354" s="445"/>
      <c r="F354" s="445"/>
      <c r="G354" s="445"/>
      <c r="H354" s="445"/>
      <c r="I354" s="445"/>
      <c r="J354" s="445"/>
      <c r="K354" s="445"/>
      <c r="L354" s="445"/>
    </row>
  </sheetData>
  <sheetProtection sheet="1" objects="1" scenarios="1"/>
  <mergeCells count="55">
    <mergeCell ref="B144:K144"/>
    <mergeCell ref="C147:D147"/>
    <mergeCell ref="J147:K147"/>
    <mergeCell ref="C148:D148"/>
    <mergeCell ref="J148:K148"/>
    <mergeCell ref="C136:D136"/>
    <mergeCell ref="C137:D137"/>
    <mergeCell ref="B110:K110"/>
    <mergeCell ref="C114:D114"/>
    <mergeCell ref="C117:D117"/>
    <mergeCell ref="C120:D120"/>
    <mergeCell ref="C123:D123"/>
    <mergeCell ref="B125:K125"/>
    <mergeCell ref="B128:K128"/>
    <mergeCell ref="B130:K130"/>
    <mergeCell ref="C133:D133"/>
    <mergeCell ref="H133:I133"/>
    <mergeCell ref="C134:D134"/>
    <mergeCell ref="H134:I134"/>
    <mergeCell ref="B126:K126"/>
    <mergeCell ref="C100:D100"/>
    <mergeCell ref="C103:D103"/>
    <mergeCell ref="B105:K105"/>
    <mergeCell ref="B106:K106"/>
    <mergeCell ref="B108:K108"/>
    <mergeCell ref="B52:K52"/>
    <mergeCell ref="B53:K53"/>
    <mergeCell ref="C97:D97"/>
    <mergeCell ref="B57:K57"/>
    <mergeCell ref="B58:K58"/>
    <mergeCell ref="C74:D74"/>
    <mergeCell ref="C77:D77"/>
    <mergeCell ref="C80:D80"/>
    <mergeCell ref="C83:D83"/>
    <mergeCell ref="B85:K85"/>
    <mergeCell ref="B55:K55"/>
    <mergeCell ref="B86:K86"/>
    <mergeCell ref="B88:K88"/>
    <mergeCell ref="B90:K90"/>
    <mergeCell ref="C94:D94"/>
    <mergeCell ref="C41:D41"/>
    <mergeCell ref="B48:C48"/>
    <mergeCell ref="G50:H50"/>
    <mergeCell ref="I51:K51"/>
    <mergeCell ref="F23:G23"/>
    <mergeCell ref="C25:D25"/>
    <mergeCell ref="B30:K30"/>
    <mergeCell ref="B31:K31"/>
    <mergeCell ref="B33:K33"/>
    <mergeCell ref="B35:K35"/>
    <mergeCell ref="B6:K6"/>
    <mergeCell ref="B7:K7"/>
    <mergeCell ref="B8:K8"/>
    <mergeCell ref="B10:K10"/>
    <mergeCell ref="B12:K12"/>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0"/>
  <sheetViews>
    <sheetView workbookViewId="0"/>
  </sheetViews>
  <sheetFormatPr defaultRowHeight="15.75" x14ac:dyDescent="0.25"/>
  <cols>
    <col min="1" max="1" width="64.09765625" customWidth="1"/>
  </cols>
  <sheetData>
    <row r="1" spans="1:1" ht="16.5" x14ac:dyDescent="0.25">
      <c r="A1" s="458" t="s">
        <v>604</v>
      </c>
    </row>
    <row r="3" spans="1:1" ht="31.5" x14ac:dyDescent="0.25">
      <c r="A3" s="460" t="s">
        <v>605</v>
      </c>
    </row>
    <row r="4" spans="1:1" x14ac:dyDescent="0.25">
      <c r="A4" s="461" t="s">
        <v>606</v>
      </c>
    </row>
    <row r="7" spans="1:1" ht="31.5" x14ac:dyDescent="0.25">
      <c r="A7" s="460" t="s">
        <v>607</v>
      </c>
    </row>
    <row r="8" spans="1:1" x14ac:dyDescent="0.25">
      <c r="A8" s="461" t="s">
        <v>608</v>
      </c>
    </row>
    <row r="11" spans="1:1" x14ac:dyDescent="0.25">
      <c r="A11" s="459" t="s">
        <v>609</v>
      </c>
    </row>
    <row r="12" spans="1:1" x14ac:dyDescent="0.25">
      <c r="A12" s="461" t="s">
        <v>610</v>
      </c>
    </row>
    <row r="15" spans="1:1" x14ac:dyDescent="0.25">
      <c r="A15" s="459" t="s">
        <v>611</v>
      </c>
    </row>
    <row r="16" spans="1:1" x14ac:dyDescent="0.25">
      <c r="A16" s="461" t="s">
        <v>612</v>
      </c>
    </row>
    <row r="19" spans="1:1" x14ac:dyDescent="0.25">
      <c r="A19" s="459" t="s">
        <v>613</v>
      </c>
    </row>
    <row r="20" spans="1:1" x14ac:dyDescent="0.25">
      <c r="A20" s="461" t="s">
        <v>614</v>
      </c>
    </row>
    <row r="23" spans="1:1" x14ac:dyDescent="0.25">
      <c r="A23" s="459" t="s">
        <v>615</v>
      </c>
    </row>
    <row r="24" spans="1:1" x14ac:dyDescent="0.25">
      <c r="A24" s="461" t="s">
        <v>616</v>
      </c>
    </row>
    <row r="27" spans="1:1" x14ac:dyDescent="0.25">
      <c r="A27" s="459" t="s">
        <v>617</v>
      </c>
    </row>
    <row r="28" spans="1:1" x14ac:dyDescent="0.25">
      <c r="A28" s="461" t="s">
        <v>618</v>
      </c>
    </row>
    <row r="31" spans="1:1" x14ac:dyDescent="0.25">
      <c r="A31" s="459" t="s">
        <v>619</v>
      </c>
    </row>
    <row r="32" spans="1:1" x14ac:dyDescent="0.25">
      <c r="A32" s="461" t="s">
        <v>620</v>
      </c>
    </row>
    <row r="35" spans="1:1" x14ac:dyDescent="0.25">
      <c r="A35" s="459" t="s">
        <v>621</v>
      </c>
    </row>
    <row r="36" spans="1:1" x14ac:dyDescent="0.25">
      <c r="A36" s="461" t="s">
        <v>622</v>
      </c>
    </row>
    <row r="39" spans="1:1" x14ac:dyDescent="0.25">
      <c r="A39" s="459" t="s">
        <v>623</v>
      </c>
    </row>
    <row r="40" spans="1:1" x14ac:dyDescent="0.25">
      <c r="A40" s="461" t="s">
        <v>624</v>
      </c>
    </row>
  </sheetData>
  <sheetProtection sheet="1" objects="1" scenarios="1"/>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198"/>
  <sheetViews>
    <sheetView workbookViewId="0">
      <selection activeCell="L160" sqref="L160"/>
    </sheetView>
  </sheetViews>
  <sheetFormatPr defaultColWidth="8.796875" defaultRowHeight="15.75" x14ac:dyDescent="0.25"/>
  <cols>
    <col min="1" max="1" width="72.09765625" style="95" customWidth="1"/>
    <col min="2" max="16384" width="8.796875" style="95"/>
  </cols>
  <sheetData>
    <row r="1" spans="1:1" x14ac:dyDescent="0.25">
      <c r="A1" s="528" t="s">
        <v>939</v>
      </c>
    </row>
    <row r="2" spans="1:1" x14ac:dyDescent="0.25">
      <c r="A2" s="782" t="s">
        <v>938</v>
      </c>
    </row>
    <row r="4" spans="1:1" x14ac:dyDescent="0.25">
      <c r="A4" s="528" t="s">
        <v>940</v>
      </c>
    </row>
    <row r="5" spans="1:1" x14ac:dyDescent="0.25">
      <c r="A5" s="731" t="s">
        <v>911</v>
      </c>
    </row>
    <row r="7" spans="1:1" x14ac:dyDescent="0.25">
      <c r="A7" s="528" t="s">
        <v>941</v>
      </c>
    </row>
    <row r="8" spans="1:1" x14ac:dyDescent="0.25">
      <c r="A8" s="95" t="s">
        <v>910</v>
      </c>
    </row>
    <row r="10" spans="1:1" x14ac:dyDescent="0.25">
      <c r="A10" s="528" t="s">
        <v>942</v>
      </c>
    </row>
    <row r="11" spans="1:1" x14ac:dyDescent="0.25">
      <c r="A11" s="708" t="s">
        <v>909</v>
      </c>
    </row>
    <row r="13" spans="1:1" x14ac:dyDescent="0.25">
      <c r="A13" s="528" t="s">
        <v>943</v>
      </c>
    </row>
    <row r="14" spans="1:1" x14ac:dyDescent="0.25">
      <c r="A14" s="708" t="s">
        <v>907</v>
      </c>
    </row>
    <row r="16" spans="1:1" x14ac:dyDescent="0.25">
      <c r="A16" s="528" t="s">
        <v>944</v>
      </c>
    </row>
    <row r="17" spans="1:1" x14ac:dyDescent="0.25">
      <c r="A17" s="711" t="s">
        <v>905</v>
      </c>
    </row>
    <row r="19" spans="1:1" x14ac:dyDescent="0.25">
      <c r="A19" s="528" t="s">
        <v>944</v>
      </c>
    </row>
    <row r="20" spans="1:1" x14ac:dyDescent="0.25">
      <c r="A20" s="711" t="s">
        <v>906</v>
      </c>
    </row>
    <row r="22" spans="1:1" x14ac:dyDescent="0.25">
      <c r="A22" s="528" t="s">
        <v>945</v>
      </c>
    </row>
    <row r="23" spans="1:1" x14ac:dyDescent="0.25">
      <c r="A23" s="708" t="s">
        <v>904</v>
      </c>
    </row>
    <row r="25" spans="1:1" x14ac:dyDescent="0.25">
      <c r="A25" s="528" t="s">
        <v>946</v>
      </c>
    </row>
    <row r="26" spans="1:1" x14ac:dyDescent="0.25">
      <c r="A26" s="705" t="s">
        <v>872</v>
      </c>
    </row>
    <row r="27" spans="1:1" x14ac:dyDescent="0.25">
      <c r="A27" s="705" t="s">
        <v>873</v>
      </c>
    </row>
    <row r="28" spans="1:1" x14ac:dyDescent="0.25">
      <c r="A28" s="705" t="s">
        <v>874</v>
      </c>
    </row>
    <row r="29" spans="1:1" x14ac:dyDescent="0.25">
      <c r="A29" s="705" t="s">
        <v>875</v>
      </c>
    </row>
    <row r="30" spans="1:1" x14ac:dyDescent="0.25">
      <c r="A30" s="705" t="s">
        <v>876</v>
      </c>
    </row>
    <row r="31" spans="1:1" x14ac:dyDescent="0.25">
      <c r="A31" s="705" t="s">
        <v>877</v>
      </c>
    </row>
    <row r="32" spans="1:1" x14ac:dyDescent="0.25">
      <c r="A32" s="705" t="s">
        <v>878</v>
      </c>
    </row>
    <row r="33" spans="1:1" x14ac:dyDescent="0.25">
      <c r="A33" s="705" t="s">
        <v>879</v>
      </c>
    </row>
    <row r="34" spans="1:1" x14ac:dyDescent="0.25">
      <c r="A34" s="705" t="s">
        <v>880</v>
      </c>
    </row>
    <row r="35" spans="1:1" x14ac:dyDescent="0.25">
      <c r="A35" s="705" t="s">
        <v>881</v>
      </c>
    </row>
    <row r="36" spans="1:1" x14ac:dyDescent="0.25">
      <c r="A36" s="705" t="s">
        <v>882</v>
      </c>
    </row>
    <row r="37" spans="1:1" x14ac:dyDescent="0.25">
      <c r="A37" s="705" t="s">
        <v>883</v>
      </c>
    </row>
    <row r="38" spans="1:1" x14ac:dyDescent="0.25">
      <c r="A38" s="705" t="s">
        <v>884</v>
      </c>
    </row>
    <row r="39" spans="1:1" x14ac:dyDescent="0.25">
      <c r="A39" s="705" t="s">
        <v>885</v>
      </c>
    </row>
    <row r="40" spans="1:1" x14ac:dyDescent="0.25">
      <c r="A40" s="705" t="s">
        <v>886</v>
      </c>
    </row>
    <row r="41" spans="1:1" x14ac:dyDescent="0.25">
      <c r="A41" s="705" t="s">
        <v>887</v>
      </c>
    </row>
    <row r="42" spans="1:1" x14ac:dyDescent="0.25">
      <c r="A42" s="705" t="s">
        <v>888</v>
      </c>
    </row>
    <row r="43" spans="1:1" x14ac:dyDescent="0.25">
      <c r="A43" s="705" t="s">
        <v>889</v>
      </c>
    </row>
    <row r="44" spans="1:1" x14ac:dyDescent="0.25">
      <c r="A44" s="705" t="s">
        <v>890</v>
      </c>
    </row>
    <row r="45" spans="1:1" x14ac:dyDescent="0.25">
      <c r="A45" s="705" t="s">
        <v>891</v>
      </c>
    </row>
    <row r="46" spans="1:1" x14ac:dyDescent="0.25">
      <c r="A46" s="705" t="s">
        <v>892</v>
      </c>
    </row>
    <row r="47" spans="1:1" x14ac:dyDescent="0.25">
      <c r="A47" s="705" t="s">
        <v>893</v>
      </c>
    </row>
    <row r="48" spans="1:1" x14ac:dyDescent="0.25">
      <c r="A48" s="705" t="s">
        <v>894</v>
      </c>
    </row>
    <row r="49" spans="1:1" x14ac:dyDescent="0.25">
      <c r="A49" s="705" t="s">
        <v>895</v>
      </c>
    </row>
    <row r="50" spans="1:1" x14ac:dyDescent="0.25">
      <c r="A50" s="705" t="s">
        <v>896</v>
      </c>
    </row>
    <row r="51" spans="1:1" x14ac:dyDescent="0.25">
      <c r="A51" s="705" t="s">
        <v>897</v>
      </c>
    </row>
    <row r="52" spans="1:1" x14ac:dyDescent="0.25">
      <c r="A52" s="705" t="s">
        <v>898</v>
      </c>
    </row>
    <row r="53" spans="1:1" x14ac:dyDescent="0.25">
      <c r="A53" s="705" t="s">
        <v>899</v>
      </c>
    </row>
    <row r="54" spans="1:1" x14ac:dyDescent="0.25">
      <c r="A54" s="705" t="s">
        <v>900</v>
      </c>
    </row>
    <row r="56" spans="1:1" x14ac:dyDescent="0.25">
      <c r="A56" s="528" t="s">
        <v>947</v>
      </c>
    </row>
    <row r="57" spans="1:1" x14ac:dyDescent="0.25">
      <c r="A57" s="95" t="s">
        <v>743</v>
      </c>
    </row>
    <row r="58" spans="1:1" x14ac:dyDescent="0.25">
      <c r="A58" s="95" t="s">
        <v>744</v>
      </c>
    </row>
    <row r="60" spans="1:1" x14ac:dyDescent="0.25">
      <c r="A60" s="528" t="s">
        <v>948</v>
      </c>
    </row>
    <row r="61" spans="1:1" x14ac:dyDescent="0.25">
      <c r="A61" s="512" t="s">
        <v>741</v>
      </c>
    </row>
    <row r="63" spans="1:1" x14ac:dyDescent="0.25">
      <c r="A63" s="355" t="s">
        <v>949</v>
      </c>
    </row>
    <row r="64" spans="1:1" x14ac:dyDescent="0.25">
      <c r="A64" s="512" t="s">
        <v>715</v>
      </c>
    </row>
    <row r="65" spans="1:1" x14ac:dyDescent="0.25">
      <c r="A65" s="512" t="s">
        <v>716</v>
      </c>
    </row>
    <row r="66" spans="1:1" ht="31.5" x14ac:dyDescent="0.25">
      <c r="A66" s="511" t="s">
        <v>717</v>
      </c>
    </row>
    <row r="67" spans="1:1" x14ac:dyDescent="0.25">
      <c r="A67" s="512" t="s">
        <v>718</v>
      </c>
    </row>
    <row r="68" spans="1:1" x14ac:dyDescent="0.25">
      <c r="A68" s="512" t="s">
        <v>719</v>
      </c>
    </row>
    <row r="69" spans="1:1" x14ac:dyDescent="0.25">
      <c r="A69" s="512" t="s">
        <v>720</v>
      </c>
    </row>
    <row r="70" spans="1:1" x14ac:dyDescent="0.25">
      <c r="A70" s="512" t="s">
        <v>721</v>
      </c>
    </row>
    <row r="71" spans="1:1" x14ac:dyDescent="0.25">
      <c r="A71" s="512" t="s">
        <v>722</v>
      </c>
    </row>
    <row r="72" spans="1:1" x14ac:dyDescent="0.25">
      <c r="A72" s="512" t="s">
        <v>723</v>
      </c>
    </row>
    <row r="73" spans="1:1" x14ac:dyDescent="0.25">
      <c r="A73" s="512" t="s">
        <v>724</v>
      </c>
    </row>
    <row r="74" spans="1:1" x14ac:dyDescent="0.25">
      <c r="A74" s="512" t="s">
        <v>725</v>
      </c>
    </row>
    <row r="75" spans="1:1" x14ac:dyDescent="0.25">
      <c r="A75" s="512" t="s">
        <v>726</v>
      </c>
    </row>
    <row r="76" spans="1:1" x14ac:dyDescent="0.25">
      <c r="A76" s="512" t="s">
        <v>727</v>
      </c>
    </row>
    <row r="77" spans="1:1" x14ac:dyDescent="0.25">
      <c r="A77" s="512" t="s">
        <v>728</v>
      </c>
    </row>
    <row r="78" spans="1:1" x14ac:dyDescent="0.25">
      <c r="A78" s="512" t="s">
        <v>729</v>
      </c>
    </row>
    <row r="79" spans="1:1" x14ac:dyDescent="0.25">
      <c r="A79" s="512" t="s">
        <v>730</v>
      </c>
    </row>
    <row r="80" spans="1:1" x14ac:dyDescent="0.25">
      <c r="A80" s="512" t="s">
        <v>731</v>
      </c>
    </row>
    <row r="81" spans="1:1" x14ac:dyDescent="0.25">
      <c r="A81" s="512" t="s">
        <v>732</v>
      </c>
    </row>
    <row r="82" spans="1:1" x14ac:dyDescent="0.25">
      <c r="A82" s="512" t="s">
        <v>733</v>
      </c>
    </row>
    <row r="83" spans="1:1" x14ac:dyDescent="0.25">
      <c r="A83" s="512" t="s">
        <v>734</v>
      </c>
    </row>
    <row r="84" spans="1:1" x14ac:dyDescent="0.25">
      <c r="A84" s="512" t="s">
        <v>735</v>
      </c>
    </row>
    <row r="85" spans="1:1" x14ac:dyDescent="0.25">
      <c r="A85" s="512" t="s">
        <v>736</v>
      </c>
    </row>
    <row r="86" spans="1:1" x14ac:dyDescent="0.25">
      <c r="A86" s="95" t="s">
        <v>740</v>
      </c>
    </row>
    <row r="88" spans="1:1" x14ac:dyDescent="0.25">
      <c r="A88" s="355" t="s">
        <v>950</v>
      </c>
    </row>
    <row r="89" spans="1:1" ht="36" customHeight="1" x14ac:dyDescent="0.25">
      <c r="A89" s="194" t="s">
        <v>603</v>
      </c>
    </row>
    <row r="91" spans="1:1" x14ac:dyDescent="0.25">
      <c r="A91" s="355" t="s">
        <v>951</v>
      </c>
    </row>
    <row r="92" spans="1:1" x14ac:dyDescent="0.25">
      <c r="A92" s="95" t="s">
        <v>600</v>
      </c>
    </row>
    <row r="93" spans="1:1" x14ac:dyDescent="0.25">
      <c r="A93" s="95" t="s">
        <v>601</v>
      </c>
    </row>
    <row r="94" spans="1:1" x14ac:dyDescent="0.25">
      <c r="A94" s="95" t="s">
        <v>602</v>
      </c>
    </row>
    <row r="96" spans="1:1" x14ac:dyDescent="0.25">
      <c r="A96" s="355" t="s">
        <v>952</v>
      </c>
    </row>
    <row r="97" spans="1:1" x14ac:dyDescent="0.25">
      <c r="A97" s="95" t="s">
        <v>599</v>
      </c>
    </row>
    <row r="99" spans="1:1" x14ac:dyDescent="0.25">
      <c r="A99" s="354" t="s">
        <v>953</v>
      </c>
    </row>
    <row r="100" spans="1:1" x14ac:dyDescent="0.25">
      <c r="A100" s="95" t="s">
        <v>358</v>
      </c>
    </row>
    <row r="101" spans="1:1" x14ac:dyDescent="0.25">
      <c r="A101" s="95" t="s">
        <v>359</v>
      </c>
    </row>
    <row r="102" spans="1:1" x14ac:dyDescent="0.25">
      <c r="A102" s="95" t="s">
        <v>377</v>
      </c>
    </row>
    <row r="103" spans="1:1" x14ac:dyDescent="0.25">
      <c r="A103" s="95" t="s">
        <v>378</v>
      </c>
    </row>
    <row r="104" spans="1:1" x14ac:dyDescent="0.25">
      <c r="A104" s="95" t="s">
        <v>379</v>
      </c>
    </row>
    <row r="105" spans="1:1" x14ac:dyDescent="0.25">
      <c r="A105" s="95" t="s">
        <v>588</v>
      </c>
    </row>
    <row r="107" spans="1:1" x14ac:dyDescent="0.25">
      <c r="A107" s="354" t="s">
        <v>954</v>
      </c>
    </row>
    <row r="108" spans="1:1" x14ac:dyDescent="0.25">
      <c r="A108" s="95" t="s">
        <v>299</v>
      </c>
    </row>
    <row r="109" spans="1:1" x14ac:dyDescent="0.25">
      <c r="A109" s="95" t="s">
        <v>300</v>
      </c>
    </row>
    <row r="110" spans="1:1" x14ac:dyDescent="0.25">
      <c r="A110" s="95" t="s">
        <v>301</v>
      </c>
    </row>
    <row r="111" spans="1:1" x14ac:dyDescent="0.25">
      <c r="A111" s="95" t="s">
        <v>302</v>
      </c>
    </row>
    <row r="112" spans="1:1" x14ac:dyDescent="0.25">
      <c r="A112" s="95" t="s">
        <v>303</v>
      </c>
    </row>
    <row r="113" spans="1:1" x14ac:dyDescent="0.25">
      <c r="A113" s="95" t="s">
        <v>304</v>
      </c>
    </row>
    <row r="114" spans="1:1" x14ac:dyDescent="0.25">
      <c r="A114" s="95" t="s">
        <v>305</v>
      </c>
    </row>
    <row r="115" spans="1:1" x14ac:dyDescent="0.25">
      <c r="A115" s="95" t="s">
        <v>307</v>
      </c>
    </row>
    <row r="116" spans="1:1" x14ac:dyDescent="0.25">
      <c r="A116" s="95" t="s">
        <v>308</v>
      </c>
    </row>
    <row r="117" spans="1:1" x14ac:dyDescent="0.25">
      <c r="A117" s="95" t="s">
        <v>324</v>
      </c>
    </row>
    <row r="118" spans="1:1" x14ac:dyDescent="0.25">
      <c r="A118" s="95" t="s">
        <v>325</v>
      </c>
    </row>
    <row r="119" spans="1:1" x14ac:dyDescent="0.25">
      <c r="A119" s="95" t="s">
        <v>326</v>
      </c>
    </row>
    <row r="120" spans="1:1" x14ac:dyDescent="0.25">
      <c r="A120" s="95" t="s">
        <v>327</v>
      </c>
    </row>
    <row r="121" spans="1:1" x14ac:dyDescent="0.25">
      <c r="A121" s="95" t="s">
        <v>341</v>
      </c>
    </row>
    <row r="122" spans="1:1" x14ac:dyDescent="0.25">
      <c r="A122" s="95" t="s">
        <v>342</v>
      </c>
    </row>
    <row r="123" spans="1:1" x14ac:dyDescent="0.25">
      <c r="A123" s="95" t="s">
        <v>354</v>
      </c>
    </row>
    <row r="124" spans="1:1" x14ac:dyDescent="0.25">
      <c r="A124" s="337" t="s">
        <v>355</v>
      </c>
    </row>
    <row r="126" spans="1:1" x14ac:dyDescent="0.25">
      <c r="A126" s="354" t="s">
        <v>955</v>
      </c>
    </row>
    <row r="127" spans="1:1" x14ac:dyDescent="0.25">
      <c r="A127" s="95" t="s">
        <v>295</v>
      </c>
    </row>
    <row r="129" spans="1:1" x14ac:dyDescent="0.25">
      <c r="A129" s="354" t="s">
        <v>956</v>
      </c>
    </row>
    <row r="130" spans="1:1" x14ac:dyDescent="0.25">
      <c r="A130" s="95" t="s">
        <v>294</v>
      </c>
    </row>
    <row r="132" spans="1:1" x14ac:dyDescent="0.25">
      <c r="A132" s="354" t="s">
        <v>290</v>
      </c>
    </row>
    <row r="133" spans="1:1" x14ac:dyDescent="0.25">
      <c r="A133" s="95" t="s">
        <v>291</v>
      </c>
    </row>
    <row r="134" spans="1:1" x14ac:dyDescent="0.25">
      <c r="A134" s="95" t="s">
        <v>292</v>
      </c>
    </row>
    <row r="135" spans="1:1" x14ac:dyDescent="0.25">
      <c r="A135" s="95" t="s">
        <v>293</v>
      </c>
    </row>
    <row r="137" spans="1:1" x14ac:dyDescent="0.25">
      <c r="A137" s="354" t="s">
        <v>286</v>
      </c>
    </row>
    <row r="138" spans="1:1" x14ac:dyDescent="0.25">
      <c r="A138" s="95" t="s">
        <v>287</v>
      </c>
    </row>
    <row r="139" spans="1:1" x14ac:dyDescent="0.25">
      <c r="A139" s="95" t="s">
        <v>288</v>
      </c>
    </row>
    <row r="141" spans="1:1" x14ac:dyDescent="0.25">
      <c r="A141" s="354" t="s">
        <v>201</v>
      </c>
    </row>
    <row r="142" spans="1:1" x14ac:dyDescent="0.25">
      <c r="A142" s="95" t="s">
        <v>173</v>
      </c>
    </row>
    <row r="143" spans="1:1" ht="31.5" x14ac:dyDescent="0.25">
      <c r="A143" s="194" t="s">
        <v>174</v>
      </c>
    </row>
    <row r="144" spans="1:1" x14ac:dyDescent="0.25">
      <c r="A144" s="95" t="s">
        <v>187</v>
      </c>
    </row>
    <row r="145" spans="1:1" x14ac:dyDescent="0.25">
      <c r="A145" s="95" t="s">
        <v>188</v>
      </c>
    </row>
    <row r="146" spans="1:1" x14ac:dyDescent="0.25">
      <c r="A146" s="95" t="s">
        <v>189</v>
      </c>
    </row>
    <row r="147" spans="1:1" x14ac:dyDescent="0.25">
      <c r="A147" s="95" t="s">
        <v>190</v>
      </c>
    </row>
    <row r="148" spans="1:1" ht="31.5" x14ac:dyDescent="0.25">
      <c r="A148" s="194" t="s">
        <v>182</v>
      </c>
    </row>
    <row r="149" spans="1:1" ht="31.5" x14ac:dyDescent="0.25">
      <c r="A149" s="194" t="s">
        <v>191</v>
      </c>
    </row>
    <row r="150" spans="1:1" ht="31.5" x14ac:dyDescent="0.25">
      <c r="A150" s="194" t="s">
        <v>192</v>
      </c>
    </row>
    <row r="151" spans="1:1" x14ac:dyDescent="0.25">
      <c r="A151" s="194" t="s">
        <v>193</v>
      </c>
    </row>
    <row r="152" spans="1:1" ht="31.5" x14ac:dyDescent="0.25">
      <c r="A152" s="194" t="s">
        <v>194</v>
      </c>
    </row>
    <row r="153" spans="1:1" x14ac:dyDescent="0.25">
      <c r="A153" s="95" t="s">
        <v>195</v>
      </c>
    </row>
    <row r="154" spans="1:1" x14ac:dyDescent="0.25">
      <c r="A154" s="95" t="s">
        <v>196</v>
      </c>
    </row>
    <row r="155" spans="1:1" x14ac:dyDescent="0.25">
      <c r="A155" s="95" t="s">
        <v>197</v>
      </c>
    </row>
    <row r="156" spans="1:1" x14ac:dyDescent="0.25">
      <c r="A156" s="95" t="s">
        <v>198</v>
      </c>
    </row>
    <row r="157" spans="1:1" ht="31.5" x14ac:dyDescent="0.25">
      <c r="A157" s="194" t="s">
        <v>199</v>
      </c>
    </row>
    <row r="158" spans="1:1" x14ac:dyDescent="0.25">
      <c r="A158" s="194" t="s">
        <v>175</v>
      </c>
    </row>
    <row r="159" spans="1:1" ht="31.5" x14ac:dyDescent="0.25">
      <c r="A159" s="194" t="s">
        <v>183</v>
      </c>
    </row>
    <row r="160" spans="1:1" x14ac:dyDescent="0.25">
      <c r="A160" s="194" t="s">
        <v>176</v>
      </c>
    </row>
    <row r="161" spans="1:1" x14ac:dyDescent="0.25">
      <c r="A161" s="194" t="s">
        <v>177</v>
      </c>
    </row>
    <row r="162" spans="1:1" x14ac:dyDescent="0.25">
      <c r="A162" s="194" t="s">
        <v>178</v>
      </c>
    </row>
    <row r="163" spans="1:1" ht="31.5" x14ac:dyDescent="0.25">
      <c r="A163" s="194" t="s">
        <v>179</v>
      </c>
    </row>
    <row r="164" spans="1:1" ht="31.5" x14ac:dyDescent="0.25">
      <c r="A164" s="194" t="s">
        <v>184</v>
      </c>
    </row>
    <row r="165" spans="1:1" ht="31.5" x14ac:dyDescent="0.25">
      <c r="A165" s="194" t="s">
        <v>180</v>
      </c>
    </row>
    <row r="166" spans="1:1" ht="31.5" x14ac:dyDescent="0.25">
      <c r="A166" s="194" t="s">
        <v>185</v>
      </c>
    </row>
    <row r="167" spans="1:1" x14ac:dyDescent="0.25">
      <c r="A167" s="194" t="s">
        <v>186</v>
      </c>
    </row>
    <row r="168" spans="1:1" x14ac:dyDescent="0.25">
      <c r="A168" s="194"/>
    </row>
    <row r="169" spans="1:1" x14ac:dyDescent="0.25">
      <c r="A169" s="354" t="s">
        <v>113</v>
      </c>
    </row>
    <row r="170" spans="1:1" ht="47.25" x14ac:dyDescent="0.25">
      <c r="A170" s="194" t="s">
        <v>144</v>
      </c>
    </row>
    <row r="171" spans="1:1" x14ac:dyDescent="0.25">
      <c r="A171" s="95" t="s">
        <v>114</v>
      </c>
    </row>
    <row r="172" spans="1:1" x14ac:dyDescent="0.25">
      <c r="A172" s="95" t="s">
        <v>118</v>
      </c>
    </row>
    <row r="173" spans="1:1" x14ac:dyDescent="0.25">
      <c r="A173" s="95" t="s">
        <v>119</v>
      </c>
    </row>
    <row r="174" spans="1:1" x14ac:dyDescent="0.25">
      <c r="A174" s="95" t="s">
        <v>115</v>
      </c>
    </row>
    <row r="175" spans="1:1" x14ac:dyDescent="0.25">
      <c r="A175" s="95" t="s">
        <v>116</v>
      </c>
    </row>
    <row r="176" spans="1:1" x14ac:dyDescent="0.25">
      <c r="A176" s="95" t="s">
        <v>117</v>
      </c>
    </row>
    <row r="177" spans="1:1" x14ac:dyDescent="0.25">
      <c r="A177" s="194" t="s">
        <v>212</v>
      </c>
    </row>
    <row r="178" spans="1:1" x14ac:dyDescent="0.25">
      <c r="A178" s="95" t="s">
        <v>120</v>
      </c>
    </row>
    <row r="179" spans="1:1" x14ac:dyDescent="0.25">
      <c r="A179" s="95" t="s">
        <v>121</v>
      </c>
    </row>
    <row r="180" spans="1:1" x14ac:dyDescent="0.25">
      <c r="A180" s="95" t="s">
        <v>145</v>
      </c>
    </row>
    <row r="181" spans="1:1" x14ac:dyDescent="0.25">
      <c r="A181" s="95" t="s">
        <v>135</v>
      </c>
    </row>
    <row r="182" spans="1:1" x14ac:dyDescent="0.25">
      <c r="A182" s="95" t="s">
        <v>146</v>
      </c>
    </row>
    <row r="183" spans="1:1" x14ac:dyDescent="0.25">
      <c r="A183" s="95" t="s">
        <v>122</v>
      </c>
    </row>
    <row r="184" spans="1:1" x14ac:dyDescent="0.25">
      <c r="A184" s="95" t="s">
        <v>213</v>
      </c>
    </row>
    <row r="185" spans="1:1" x14ac:dyDescent="0.25">
      <c r="A185" s="95" t="s">
        <v>123</v>
      </c>
    </row>
    <row r="186" spans="1:1" x14ac:dyDescent="0.25">
      <c r="A186" s="95" t="s">
        <v>136</v>
      </c>
    </row>
    <row r="187" spans="1:1" ht="31.5" x14ac:dyDescent="0.25">
      <c r="A187" s="194" t="s">
        <v>137</v>
      </c>
    </row>
    <row r="188" spans="1:1" x14ac:dyDescent="0.25">
      <c r="A188" s="95" t="s">
        <v>138</v>
      </c>
    </row>
    <row r="189" spans="1:1" x14ac:dyDescent="0.25">
      <c r="A189" s="95" t="s">
        <v>147</v>
      </c>
    </row>
    <row r="190" spans="1:1" x14ac:dyDescent="0.25">
      <c r="A190" s="95" t="s">
        <v>181</v>
      </c>
    </row>
    <row r="191" spans="1:1" x14ac:dyDescent="0.25">
      <c r="A191" s="95" t="s">
        <v>211</v>
      </c>
    </row>
    <row r="192" spans="1:1" x14ac:dyDescent="0.25">
      <c r="A192" s="95" t="s">
        <v>149</v>
      </c>
    </row>
    <row r="193" spans="1:1" x14ac:dyDescent="0.25">
      <c r="A193" s="95" t="s">
        <v>210</v>
      </c>
    </row>
    <row r="194" spans="1:1" x14ac:dyDescent="0.25">
      <c r="A194" s="95" t="s">
        <v>150</v>
      </c>
    </row>
    <row r="195" spans="1:1" x14ac:dyDescent="0.25">
      <c r="A195" s="95" t="s">
        <v>155</v>
      </c>
    </row>
    <row r="196" spans="1:1" x14ac:dyDescent="0.25">
      <c r="A196" s="95" t="s">
        <v>156</v>
      </c>
    </row>
    <row r="197" spans="1:1" x14ac:dyDescent="0.25">
      <c r="A197" s="95" t="s">
        <v>164</v>
      </c>
    </row>
    <row r="198" spans="1:1" x14ac:dyDescent="0.25">
      <c r="A198" s="95" t="s">
        <v>165</v>
      </c>
    </row>
  </sheetData>
  <sheetProtection sheet="1"/>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workbookViewId="0">
      <selection activeCell="B16" sqref="B16"/>
    </sheetView>
  </sheetViews>
  <sheetFormatPr defaultColWidth="8.796875" defaultRowHeight="15.75" x14ac:dyDescent="0.25"/>
  <cols>
    <col min="1" max="1" width="13.69921875" style="338" customWidth="1"/>
    <col min="2" max="2" width="16" style="338" bestFit="1" customWidth="1"/>
    <col min="3" max="16384" width="8.796875" style="338"/>
  </cols>
  <sheetData>
    <row r="1" spans="1:10" x14ac:dyDescent="0.2">
      <c r="J1" s="537" t="s">
        <v>756</v>
      </c>
    </row>
    <row r="2" spans="1:10" ht="31.5" customHeight="1" x14ac:dyDescent="0.2">
      <c r="A2" s="805" t="s">
        <v>365</v>
      </c>
      <c r="B2" s="806"/>
      <c r="C2" s="806"/>
      <c r="D2" s="806"/>
      <c r="E2" s="806"/>
      <c r="F2" s="806"/>
      <c r="J2" s="537" t="s">
        <v>757</v>
      </c>
    </row>
    <row r="3" spans="1:10" x14ac:dyDescent="0.2">
      <c r="J3" s="537" t="s">
        <v>758</v>
      </c>
    </row>
    <row r="4" spans="1:10" x14ac:dyDescent="0.25">
      <c r="A4" s="1" t="s">
        <v>768</v>
      </c>
      <c r="B4" s="719" t="s">
        <v>961</v>
      </c>
      <c r="J4" s="537" t="s">
        <v>759</v>
      </c>
    </row>
    <row r="5" spans="1:10" x14ac:dyDescent="0.25">
      <c r="A5" s="1"/>
      <c r="B5" s="538"/>
      <c r="J5" s="537" t="s">
        <v>760</v>
      </c>
    </row>
    <row r="6" spans="1:10" x14ac:dyDescent="0.25">
      <c r="A6" s="1" t="s">
        <v>769</v>
      </c>
      <c r="B6" s="719" t="s">
        <v>962</v>
      </c>
      <c r="J6" s="537" t="s">
        <v>761</v>
      </c>
    </row>
    <row r="7" spans="1:10" x14ac:dyDescent="0.2">
      <c r="D7" s="339"/>
      <c r="J7" s="537" t="s">
        <v>762</v>
      </c>
    </row>
    <row r="8" spans="1:10" x14ac:dyDescent="0.2">
      <c r="A8" s="193" t="s">
        <v>360</v>
      </c>
      <c r="B8" s="720" t="s">
        <v>984</v>
      </c>
      <c r="C8" s="340"/>
      <c r="D8" s="193" t="s">
        <v>755</v>
      </c>
      <c r="J8" s="537" t="s">
        <v>763</v>
      </c>
    </row>
    <row r="9" spans="1:10" x14ac:dyDescent="0.2">
      <c r="A9" s="193"/>
      <c r="B9" s="341"/>
      <c r="C9" s="342"/>
      <c r="D9" s="539" t="str">
        <f ca="1">IF(B8="","",CONCATENATE("Latest date for notice to be published in your newspaper: ",G19," ",G23,", ",G24))</f>
        <v>Latest date for notice to be published in your newspaper: July 25, 2014</v>
      </c>
      <c r="J9" s="537" t="s">
        <v>764</v>
      </c>
    </row>
    <row r="10" spans="1:10" x14ac:dyDescent="0.2">
      <c r="A10" s="193" t="s">
        <v>361</v>
      </c>
      <c r="B10" s="720" t="s">
        <v>983</v>
      </c>
      <c r="C10" s="343"/>
      <c r="D10" s="193"/>
      <c r="J10" s="537" t="s">
        <v>765</v>
      </c>
    </row>
    <row r="11" spans="1:10" x14ac:dyDescent="0.2">
      <c r="A11" s="193"/>
      <c r="B11" s="193"/>
      <c r="C11" s="193"/>
      <c r="D11" s="193"/>
      <c r="J11" s="537" t="s">
        <v>766</v>
      </c>
    </row>
    <row r="12" spans="1:10" x14ac:dyDescent="0.2">
      <c r="A12" s="193" t="s">
        <v>362</v>
      </c>
      <c r="B12" s="721" t="s">
        <v>963</v>
      </c>
      <c r="C12" s="722"/>
      <c r="D12" s="722"/>
      <c r="E12" s="723"/>
      <c r="J12" s="537" t="s">
        <v>767</v>
      </c>
    </row>
    <row r="13" spans="1:10" x14ac:dyDescent="0.25">
      <c r="A13" s="193"/>
      <c r="B13" s="193"/>
      <c r="C13" s="193"/>
      <c r="D13" s="193"/>
    </row>
    <row r="14" spans="1:10" x14ac:dyDescent="0.25">
      <c r="A14" s="193"/>
      <c r="B14" s="193"/>
      <c r="C14" s="193"/>
      <c r="D14" s="193"/>
    </row>
    <row r="15" spans="1:10" x14ac:dyDescent="0.25">
      <c r="A15" s="193" t="s">
        <v>363</v>
      </c>
      <c r="B15" s="721" t="s">
        <v>985</v>
      </c>
      <c r="C15" s="722"/>
      <c r="D15" s="722"/>
      <c r="E15" s="723"/>
    </row>
    <row r="18" spans="1:7" x14ac:dyDescent="0.25">
      <c r="A18" s="807" t="s">
        <v>366</v>
      </c>
      <c r="B18" s="807"/>
      <c r="C18" s="193"/>
      <c r="D18" s="193"/>
      <c r="E18" s="193"/>
    </row>
    <row r="19" spans="1:7" x14ac:dyDescent="0.2">
      <c r="A19" s="193"/>
      <c r="B19" s="193"/>
      <c r="C19" s="193"/>
      <c r="D19" s="193"/>
      <c r="E19" s="193"/>
      <c r="G19" s="537" t="str">
        <f ca="1">IF(B8="","",INDIRECT(G20))</f>
        <v>July</v>
      </c>
    </row>
    <row r="20" spans="1:7" x14ac:dyDescent="0.25">
      <c r="A20" s="193" t="s">
        <v>360</v>
      </c>
      <c r="B20" s="341" t="s">
        <v>364</v>
      </c>
      <c r="C20" s="193"/>
      <c r="D20" s="193"/>
      <c r="E20" s="193"/>
      <c r="G20" s="540" t="str">
        <f>IF(B8="","",CONCATENATE("J",G22))</f>
        <v>J7</v>
      </c>
    </row>
    <row r="21" spans="1:7" x14ac:dyDescent="0.25">
      <c r="A21" s="193"/>
      <c r="B21" s="193"/>
      <c r="C21" s="193"/>
      <c r="D21" s="193"/>
      <c r="E21" s="193"/>
      <c r="G21" s="541">
        <f>B8-10</f>
        <v>41845</v>
      </c>
    </row>
    <row r="22" spans="1:7" x14ac:dyDescent="0.25">
      <c r="A22" s="193" t="s">
        <v>361</v>
      </c>
      <c r="B22" s="193" t="s">
        <v>367</v>
      </c>
      <c r="C22" s="193"/>
      <c r="D22" s="193"/>
      <c r="E22" s="193"/>
      <c r="G22" s="542">
        <f>IF(B8="","",MONTH(G21))</f>
        <v>7</v>
      </c>
    </row>
    <row r="23" spans="1:7" x14ac:dyDescent="0.25">
      <c r="A23" s="193"/>
      <c r="B23" s="193"/>
      <c r="C23" s="193"/>
      <c r="D23" s="193"/>
      <c r="E23" s="193"/>
      <c r="G23" s="543">
        <f>IF(B8="","",DAY(G21))</f>
        <v>25</v>
      </c>
    </row>
    <row r="24" spans="1:7" x14ac:dyDescent="0.25">
      <c r="A24" s="193" t="s">
        <v>362</v>
      </c>
      <c r="B24" s="193" t="s">
        <v>368</v>
      </c>
      <c r="C24" s="193"/>
      <c r="D24" s="193"/>
      <c r="E24" s="193"/>
      <c r="G24" s="544">
        <f>IF(B8="","",YEAR(G21))</f>
        <v>2014</v>
      </c>
    </row>
    <row r="25" spans="1:7" x14ac:dyDescent="0.25">
      <c r="A25" s="193"/>
      <c r="B25" s="193"/>
      <c r="C25" s="193"/>
      <c r="D25" s="193"/>
      <c r="E25" s="193"/>
    </row>
    <row r="26" spans="1:7" x14ac:dyDescent="0.25">
      <c r="A26" s="193" t="s">
        <v>363</v>
      </c>
      <c r="B26" s="193" t="s">
        <v>369</v>
      </c>
      <c r="C26" s="193"/>
      <c r="D26" s="193"/>
      <c r="E26" s="193"/>
    </row>
  </sheetData>
  <mergeCells count="2">
    <mergeCell ref="A2:F2"/>
    <mergeCell ref="A18:B18"/>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G71"/>
  <sheetViews>
    <sheetView workbookViewId="0">
      <selection activeCell="A57" sqref="A57"/>
    </sheetView>
  </sheetViews>
  <sheetFormatPr defaultColWidth="8.796875" defaultRowHeight="15.75" x14ac:dyDescent="0.25"/>
  <cols>
    <col min="1" max="1" width="22.3984375" style="95" customWidth="1"/>
    <col min="2" max="2" width="10.8984375" style="95" customWidth="1"/>
    <col min="3" max="3" width="5.69921875" style="95" customWidth="1"/>
    <col min="4" max="4" width="15.69921875" style="95" customWidth="1"/>
    <col min="5" max="5" width="12.69921875" style="95" customWidth="1"/>
    <col min="6" max="6" width="10.69921875" style="95" customWidth="1"/>
    <col min="7" max="16384" width="8.796875" style="95"/>
  </cols>
  <sheetData>
    <row r="1" spans="1:7" s="48" customFormat="1" x14ac:dyDescent="0.25">
      <c r="A1" s="823" t="s">
        <v>22</v>
      </c>
      <c r="B1" s="823"/>
      <c r="C1" s="823"/>
      <c r="D1" s="823"/>
      <c r="E1" s="823"/>
      <c r="F1" s="823"/>
      <c r="G1" s="48">
        <f>inputPrYr!D9</f>
        <v>2015</v>
      </c>
    </row>
    <row r="2" spans="1:7" s="48" customFormat="1" x14ac:dyDescent="0.25">
      <c r="B2" s="49"/>
      <c r="C2" s="49"/>
      <c r="D2" s="49"/>
      <c r="E2" s="49"/>
      <c r="F2" s="50"/>
    </row>
    <row r="3" spans="1:7" s="48" customFormat="1" x14ac:dyDescent="0.25">
      <c r="A3" s="820" t="str">
        <f>CONCATENATE("To the Clerk of ",inputPrYr!D4,", State of Kansas")</f>
        <v>To the Clerk of Butler County, State of Kansas</v>
      </c>
      <c r="B3" s="809"/>
      <c r="C3" s="809"/>
      <c r="D3" s="809"/>
      <c r="E3" s="809"/>
      <c r="F3" s="809"/>
    </row>
    <row r="4" spans="1:7" s="48" customFormat="1" x14ac:dyDescent="0.25">
      <c r="A4" s="820" t="s">
        <v>82</v>
      </c>
      <c r="B4" s="821"/>
      <c r="C4" s="821"/>
      <c r="D4" s="821"/>
      <c r="E4" s="821"/>
      <c r="F4" s="821"/>
    </row>
    <row r="5" spans="1:7" s="48" customFormat="1" x14ac:dyDescent="0.25">
      <c r="A5" s="822" t="str">
        <f>inputPrYr!D3</f>
        <v>Milton Township</v>
      </c>
      <c r="B5" s="821"/>
      <c r="C5" s="821"/>
      <c r="D5" s="821"/>
      <c r="E5" s="821"/>
      <c r="F5" s="821"/>
    </row>
    <row r="6" spans="1:7" s="48" customFormat="1" x14ac:dyDescent="0.25">
      <c r="A6" s="830" t="s">
        <v>80</v>
      </c>
      <c r="B6" s="831"/>
      <c r="C6" s="831"/>
      <c r="D6" s="831"/>
      <c r="E6" s="831"/>
      <c r="F6" s="831"/>
    </row>
    <row r="7" spans="1:7" s="48" customFormat="1" ht="15.75" customHeight="1" x14ac:dyDescent="0.25">
      <c r="A7" s="820" t="s">
        <v>81</v>
      </c>
      <c r="B7" s="832"/>
      <c r="C7" s="832"/>
      <c r="D7" s="832"/>
      <c r="E7" s="832"/>
      <c r="F7" s="832"/>
    </row>
    <row r="8" spans="1:7" s="48" customFormat="1" ht="15.75" customHeight="1" x14ac:dyDescent="0.25">
      <c r="A8" s="820" t="str">
        <f>CONCATENATE("maximum expenditures for the various funds for the year ",G1,"; and (3) the")</f>
        <v>maximum expenditures for the various funds for the year 2015; and (3) the</v>
      </c>
      <c r="B8" s="821"/>
      <c r="C8" s="821"/>
      <c r="D8" s="821"/>
      <c r="E8" s="821"/>
      <c r="F8" s="821"/>
    </row>
    <row r="9" spans="1:7" s="48" customFormat="1" ht="15.75" customHeight="1" x14ac:dyDescent="0.25">
      <c r="A9" s="820" t="str">
        <f>CONCATENATE("Amount(s) of ",G1-1," Ad Valorem Tax are within statutory limitations for the ",G1," Budget.")</f>
        <v>Amount(s) of 2014 Ad Valorem Tax are within statutory limitations for the 2015 Budget.</v>
      </c>
      <c r="B9" s="821"/>
      <c r="C9" s="821"/>
      <c r="D9" s="821"/>
      <c r="E9" s="821"/>
      <c r="F9" s="821"/>
    </row>
    <row r="10" spans="1:7" s="48" customFormat="1" ht="15.75" customHeight="1" x14ac:dyDescent="0.25">
      <c r="D10" s="53"/>
      <c r="E10" s="53"/>
      <c r="F10" s="53"/>
    </row>
    <row r="11" spans="1:7" s="48" customFormat="1" x14ac:dyDescent="0.25">
      <c r="C11" s="54"/>
      <c r="D11" s="827" t="str">
        <f>CONCATENATE("",G1," Adopted Budget")</f>
        <v>2015 Adopted Budget</v>
      </c>
      <c r="E11" s="828"/>
      <c r="F11" s="829"/>
    </row>
    <row r="12" spans="1:7" s="48" customFormat="1" x14ac:dyDescent="0.25">
      <c r="A12" s="55"/>
      <c r="C12" s="53"/>
      <c r="D12" s="56" t="s">
        <v>222</v>
      </c>
      <c r="E12" s="824" t="str">
        <f>CONCATENATE("Amount of ",G1-1," Ad Valorem Tax")</f>
        <v>Amount of 2014 Ad Valorem Tax</v>
      </c>
      <c r="F12" s="57" t="s">
        <v>223</v>
      </c>
    </row>
    <row r="13" spans="1:7" s="48" customFormat="1" x14ac:dyDescent="0.25">
      <c r="C13" s="57" t="s">
        <v>224</v>
      </c>
      <c r="D13" s="467" t="s">
        <v>152</v>
      </c>
      <c r="E13" s="825"/>
      <c r="F13" s="59" t="s">
        <v>225</v>
      </c>
    </row>
    <row r="14" spans="1:7" s="48" customFormat="1" x14ac:dyDescent="0.25">
      <c r="A14" s="60" t="s">
        <v>226</v>
      </c>
      <c r="B14" s="61"/>
      <c r="C14" s="62" t="s">
        <v>227</v>
      </c>
      <c r="D14" s="468" t="s">
        <v>694</v>
      </c>
      <c r="E14" s="826"/>
      <c r="F14" s="62" t="s">
        <v>229</v>
      </c>
    </row>
    <row r="15" spans="1:7" s="48" customFormat="1" x14ac:dyDescent="0.25">
      <c r="A15" s="63" t="str">
        <f>CONCATENATE("Computation to Determine Limit for ",G1,"")</f>
        <v>Computation to Determine Limit for 2015</v>
      </c>
      <c r="B15" s="64"/>
      <c r="C15" s="57">
        <v>2</v>
      </c>
      <c r="D15" s="54"/>
      <c r="E15" s="54"/>
      <c r="F15" s="65"/>
    </row>
    <row r="16" spans="1:7" s="48" customFormat="1" x14ac:dyDescent="0.25">
      <c r="A16" s="63" t="s">
        <v>745</v>
      </c>
      <c r="B16" s="64"/>
      <c r="C16" s="66">
        <v>3</v>
      </c>
      <c r="D16" s="54"/>
      <c r="E16" s="54"/>
      <c r="F16" s="67"/>
    </row>
    <row r="17" spans="1:6" s="48" customFormat="1" x14ac:dyDescent="0.25">
      <c r="A17" s="68" t="s">
        <v>95</v>
      </c>
      <c r="B17" s="64"/>
      <c r="C17" s="66">
        <v>4</v>
      </c>
      <c r="D17" s="54"/>
      <c r="E17" s="54"/>
      <c r="F17" s="67"/>
    </row>
    <row r="18" spans="1:6" s="48" customFormat="1" x14ac:dyDescent="0.25">
      <c r="A18" s="68" t="s">
        <v>71</v>
      </c>
      <c r="B18" s="64"/>
      <c r="C18" s="66">
        <v>5</v>
      </c>
      <c r="D18" s="54"/>
      <c r="E18" s="54"/>
      <c r="F18" s="67"/>
    </row>
    <row r="19" spans="1:6" s="48" customFormat="1" x14ac:dyDescent="0.25">
      <c r="A19" s="68" t="str">
        <f>IF(inputPrYr!D22="","","Computation to Determine State Library Grant")</f>
        <v/>
      </c>
      <c r="B19" s="64"/>
      <c r="C19" s="66" t="str">
        <f>IF(inputPrYr!D22="","",'Library Grant'!F40)</f>
        <v/>
      </c>
      <c r="D19" s="54"/>
      <c r="E19" s="54"/>
      <c r="F19" s="67"/>
    </row>
    <row r="20" spans="1:6" s="48" customFormat="1" x14ac:dyDescent="0.25">
      <c r="A20" s="69" t="s">
        <v>230</v>
      </c>
      <c r="B20" s="70" t="s">
        <v>231</v>
      </c>
      <c r="C20" s="71"/>
      <c r="F20" s="72"/>
    </row>
    <row r="21" spans="1:6" s="48" customFormat="1" x14ac:dyDescent="0.25">
      <c r="A21" s="73" t="str">
        <f>inputPrYr!B20</f>
        <v>General</v>
      </c>
      <c r="B21" s="74" t="str">
        <f>inputPrYr!C20</f>
        <v>79-1962</v>
      </c>
      <c r="C21" s="75">
        <f>IF(gen!C61&gt;0,gen!C61,"  ")</f>
        <v>6</v>
      </c>
      <c r="D21" s="545">
        <f>IF(gen!$E$50&lt;&gt;0,gen!$E$50,"  ")</f>
        <v>47929</v>
      </c>
      <c r="E21" s="545">
        <f>IF(gen!$E$57&lt;&gt;0,gen!$E$57,0)</f>
        <v>42748</v>
      </c>
      <c r="F21" s="546" t="str">
        <f>IF(AND(gen!E57=0,$B$47&gt;=0)," ",IF(AND(E21&gt;0,$B$47=0)," ",IF(AND(E21&gt;0,$B$47&gt;0),ROUND(E21/$B$47*1000,3))))</f>
        <v xml:space="preserve"> </v>
      </c>
    </row>
    <row r="22" spans="1:6" s="48" customFormat="1" x14ac:dyDescent="0.25">
      <c r="A22" s="73" t="s">
        <v>289</v>
      </c>
      <c r="B22" s="74" t="str">
        <f>IF(inputPrYr!C21&gt;0,inputPrYr!C21,"")</f>
        <v>10-113</v>
      </c>
      <c r="C22" s="75" t="str">
        <f>IF('DebtSvs-Library'!C83&gt;0,'DebtSvs-Library'!C83,"  ")</f>
        <v xml:space="preserve">  </v>
      </c>
      <c r="D22" s="545" t="str">
        <f>IF('DebtSvs-Library'!E33&lt;&gt;0,'DebtSvs-Library'!E33,"  ")</f>
        <v xml:space="preserve">  </v>
      </c>
      <c r="E22" s="545" t="str">
        <f>IF('DebtSvs-Library'!E40&lt;&gt;0,'DebtSvs-Library'!E40,"  ")</f>
        <v xml:space="preserve">  </v>
      </c>
      <c r="F22" s="546" t="str">
        <f>IF(AND('DebtSvs-Library'!E40=0,$B$47&gt;=0)," ",IF(AND(E22&gt;0,$B$47=0)," ",IF(AND(E22&gt;0,$B$47&gt;0),ROUND(E22/$B$47*1000,3))))</f>
        <v xml:space="preserve"> </v>
      </c>
    </row>
    <row r="23" spans="1:6" s="48" customFormat="1" x14ac:dyDescent="0.25">
      <c r="A23" s="73" t="str">
        <f>IF(inputPrYr!$B22&gt;"  ",inputPrYr!$B22,"  ")</f>
        <v>Library</v>
      </c>
      <c r="B23" s="74" t="str">
        <f>IF(inputPrYr!C22&gt;0,inputPrYr!C22,"")</f>
        <v>12-1220</v>
      </c>
      <c r="C23" s="75" t="str">
        <f>IF('DebtSvs-Library'!C83&gt;0,'DebtSvs-Library'!C83,"  ")</f>
        <v xml:space="preserve">  </v>
      </c>
      <c r="D23" s="545" t="str">
        <f>IF('DebtSvs-Library'!E73&lt;&gt;0,'DebtSvs-Library'!E73,"  ")</f>
        <v xml:space="preserve">  </v>
      </c>
      <c r="E23" s="545" t="str">
        <f>IF('DebtSvs-Library'!E80&lt;&gt;0,'DebtSvs-Library'!E80,"  ")</f>
        <v xml:space="preserve">  </v>
      </c>
      <c r="F23" s="546" t="str">
        <f>IF(AND('DebtSvs-Library'!E80=0,$B$47&gt;=0)," ",IF(AND(E23&gt;0,$B$47=0)," ",IF(AND(E23&gt;0,$B$47&gt;0),ROUND(E23/$B$47*1000,3))))</f>
        <v xml:space="preserve"> </v>
      </c>
    </row>
    <row r="24" spans="1:6" s="48" customFormat="1" x14ac:dyDescent="0.25">
      <c r="A24" s="73" t="str">
        <f>IF(inputPrYr!$B23&gt;"  ",inputPrYr!$B23,"  ")</f>
        <v>Road</v>
      </c>
      <c r="B24" s="74" t="str">
        <f>IF(inputPrYr!C23&gt;0,inputPrYr!C23,"  ")</f>
        <v>68-518c</v>
      </c>
      <c r="C24" s="75">
        <f>IF(road!C67&gt;0,road!C67,"  ")</f>
        <v>7</v>
      </c>
      <c r="D24" s="545">
        <f>IF(road!$E$43&lt;&gt;0,road!$E$43,"  ")</f>
        <v>46606</v>
      </c>
      <c r="E24" s="545">
        <f>IF(road!$E$50&lt;&gt;0,road!$E$50,"  ")</f>
        <v>35778</v>
      </c>
      <c r="F24" s="546" t="str">
        <f>IF(AND(road!E50=0,$B$44&gt;=0)," ",IF(AND(E24&gt;0,$B$44=0)," ",IF(AND(E24&gt;0,$B$44&gt;0),ROUND(E24/$B$44*1000,3))))</f>
        <v xml:space="preserve"> </v>
      </c>
    </row>
    <row r="25" spans="1:6" s="48" customFormat="1" x14ac:dyDescent="0.25">
      <c r="A25" s="73" t="str">
        <f>IF(inputPrYr!$B24&gt;"  ",inputPrYr!$B24,"  ")</f>
        <v>Special Road</v>
      </c>
      <c r="B25" s="74" t="str">
        <f>IF(inputPrYr!C24&gt;0,inputPrYr!C24,"  ")</f>
        <v>80-1413</v>
      </c>
      <c r="C25" s="75" t="str">
        <f>IF('SpecRoad&amp;Noxious'!C81&gt;0,'SpecRoad&amp;Noxious'!C81,"  ")</f>
        <v xml:space="preserve">  </v>
      </c>
      <c r="D25" s="545" t="str">
        <f>IF('SpecRoad&amp;Noxious'!$E$33&lt;&gt;0,'SpecRoad&amp;Noxious'!$E$33,"  ")</f>
        <v xml:space="preserve">  </v>
      </c>
      <c r="E25" s="545" t="str">
        <f>IF('SpecRoad&amp;Noxious'!$E$40&lt;&gt;0,'SpecRoad&amp;Noxious'!$E$40,"  ")</f>
        <v xml:space="preserve">  </v>
      </c>
      <c r="F25" s="546" t="str">
        <f>IF(AND('SpecRoad&amp;Noxious'!E40=0,$B$44&gt;=0)," ",IF(AND(E25&gt;0,$B$44=0)," ",IF(AND(E25&gt;0,$B$44&gt;0),ROUND(E25/$B$44*1000,3))))</f>
        <v xml:space="preserve"> </v>
      </c>
    </row>
    <row r="26" spans="1:6" s="48" customFormat="1" x14ac:dyDescent="0.25">
      <c r="A26" s="73" t="str">
        <f>IF(inputPrYr!$B25&gt;"  ",inputPrYr!$B25,"  ")</f>
        <v>Noxious Weed</v>
      </c>
      <c r="B26" s="74" t="str">
        <f>IF(inputPrYr!C25&gt;0,inputPrYr!C25,"  ")</f>
        <v>2-1318</v>
      </c>
      <c r="C26" s="75" t="str">
        <f>IF('SpecRoad&amp;Noxious'!C81&gt;0,'SpecRoad&amp;Noxious'!C81,"  ")</f>
        <v xml:space="preserve">  </v>
      </c>
      <c r="D26" s="545" t="str">
        <f>IF('SpecRoad&amp;Noxious'!$E$73&lt;&gt;0,'SpecRoad&amp;Noxious'!$E$73,"  ")</f>
        <v xml:space="preserve">  </v>
      </c>
      <c r="E26" s="545" t="str">
        <f>IF('SpecRoad&amp;Noxious'!$E$80&lt;&gt;0,'SpecRoad&amp;Noxious'!$E$80,"  ")</f>
        <v xml:space="preserve">  </v>
      </c>
      <c r="F26" s="546" t="str">
        <f>IF(AND('SpecRoad&amp;Noxious'!E80=0,$B$44&gt;=0)," ",IF(AND(E26&gt;0,$B$44=0)," ",IF(AND(E26&gt;0,$B$44&gt;0),ROUND(E26/$B$44*1000,3))))</f>
        <v xml:space="preserve"> </v>
      </c>
    </row>
    <row r="27" spans="1:6" s="48" customFormat="1" x14ac:dyDescent="0.25">
      <c r="A27" s="73" t="str">
        <f>IF(inputPrYr!$B26&gt;"  ",inputPrYr!$B26,"  ")</f>
        <v>Fire Protection</v>
      </c>
      <c r="B27" s="74" t="str">
        <f>IF(inputPrYr!C26&gt;0,inputPrYr!C26,"  ")</f>
        <v>80-1503</v>
      </c>
      <c r="C27" s="75" t="str">
        <f>IF(levypage10!C81&gt;0,levypage10!C81,"  ")</f>
        <v xml:space="preserve">  </v>
      </c>
      <c r="D27" s="545" t="str">
        <f>IF(levypage10!$E$33&lt;&gt;0,levypage10!$E$33,"  ")</f>
        <v xml:space="preserve">  </v>
      </c>
      <c r="E27" s="545" t="str">
        <f>IF(levypage10!$E$40&lt;&gt;0,levypage10!$E$40,"  ")</f>
        <v xml:space="preserve">  </v>
      </c>
      <c r="F27" s="546" t="str">
        <f>IF(AND(levypage10!$E$40=0,$B$44&gt;=0)," ",IF(AND(E27&gt;0,$B$44=0)," ",IF(AND(E27&gt;0,$B$44&gt;0),ROUND(E27/$B$44*1000,3))))</f>
        <v xml:space="preserve"> </v>
      </c>
    </row>
    <row r="28" spans="1:6" s="48" customFormat="1" x14ac:dyDescent="0.25">
      <c r="A28" s="73" t="str">
        <f>IF(inputPrYr!$B27&gt;"  ",inputPrYr!$B27,"  ")</f>
        <v xml:space="preserve">  </v>
      </c>
      <c r="B28" s="74" t="str">
        <f>IF(inputPrYr!C27&gt;0,inputPrYr!C27,"  ")</f>
        <v xml:space="preserve">  </v>
      </c>
      <c r="C28" s="75" t="str">
        <f>IF(levypage10!C81&gt;0,levypage10!C81,"  ")</f>
        <v xml:space="preserve">  </v>
      </c>
      <c r="D28" s="545" t="str">
        <f>IF(levypage10!$E$73&lt;&gt;0,levypage10!$E$73,"  ")</f>
        <v xml:space="preserve">  </v>
      </c>
      <c r="E28" s="545" t="str">
        <f>IF(levypage10!$E$80&lt;&gt;0,levypage10!$E$80,"  ")</f>
        <v xml:space="preserve">  </v>
      </c>
      <c r="F28" s="546" t="str">
        <f>IF(AND(levypage10!$E$80=0,$B$47&gt;=0)," ",IF(AND(E28&gt;0,$B$47=0)," ",IF(AND(E28&gt;0,$B$47&gt;0),ROUND(E28/$B$47*1000,3))))</f>
        <v xml:space="preserve"> </v>
      </c>
    </row>
    <row r="29" spans="1:6" s="48" customFormat="1" x14ac:dyDescent="0.25">
      <c r="A29" s="73" t="str">
        <f>IF(inputPrYr!$B28&gt;"  ",inputPrYr!$B28,"  ")</f>
        <v xml:space="preserve">  </v>
      </c>
      <c r="B29" s="74" t="str">
        <f>IF(inputPrYr!C28&gt;0,inputPrYr!C28,"  ")</f>
        <v xml:space="preserve">  </v>
      </c>
      <c r="C29" s="75" t="str">
        <f>IF(levypage11!C81&gt;0,levypage11!C81,"  ")</f>
        <v xml:space="preserve">  </v>
      </c>
      <c r="D29" s="545" t="str">
        <f>IF(levypage11!$E$33&lt;&gt;0,levypage11!$E$33,"  ")</f>
        <v xml:space="preserve">  </v>
      </c>
      <c r="E29" s="545" t="str">
        <f>IF(levypage11!$E$40&lt;&gt;0,levypage11!$E$40,"  ")</f>
        <v xml:space="preserve">  </v>
      </c>
      <c r="F29" s="546" t="str">
        <f>IF(AND(levypage11!$E$40=0,$B$47&gt;=0)," ",IF(AND(E29&gt;0,$B$47=0)," ",IF(AND(E29&gt;0,$B$47&gt;0),ROUND(E29/$B$47*1000,3))))</f>
        <v xml:space="preserve"> </v>
      </c>
    </row>
    <row r="30" spans="1:6" s="48" customFormat="1" x14ac:dyDescent="0.25">
      <c r="A30" s="73" t="str">
        <f>IF(inputPrYr!$B29&gt;"  ",inputPrYr!$B29,"  ")</f>
        <v xml:space="preserve">  </v>
      </c>
      <c r="B30" s="74" t="str">
        <f>IF(inputPrYr!C29&gt;0,inputPrYr!C29,"  ")</f>
        <v xml:space="preserve">  </v>
      </c>
      <c r="C30" s="75" t="str">
        <f>IF(levypage11!C81&gt;0,levypage11!C81,"  ")</f>
        <v xml:space="preserve">  </v>
      </c>
      <c r="D30" s="545" t="str">
        <f>IF(levypage11!$E$73&lt;&gt;0,levypage11!$E$73,"  ")</f>
        <v xml:space="preserve">  </v>
      </c>
      <c r="E30" s="545" t="str">
        <f>IF(levypage11!$E$80&lt;&gt;0,levypage11!$E$80,"  ")</f>
        <v xml:space="preserve">  </v>
      </c>
      <c r="F30" s="546" t="str">
        <f>IF(AND(levypage11!$E$80=0,$B$47&gt;=0)," ",IF(AND(E30&gt;0,$B$47=0)," ",IF(AND(E30&gt;0,$B$47&gt;0),ROUND(E30/$B$47*1000,3))))</f>
        <v xml:space="preserve"> </v>
      </c>
    </row>
    <row r="31" spans="1:6" s="48" customFormat="1" x14ac:dyDescent="0.25">
      <c r="A31" s="73" t="str">
        <f>IF(inputPrYr!$B30&gt;"  ",inputPrYr!$B30,"  ")</f>
        <v xml:space="preserve">  </v>
      </c>
      <c r="B31" s="74" t="str">
        <f>IF(inputPrYr!C30&gt;0,inputPrYr!C30,"  ")</f>
        <v xml:space="preserve">  </v>
      </c>
      <c r="C31" s="75" t="str">
        <f>IF(levypage12!C81&gt;0,levypage12!C81,"  ")</f>
        <v xml:space="preserve">  </v>
      </c>
      <c r="D31" s="545" t="str">
        <f>IF(levypage12!$E$33&lt;&gt;0,levypage12!$E$33,"  ")</f>
        <v xml:space="preserve">  </v>
      </c>
      <c r="E31" s="545" t="str">
        <f>IF(levypage12!$E$40&lt;&gt;0,levypage12!$E$40,"  ")</f>
        <v xml:space="preserve">  </v>
      </c>
      <c r="F31" s="546" t="str">
        <f>IF(AND(levypage12!$E$40=0,$B$47&gt;=0)," ",IF(AND(E31&gt;0,$B$47=0)," ",IF(AND(E31&gt;0,$B$47&gt;0),ROUND(E31/$B$47*1000,3))))</f>
        <v xml:space="preserve"> </v>
      </c>
    </row>
    <row r="32" spans="1:6" s="48" customFormat="1" x14ac:dyDescent="0.25">
      <c r="A32" s="73" t="str">
        <f>IF(inputPrYr!$B31&gt;"  ",inputPrYr!$B31,"  ")</f>
        <v xml:space="preserve">  </v>
      </c>
      <c r="B32" s="74" t="str">
        <f>IF(inputPrYr!C31&gt;0,inputPrYr!C31,"  ")</f>
        <v xml:space="preserve">  </v>
      </c>
      <c r="C32" s="75" t="str">
        <f>IF(levypage12!C81&gt;0,levypage12!C81,"  ")</f>
        <v xml:space="preserve">  </v>
      </c>
      <c r="D32" s="545" t="str">
        <f>IF(levypage12!$E$73&lt;&gt;0,levypage12!$E$73,"  ")</f>
        <v xml:space="preserve">  </v>
      </c>
      <c r="E32" s="545" t="str">
        <f>IF(levypage12!$E$80&lt;&gt;0,levypage12!$E$80,"  ")</f>
        <v xml:space="preserve">  </v>
      </c>
      <c r="F32" s="546" t="str">
        <f>IF(AND(levypage12!$E$80=0,$B$47&gt;=0)," ",IF(AND(E32&gt;0,$B$47=0)," ",IF(AND(E32&gt;0,$B$47&gt;0),ROUND(E32/$B$47*1000,3))))</f>
        <v xml:space="preserve"> </v>
      </c>
    </row>
    <row r="33" spans="1:6" s="48" customFormat="1" x14ac:dyDescent="0.25">
      <c r="A33" s="77" t="str">
        <f>IF(inputPrYr!$B35&gt;"  ",inputPrYr!$B35,"  ")</f>
        <v xml:space="preserve">  </v>
      </c>
      <c r="B33" s="78"/>
      <c r="C33" s="79" t="str">
        <f>IF(nolevypage13!$C$65&gt;0,nolevypage13!$C$65,"  ")</f>
        <v xml:space="preserve">  </v>
      </c>
      <c r="D33" s="545" t="str">
        <f>IF(nolevypage13!$E$28&lt;&gt;0,nolevypage13!$E$28,"  ")</f>
        <v xml:space="preserve">  </v>
      </c>
      <c r="E33" s="545"/>
      <c r="F33" s="546"/>
    </row>
    <row r="34" spans="1:6" s="48" customFormat="1" x14ac:dyDescent="0.25">
      <c r="A34" s="77" t="str">
        <f>IF(inputPrYr!$B36&gt;"  ",inputPrYr!$B36,"  ")</f>
        <v xml:space="preserve">  </v>
      </c>
      <c r="B34" s="80"/>
      <c r="C34" s="79" t="str">
        <f>IF(nolevypage13!$C$65&gt;0,nolevypage13!$C$65,"  ")</f>
        <v xml:space="preserve">  </v>
      </c>
      <c r="D34" s="545" t="str">
        <f>IF(nolevypage13!$E$59&lt;&gt;0,nolevypage13!$E$59,"  ")</f>
        <v xml:space="preserve">  </v>
      </c>
      <c r="E34" s="545"/>
      <c r="F34" s="546"/>
    </row>
    <row r="35" spans="1:6" s="48" customFormat="1" x14ac:dyDescent="0.25">
      <c r="A35" s="77" t="str">
        <f>IF(inputPrYr!$B37&gt;"  ",inputPrYr!$B37,"  ")</f>
        <v xml:space="preserve">  </v>
      </c>
      <c r="B35" s="78"/>
      <c r="C35" s="79" t="str">
        <f>IF(nolevypage14!$C$65&gt;0,nolevypage14!$C$65,"  ")</f>
        <v xml:space="preserve">  </v>
      </c>
      <c r="D35" s="545" t="str">
        <f>IF(nolevypage14!$E$28&lt;&gt;0,nolevypage14!$E$28,"  ")</f>
        <v xml:space="preserve">  </v>
      </c>
      <c r="E35" s="545"/>
      <c r="F35" s="546"/>
    </row>
    <row r="36" spans="1:6" s="48" customFormat="1" x14ac:dyDescent="0.25">
      <c r="A36" s="77" t="str">
        <f>IF(inputPrYr!$B38&gt;"  ",inputPrYr!$B38,"  ")</f>
        <v xml:space="preserve">  </v>
      </c>
      <c r="B36" s="78"/>
      <c r="C36" s="79" t="str">
        <f>IF(nolevypage14!$C$65&gt;0,nolevypage14!$C$65,"  ")</f>
        <v xml:space="preserve">  </v>
      </c>
      <c r="D36" s="545" t="str">
        <f>IF(nolevypage14!$E$59&lt;&gt;0,nolevypage14!$E$59,"  ")</f>
        <v xml:space="preserve">  </v>
      </c>
      <c r="E36" s="545"/>
      <c r="F36" s="546"/>
    </row>
    <row r="37" spans="1:6" s="48" customFormat="1" x14ac:dyDescent="0.25">
      <c r="A37" s="77" t="str">
        <f>IF(inputPrYr!B41&gt;"",nonbud!A3,"")</f>
        <v/>
      </c>
      <c r="B37" s="80"/>
      <c r="C37" s="79" t="str">
        <f>IF(nonbud!F33&gt;0,nonbud!F33,"  ")</f>
        <v xml:space="preserve">  </v>
      </c>
      <c r="D37" s="545"/>
      <c r="E37" s="545"/>
      <c r="F37" s="546"/>
    </row>
    <row r="38" spans="1:6" s="48" customFormat="1" x14ac:dyDescent="0.25">
      <c r="A38" s="63" t="s">
        <v>232</v>
      </c>
      <c r="B38" s="78"/>
      <c r="C38" s="79">
        <f>IF(road!C67&gt;0,road!C67,"  ")</f>
        <v>7</v>
      </c>
      <c r="D38" s="547"/>
      <c r="E38" s="547"/>
      <c r="F38" s="546"/>
    </row>
    <row r="39" spans="1:6" s="48" customFormat="1" ht="16.5" thickBot="1" x14ac:dyDescent="0.3">
      <c r="A39" s="81" t="s">
        <v>233</v>
      </c>
      <c r="B39" s="72"/>
      <c r="C39" s="82" t="s">
        <v>234</v>
      </c>
      <c r="D39" s="548">
        <f>SUM(D21:D38)</f>
        <v>94535</v>
      </c>
      <c r="E39" s="548">
        <f>SUM(E21:E38)</f>
        <v>78526</v>
      </c>
      <c r="F39" s="549" t="str">
        <f>IF(SUM(F21:F38)&gt;0,SUM(F21:F38),"")</f>
        <v/>
      </c>
    </row>
    <row r="40" spans="1:6" s="48" customFormat="1" ht="16.5" thickTop="1" x14ac:dyDescent="0.25">
      <c r="A40" s="68" t="s">
        <v>94</v>
      </c>
      <c r="B40" s="64"/>
      <c r="C40" s="79">
        <f>summ!C54</f>
        <v>8</v>
      </c>
    </row>
    <row r="41" spans="1:6" s="48" customFormat="1" x14ac:dyDescent="0.25">
      <c r="A41" s="740" t="s">
        <v>148</v>
      </c>
      <c r="B41" s="65"/>
      <c r="C41" s="739" t="str">
        <f>IF(nhood!C40&gt;0,nhood!C40,"")</f>
        <v/>
      </c>
      <c r="D41" s="752" t="s">
        <v>931</v>
      </c>
      <c r="E41" s="84" t="str">
        <f>IF(E39&gt;1000,IF(E35&gt;computation!J41,"Yes","No"),"No")</f>
        <v>No</v>
      </c>
    </row>
    <row r="42" spans="1:6" s="48" customFormat="1" x14ac:dyDescent="0.25">
      <c r="A42" s="737"/>
      <c r="B42" s="155"/>
      <c r="C42" s="738"/>
      <c r="D42" s="85"/>
      <c r="E42" s="86"/>
    </row>
    <row r="43" spans="1:6" s="48" customFormat="1" x14ac:dyDescent="0.25">
      <c r="A43" s="68" t="s">
        <v>50</v>
      </c>
      <c r="B43" s="815" t="s">
        <v>66</v>
      </c>
      <c r="C43" s="816"/>
      <c r="D43" s="88"/>
      <c r="F43" s="55" t="s">
        <v>235</v>
      </c>
    </row>
    <row r="44" spans="1:6" s="48" customFormat="1" x14ac:dyDescent="0.25">
      <c r="A44" s="63" t="str">
        <f>inputPrYr!D3</f>
        <v>Milton Township</v>
      </c>
      <c r="B44" s="812"/>
      <c r="C44" s="817"/>
      <c r="D44" s="89"/>
      <c r="F44" s="55"/>
    </row>
    <row r="45" spans="1:6" s="48" customFormat="1" x14ac:dyDescent="0.25">
      <c r="A45" s="63" t="str">
        <f>inputPrYr!D6</f>
        <v>City of Whitewater</v>
      </c>
      <c r="B45" s="812"/>
      <c r="C45" s="813"/>
      <c r="D45" s="89"/>
      <c r="F45" s="55"/>
    </row>
    <row r="46" spans="1:6" s="48" customFormat="1" x14ac:dyDescent="0.25">
      <c r="A46" s="63">
        <f>inputPrYr!D7</f>
        <v>0</v>
      </c>
      <c r="B46" s="812"/>
      <c r="C46" s="813"/>
      <c r="D46" s="89"/>
      <c r="F46" s="55"/>
    </row>
    <row r="47" spans="1:6" s="48" customFormat="1" x14ac:dyDescent="0.25">
      <c r="A47" s="63" t="s">
        <v>159</v>
      </c>
      <c r="B47" s="810">
        <f>SUM(B44:C46)</f>
        <v>0</v>
      </c>
      <c r="C47" s="811"/>
      <c r="D47" s="89"/>
      <c r="F47" s="55"/>
    </row>
    <row r="48" spans="1:6" s="48" customFormat="1" x14ac:dyDescent="0.25">
      <c r="A48" s="90"/>
      <c r="B48" s="818" t="str">
        <f>CONCATENATE("Nov. 1, ",G1-1," Valuation")</f>
        <v>Nov. 1, 2014 Valuation</v>
      </c>
      <c r="C48" s="819"/>
      <c r="D48" s="88"/>
      <c r="F48" s="55"/>
    </row>
    <row r="49" spans="1:7" s="48" customFormat="1" x14ac:dyDescent="0.25">
      <c r="A49" s="90" t="s">
        <v>236</v>
      </c>
      <c r="D49" s="54"/>
      <c r="F49" s="55"/>
    </row>
    <row r="50" spans="1:7" s="48" customFormat="1" x14ac:dyDescent="0.25">
      <c r="A50" s="92" t="s">
        <v>964</v>
      </c>
      <c r="D50" s="88"/>
      <c r="E50" s="54"/>
      <c r="F50" s="54"/>
    </row>
    <row r="51" spans="1:7" s="48" customFormat="1" x14ac:dyDescent="0.25">
      <c r="A51" s="93"/>
      <c r="B51" s="53"/>
      <c r="D51" s="814" t="s">
        <v>771</v>
      </c>
      <c r="E51" s="814"/>
      <c r="F51" s="814"/>
    </row>
    <row r="52" spans="1:7" s="48" customFormat="1" x14ac:dyDescent="0.25">
      <c r="A52" s="90" t="s">
        <v>75</v>
      </c>
      <c r="D52" s="814"/>
      <c r="E52" s="814"/>
      <c r="F52" s="814"/>
    </row>
    <row r="53" spans="1:7" s="48" customFormat="1" x14ac:dyDescent="0.25">
      <c r="A53" s="92" t="s">
        <v>965</v>
      </c>
      <c r="C53" s="55"/>
      <c r="D53" s="814" t="s">
        <v>771</v>
      </c>
      <c r="E53" s="814"/>
      <c r="F53" s="814"/>
    </row>
    <row r="54" spans="1:7" s="48" customFormat="1" x14ac:dyDescent="0.25">
      <c r="A54" s="93" t="s">
        <v>966</v>
      </c>
      <c r="B54" s="55"/>
      <c r="D54" s="814"/>
      <c r="E54" s="814"/>
      <c r="F54" s="814"/>
    </row>
    <row r="55" spans="1:7" x14ac:dyDescent="0.25">
      <c r="A55" s="90" t="s">
        <v>770</v>
      </c>
      <c r="B55" s="53"/>
      <c r="C55" s="48"/>
      <c r="D55" s="814" t="s">
        <v>771</v>
      </c>
      <c r="E55" s="814"/>
      <c r="F55" s="814"/>
      <c r="G55" s="94"/>
    </row>
    <row r="56" spans="1:7" x14ac:dyDescent="0.25">
      <c r="A56" s="783" t="s">
        <v>967</v>
      </c>
      <c r="B56" s="53"/>
      <c r="C56" s="48"/>
      <c r="D56" s="814"/>
      <c r="E56" s="814"/>
      <c r="F56" s="814"/>
      <c r="G56" s="94"/>
    </row>
    <row r="57" spans="1:7" x14ac:dyDescent="0.25">
      <c r="A57" s="53"/>
      <c r="B57" s="48"/>
      <c r="C57" s="48"/>
      <c r="D57" s="814" t="s">
        <v>771</v>
      </c>
      <c r="E57" s="814"/>
      <c r="F57" s="814"/>
      <c r="G57" s="94"/>
    </row>
    <row r="58" spans="1:7" x14ac:dyDescent="0.25">
      <c r="A58" s="453" t="s">
        <v>79</v>
      </c>
      <c r="B58" s="98">
        <f>G1-1</f>
        <v>2014</v>
      </c>
      <c r="C58" s="48"/>
      <c r="D58" s="814"/>
      <c r="E58" s="814"/>
      <c r="F58" s="814"/>
      <c r="G58" s="94"/>
    </row>
    <row r="59" spans="1:7" x14ac:dyDescent="0.25">
      <c r="A59" s="48"/>
      <c r="B59" s="48"/>
      <c r="C59" s="48"/>
      <c r="D59" s="54"/>
      <c r="E59" s="90"/>
      <c r="F59" s="54"/>
      <c r="G59" s="94"/>
    </row>
    <row r="60" spans="1:7" x14ac:dyDescent="0.25">
      <c r="A60" s="452"/>
      <c r="B60" s="48"/>
      <c r="C60" s="48"/>
      <c r="D60" s="54" t="s">
        <v>771</v>
      </c>
      <c r="E60" s="54"/>
      <c r="F60" s="54"/>
      <c r="G60" s="94"/>
    </row>
    <row r="61" spans="1:7" x14ac:dyDescent="0.25">
      <c r="A61" s="51" t="s">
        <v>238</v>
      </c>
      <c r="B61" s="48"/>
      <c r="C61" s="48"/>
      <c r="D61" s="808" t="s">
        <v>237</v>
      </c>
      <c r="E61" s="809"/>
      <c r="F61" s="809"/>
    </row>
    <row r="62" spans="1:7" x14ac:dyDescent="0.25">
      <c r="A62" s="48"/>
      <c r="B62" s="48"/>
      <c r="C62" s="48"/>
      <c r="D62" s="48"/>
      <c r="E62" s="48"/>
      <c r="F62" s="48"/>
    </row>
    <row r="63" spans="1:7" x14ac:dyDescent="0.25">
      <c r="A63" s="48"/>
      <c r="B63" s="48"/>
      <c r="C63" s="48"/>
      <c r="D63" s="48"/>
      <c r="E63" s="48"/>
      <c r="F63" s="48"/>
    </row>
    <row r="64" spans="1:7" x14ac:dyDescent="0.25">
      <c r="A64" s="48"/>
      <c r="B64" s="48"/>
      <c r="C64" s="48"/>
      <c r="D64" s="48"/>
      <c r="E64" s="48"/>
      <c r="F64" s="48"/>
    </row>
    <row r="65" spans="1:6" x14ac:dyDescent="0.25">
      <c r="A65" s="97" t="s">
        <v>239</v>
      </c>
      <c r="B65" s="96"/>
      <c r="C65" s="96"/>
      <c r="D65" s="96"/>
      <c r="E65" s="96"/>
      <c r="F65" s="48"/>
    </row>
    <row r="66" spans="1:6" x14ac:dyDescent="0.25">
      <c r="A66" s="97" t="s">
        <v>240</v>
      </c>
      <c r="B66" s="96"/>
      <c r="C66" s="96"/>
      <c r="D66" s="96"/>
      <c r="E66" s="96"/>
      <c r="F66" s="48"/>
    </row>
    <row r="67" spans="1:6" x14ac:dyDescent="0.25">
      <c r="A67" s="97"/>
      <c r="B67" s="96"/>
      <c r="C67" s="96"/>
      <c r="D67" s="96"/>
      <c r="E67" s="96"/>
      <c r="F67" s="48"/>
    </row>
    <row r="68" spans="1:6" x14ac:dyDescent="0.25">
      <c r="A68" s="48"/>
      <c r="B68" s="48"/>
      <c r="C68" s="48"/>
      <c r="D68" s="48"/>
      <c r="E68" s="48"/>
      <c r="F68" s="48"/>
    </row>
    <row r="69" spans="1:6" x14ac:dyDescent="0.25">
      <c r="A69" s="525"/>
      <c r="B69" s="526"/>
      <c r="C69" s="526"/>
      <c r="D69" s="526"/>
      <c r="E69" s="526"/>
      <c r="F69" s="526"/>
    </row>
    <row r="70" spans="1:6" x14ac:dyDescent="0.25">
      <c r="A70" s="525"/>
      <c r="B70" s="526"/>
      <c r="C70" s="526"/>
      <c r="D70" s="526"/>
      <c r="E70" s="526"/>
      <c r="F70" s="526"/>
    </row>
    <row r="71" spans="1:6" x14ac:dyDescent="0.25">
      <c r="A71" s="525"/>
      <c r="B71" s="526"/>
      <c r="C71" s="526"/>
      <c r="D71" s="527"/>
      <c r="E71" s="524"/>
      <c r="F71" s="526"/>
    </row>
  </sheetData>
  <mergeCells count="21">
    <mergeCell ref="A1:F1"/>
    <mergeCell ref="E12:E14"/>
    <mergeCell ref="D11:F11"/>
    <mergeCell ref="A6:F6"/>
    <mergeCell ref="A7:F7"/>
    <mergeCell ref="A3:F3"/>
    <mergeCell ref="B43:C43"/>
    <mergeCell ref="B44:C44"/>
    <mergeCell ref="B48:C48"/>
    <mergeCell ref="A9:F9"/>
    <mergeCell ref="A4:F4"/>
    <mergeCell ref="A5:F5"/>
    <mergeCell ref="A8:F8"/>
    <mergeCell ref="D61:F61"/>
    <mergeCell ref="B47:C47"/>
    <mergeCell ref="B45:C45"/>
    <mergeCell ref="B46:C46"/>
    <mergeCell ref="D51:F52"/>
    <mergeCell ref="D57:F58"/>
    <mergeCell ref="D55:F56"/>
    <mergeCell ref="D53:F54"/>
  </mergeCells>
  <phoneticPr fontId="0" type="noConversion"/>
  <conditionalFormatting sqref="E21">
    <cfRule type="cellIs" dxfId="171" priority="1" stopIfTrue="1" operator="equal">
      <formula>0</formula>
    </cfRule>
  </conditionalFormatting>
  <hyperlinks>
    <hyperlink ref="A56" r:id="rId1"/>
  </hyperlinks>
  <pageMargins left="0.91" right="0.56000000000000005" top="0.83" bottom="0.85" header="0.3" footer="0.6"/>
  <pageSetup scale="71" orientation="portrait" blackAndWhite="1" horizontalDpi="4294967292" verticalDpi="96" r:id="rId2"/>
  <headerFooter alignWithMargins="0">
    <oddHeader xml:space="preserve">&amp;RState of Kansas
Township
</oddHeader>
    <oddFooter>&amp;CPage No. 1</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heetViews>
  <sheetFormatPr defaultRowHeight="15.7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47"/>
  <sheetViews>
    <sheetView topLeftCell="A25" workbookViewId="0">
      <selection activeCell="S76" sqref="S76"/>
    </sheetView>
  </sheetViews>
  <sheetFormatPr defaultColWidth="8.796875" defaultRowHeight="15.75" x14ac:dyDescent="0.25"/>
  <cols>
    <col min="1" max="2" width="3" style="95" customWidth="1"/>
    <col min="3" max="3" width="28.19921875" style="95" customWidth="1"/>
    <col min="4" max="4" width="2.09765625" style="95" customWidth="1"/>
    <col min="5" max="5" width="15.69921875" style="95" customWidth="1"/>
    <col min="6" max="6" width="1.796875" style="95" customWidth="1"/>
    <col min="7" max="7" width="15.69921875" style="95" customWidth="1"/>
    <col min="8" max="8" width="1.69921875" style="95" customWidth="1"/>
    <col min="9" max="9" width="1.59765625" style="95" customWidth="1"/>
    <col min="10" max="10" width="15.69921875" style="95" customWidth="1"/>
    <col min="11" max="16384" width="8.796875" style="95"/>
  </cols>
  <sheetData>
    <row r="1" spans="1:10" x14ac:dyDescent="0.25">
      <c r="A1" s="48"/>
      <c r="B1" s="48"/>
      <c r="C1" s="203" t="str">
        <f>inputPrYr!D3</f>
        <v>Milton Township</v>
      </c>
      <c r="D1" s="48"/>
      <c r="E1" s="48"/>
      <c r="F1" s="48"/>
      <c r="G1" s="48"/>
      <c r="H1" s="48"/>
      <c r="I1" s="48"/>
      <c r="J1" s="48">
        <f>inputPrYr!D9</f>
        <v>2015</v>
      </c>
    </row>
    <row r="2" spans="1:10" x14ac:dyDescent="0.25">
      <c r="A2" s="48"/>
      <c r="B2" s="48"/>
      <c r="C2" s="48"/>
      <c r="D2" s="48"/>
      <c r="E2" s="48"/>
      <c r="F2" s="48"/>
      <c r="G2" s="48"/>
      <c r="H2" s="48"/>
      <c r="I2" s="48"/>
      <c r="J2" s="48"/>
    </row>
    <row r="3" spans="1:10" x14ac:dyDescent="0.25">
      <c r="A3" s="833" t="str">
        <f>CONCATENATE("Computation to Determine Limit for ",J1,"")</f>
        <v>Computation to Determine Limit for 2015</v>
      </c>
      <c r="B3" s="823"/>
      <c r="C3" s="823"/>
      <c r="D3" s="823"/>
      <c r="E3" s="823"/>
      <c r="F3" s="823"/>
      <c r="G3" s="823"/>
      <c r="H3" s="823"/>
      <c r="I3" s="823"/>
      <c r="J3" s="823"/>
    </row>
    <row r="4" spans="1:10" x14ac:dyDescent="0.25">
      <c r="A4" s="48"/>
      <c r="B4" s="48"/>
      <c r="C4" s="48"/>
      <c r="D4" s="48"/>
      <c r="E4" s="823"/>
      <c r="F4" s="823"/>
      <c r="G4" s="823"/>
      <c r="H4" s="47"/>
      <c r="I4" s="48"/>
      <c r="J4" s="240" t="s">
        <v>32</v>
      </c>
    </row>
    <row r="5" spans="1:10" x14ac:dyDescent="0.25">
      <c r="A5" s="241" t="s">
        <v>33</v>
      </c>
      <c r="B5" s="48" t="str">
        <f>CONCATENATE("Total tax levy amount in ",J1-1,"")</f>
        <v>Total tax levy amount in 2014</v>
      </c>
      <c r="C5" s="48"/>
      <c r="D5" s="48"/>
      <c r="E5" s="169"/>
      <c r="F5" s="169"/>
      <c r="G5" s="169"/>
      <c r="H5" s="242" t="s">
        <v>254</v>
      </c>
      <c r="I5" s="169" t="s">
        <v>241</v>
      </c>
      <c r="J5" s="243">
        <f>inputPrYr!E32</f>
        <v>75634</v>
      </c>
    </row>
    <row r="6" spans="1:10" x14ac:dyDescent="0.25">
      <c r="A6" s="241" t="s">
        <v>34</v>
      </c>
      <c r="B6" s="48" t="str">
        <f>CONCATENATE("Debt service levy in ",J1-1,"")</f>
        <v>Debt service levy in 2014</v>
      </c>
      <c r="C6" s="48"/>
      <c r="D6" s="48"/>
      <c r="E6" s="169"/>
      <c r="F6" s="169"/>
      <c r="G6" s="169"/>
      <c r="H6" s="242" t="s">
        <v>35</v>
      </c>
      <c r="I6" s="169" t="s">
        <v>241</v>
      </c>
      <c r="J6" s="244">
        <f>inputPrYr!E21</f>
        <v>0</v>
      </c>
    </row>
    <row r="7" spans="1:10" x14ac:dyDescent="0.25">
      <c r="A7" s="241" t="s">
        <v>36</v>
      </c>
      <c r="B7" s="48" t="s">
        <v>925</v>
      </c>
      <c r="C7" s="48"/>
      <c r="D7" s="48"/>
      <c r="E7" s="169"/>
      <c r="F7" s="169"/>
      <c r="G7" s="169"/>
      <c r="H7" s="169"/>
      <c r="I7" s="169" t="s">
        <v>241</v>
      </c>
      <c r="J7" s="245">
        <f>J5-J6</f>
        <v>75634</v>
      </c>
    </row>
    <row r="8" spans="1:10" x14ac:dyDescent="0.25">
      <c r="A8" s="48"/>
      <c r="B8" s="48"/>
      <c r="C8" s="48"/>
      <c r="D8" s="48"/>
      <c r="E8" s="169"/>
      <c r="F8" s="169"/>
      <c r="G8" s="169"/>
      <c r="H8" s="169"/>
      <c r="I8" s="169"/>
      <c r="J8" s="169"/>
    </row>
    <row r="9" spans="1:10" x14ac:dyDescent="0.25">
      <c r="A9" s="823" t="str">
        <f>CONCATENATE("",J1-1," Valuation Information for Valuation Adjustments")</f>
        <v>2014 Valuation Information for Valuation Adjustments</v>
      </c>
      <c r="B9" s="821"/>
      <c r="C9" s="821"/>
      <c r="D9" s="821"/>
      <c r="E9" s="821"/>
      <c r="F9" s="821"/>
      <c r="G9" s="821"/>
      <c r="H9" s="821"/>
      <c r="I9" s="821"/>
      <c r="J9" s="821"/>
    </row>
    <row r="10" spans="1:10" x14ac:dyDescent="0.25">
      <c r="A10" s="48"/>
      <c r="B10" s="48"/>
      <c r="C10" s="48"/>
      <c r="D10" s="48"/>
      <c r="E10" s="169"/>
      <c r="F10" s="169"/>
      <c r="G10" s="169"/>
      <c r="H10" s="169"/>
      <c r="I10" s="169"/>
      <c r="J10" s="169"/>
    </row>
    <row r="11" spans="1:10" x14ac:dyDescent="0.25">
      <c r="A11" s="241" t="s">
        <v>37</v>
      </c>
      <c r="B11" s="48" t="str">
        <f>CONCATENATE("New improvements for ",J1-1,":")</f>
        <v>New improvements for 2014:</v>
      </c>
      <c r="C11" s="48"/>
      <c r="D11" s="48"/>
      <c r="E11" s="242"/>
      <c r="F11" s="242" t="s">
        <v>254</v>
      </c>
      <c r="G11" s="732">
        <f>inputOth!E16</f>
        <v>63109</v>
      </c>
      <c r="H11" s="246"/>
      <c r="I11" s="169"/>
      <c r="J11" s="169"/>
    </row>
    <row r="12" spans="1:10" x14ac:dyDescent="0.25">
      <c r="A12" s="241"/>
      <c r="B12" s="241"/>
      <c r="C12" s="48"/>
      <c r="D12" s="48"/>
      <c r="E12" s="242"/>
      <c r="F12" s="242"/>
      <c r="G12" s="246"/>
      <c r="H12" s="246"/>
      <c r="I12" s="169"/>
      <c r="J12" s="169"/>
    </row>
    <row r="13" spans="1:10" x14ac:dyDescent="0.25">
      <c r="A13" s="241" t="s">
        <v>38</v>
      </c>
      <c r="B13" s="48" t="str">
        <f>CONCATENATE("Increase in personal property for ",J1-1,":")</f>
        <v>Increase in personal property for 2014:</v>
      </c>
      <c r="C13" s="48"/>
      <c r="D13" s="48"/>
      <c r="E13" s="242"/>
      <c r="F13" s="242"/>
      <c r="G13" s="246"/>
      <c r="H13" s="246"/>
      <c r="I13" s="169"/>
      <c r="J13" s="169"/>
    </row>
    <row r="14" spans="1:10" x14ac:dyDescent="0.25">
      <c r="A14" s="48"/>
      <c r="B14" s="48" t="s">
        <v>39</v>
      </c>
      <c r="C14" s="48" t="str">
        <f>CONCATENATE("Personal property ",J1-1,"")</f>
        <v>Personal property 2014</v>
      </c>
      <c r="D14" s="241" t="s">
        <v>254</v>
      </c>
      <c r="E14" s="732">
        <f>inputOth!E21</f>
        <v>241187</v>
      </c>
      <c r="F14" s="242"/>
      <c r="G14" s="169"/>
      <c r="H14" s="169"/>
      <c r="I14" s="246"/>
      <c r="J14" s="169"/>
    </row>
    <row r="15" spans="1:10" x14ac:dyDescent="0.25">
      <c r="A15" s="241"/>
      <c r="B15" s="48" t="s">
        <v>40</v>
      </c>
      <c r="C15" s="48" t="str">
        <f>CONCATENATE("Personal property ",J1-2,"")</f>
        <v>Personal property 2013</v>
      </c>
      <c r="D15" s="241" t="s">
        <v>35</v>
      </c>
      <c r="E15" s="245">
        <f>inputOth!E31</f>
        <v>279425</v>
      </c>
      <c r="F15" s="242"/>
      <c r="G15" s="246"/>
      <c r="H15" s="246"/>
      <c r="I15" s="169"/>
      <c r="J15" s="169"/>
    </row>
    <row r="16" spans="1:10" x14ac:dyDescent="0.25">
      <c r="A16" s="241"/>
      <c r="B16" s="48" t="s">
        <v>41</v>
      </c>
      <c r="C16" s="48" t="s">
        <v>926</v>
      </c>
      <c r="D16" s="48"/>
      <c r="E16" s="169"/>
      <c r="F16" s="169" t="s">
        <v>254</v>
      </c>
      <c r="G16" s="732">
        <f>IF(E14&gt;E15,E14-E15,0)</f>
        <v>0</v>
      </c>
      <c r="H16" s="246"/>
      <c r="I16" s="169"/>
      <c r="J16" s="169"/>
    </row>
    <row r="17" spans="1:10" x14ac:dyDescent="0.25">
      <c r="A17" s="241"/>
      <c r="B17" s="241"/>
      <c r="C17" s="48"/>
      <c r="D17" s="48"/>
      <c r="E17" s="169"/>
      <c r="F17" s="169"/>
      <c r="G17" s="246" t="s">
        <v>49</v>
      </c>
      <c r="H17" s="246"/>
      <c r="I17" s="169"/>
      <c r="J17" s="169"/>
    </row>
    <row r="18" spans="1:10" x14ac:dyDescent="0.25">
      <c r="A18" s="241" t="s">
        <v>42</v>
      </c>
      <c r="B18" s="48" t="str">
        <f>CONCATENATE("Valuation of property that has changed in use during ",J1-1,":")</f>
        <v>Valuation of property that has changed in use during 2014:</v>
      </c>
      <c r="C18" s="48"/>
      <c r="D18" s="48"/>
      <c r="E18" s="169"/>
      <c r="F18" s="242" t="s">
        <v>254</v>
      </c>
      <c r="G18" s="732">
        <f>inputOth!E26</f>
        <v>64802</v>
      </c>
      <c r="H18" s="169"/>
      <c r="I18" s="169"/>
      <c r="J18" s="169"/>
    </row>
    <row r="19" spans="1:10" x14ac:dyDescent="0.25">
      <c r="A19" s="48" t="s">
        <v>222</v>
      </c>
      <c r="B19" s="48"/>
      <c r="C19" s="48"/>
      <c r="D19" s="241"/>
      <c r="E19" s="246"/>
      <c r="F19" s="246"/>
      <c r="G19" s="246"/>
      <c r="H19" s="169"/>
      <c r="I19" s="169"/>
      <c r="J19" s="169"/>
    </row>
    <row r="20" spans="1:10" x14ac:dyDescent="0.25">
      <c r="A20" s="241" t="s">
        <v>43</v>
      </c>
      <c r="B20" s="48" t="s">
        <v>927</v>
      </c>
      <c r="C20" s="48"/>
      <c r="D20" s="48"/>
      <c r="E20" s="169"/>
      <c r="F20" s="169"/>
      <c r="G20" s="732">
        <f>G11+G16+G18</f>
        <v>127911</v>
      </c>
      <c r="H20" s="246"/>
      <c r="I20" s="169"/>
      <c r="J20" s="169"/>
    </row>
    <row r="21" spans="1:10" x14ac:dyDescent="0.25">
      <c r="A21" s="241"/>
      <c r="B21" s="241"/>
      <c r="C21" s="48"/>
      <c r="D21" s="48"/>
      <c r="E21" s="169"/>
      <c r="F21" s="169"/>
      <c r="G21" s="246"/>
      <c r="H21" s="246"/>
      <c r="I21" s="169"/>
      <c r="J21" s="169"/>
    </row>
    <row r="22" spans="1:10" x14ac:dyDescent="0.25">
      <c r="A22" s="241" t="s">
        <v>44</v>
      </c>
      <c r="B22" s="48" t="str">
        <f>CONCATENATE("Total estimated valuation July 1,",J1-1,"")</f>
        <v>Total estimated valuation July 1,2014</v>
      </c>
      <c r="C22" s="48"/>
      <c r="D22" s="48"/>
      <c r="E22" s="732">
        <f>inputOth!E11</f>
        <v>8115954</v>
      </c>
      <c r="F22" s="169"/>
      <c r="G22" s="169"/>
      <c r="H22" s="169"/>
      <c r="I22" s="242"/>
      <c r="J22" s="169"/>
    </row>
    <row r="23" spans="1:10" x14ac:dyDescent="0.25">
      <c r="A23" s="241"/>
      <c r="B23" s="241"/>
      <c r="C23" s="48"/>
      <c r="D23" s="48"/>
      <c r="E23" s="246"/>
      <c r="F23" s="169"/>
      <c r="G23" s="169"/>
      <c r="H23" s="169"/>
      <c r="I23" s="242"/>
      <c r="J23" s="169"/>
    </row>
    <row r="24" spans="1:10" x14ac:dyDescent="0.25">
      <c r="A24" s="241" t="s">
        <v>45</v>
      </c>
      <c r="B24" s="48" t="s">
        <v>928</v>
      </c>
      <c r="C24" s="48"/>
      <c r="D24" s="48"/>
      <c r="E24" s="169"/>
      <c r="F24" s="169"/>
      <c r="G24" s="732">
        <f>E22-G20</f>
        <v>7988043</v>
      </c>
      <c r="H24" s="246"/>
      <c r="I24" s="242"/>
      <c r="J24" s="169"/>
    </row>
    <row r="25" spans="1:10" x14ac:dyDescent="0.25">
      <c r="A25" s="241"/>
      <c r="B25" s="241"/>
      <c r="C25" s="48"/>
      <c r="D25" s="48"/>
      <c r="E25" s="48"/>
      <c r="F25" s="48"/>
      <c r="G25" s="733"/>
      <c r="H25" s="54"/>
      <c r="I25" s="241"/>
      <c r="J25" s="48"/>
    </row>
    <row r="26" spans="1:10" x14ac:dyDescent="0.25">
      <c r="A26" s="241" t="s">
        <v>46</v>
      </c>
      <c r="B26" s="48" t="s">
        <v>929</v>
      </c>
      <c r="C26" s="48"/>
      <c r="D26" s="48"/>
      <c r="E26" s="48"/>
      <c r="F26" s="48"/>
      <c r="G26" s="734">
        <f>IF(G20&gt;0,G20/G24,0)</f>
        <v>1.6012808143371287E-2</v>
      </c>
      <c r="H26" s="54"/>
      <c r="I26" s="48"/>
      <c r="J26" s="48"/>
    </row>
    <row r="27" spans="1:10" x14ac:dyDescent="0.25">
      <c r="A27" s="241"/>
      <c r="B27" s="241"/>
      <c r="C27" s="48"/>
      <c r="D27" s="48"/>
      <c r="E27" s="48"/>
      <c r="F27" s="48"/>
      <c r="G27" s="54"/>
      <c r="H27" s="54"/>
      <c r="I27" s="48"/>
      <c r="J27" s="48"/>
    </row>
    <row r="28" spans="1:10" x14ac:dyDescent="0.25">
      <c r="A28" s="241" t="s">
        <v>47</v>
      </c>
      <c r="B28" s="48" t="s">
        <v>930</v>
      </c>
      <c r="C28" s="48"/>
      <c r="D28" s="48"/>
      <c r="E28" s="48"/>
      <c r="F28" s="48"/>
      <c r="G28" s="54"/>
      <c r="H28" s="735" t="s">
        <v>254</v>
      </c>
      <c r="I28" s="48" t="s">
        <v>241</v>
      </c>
      <c r="J28" s="732">
        <f>ROUND(G26*J7,0)</f>
        <v>1211</v>
      </c>
    </row>
    <row r="29" spans="1:10" x14ac:dyDescent="0.25">
      <c r="A29" s="241"/>
      <c r="B29" s="241"/>
      <c r="C29" s="48"/>
      <c r="D29" s="48"/>
      <c r="E29" s="48"/>
      <c r="F29" s="48"/>
      <c r="G29" s="54"/>
      <c r="H29" s="735"/>
      <c r="I29" s="48"/>
      <c r="J29" s="246"/>
    </row>
    <row r="30" spans="1:10" ht="16.5" thickBot="1" x14ac:dyDescent="0.3">
      <c r="A30" s="241" t="s">
        <v>48</v>
      </c>
      <c r="B30" s="48" t="str">
        <f>CONCATENATE(J1," budget tax levy, excluding debt service,  prior to CPI adjustment (3 plus 11)")</f>
        <v>2015 budget tax levy, excluding debt service,  prior to CPI adjustment (3 plus 11)</v>
      </c>
      <c r="C30" s="48"/>
      <c r="D30" s="48"/>
      <c r="E30" s="48"/>
      <c r="F30" s="48"/>
      <c r="G30" s="48"/>
      <c r="H30" s="48"/>
      <c r="I30" s="48" t="s">
        <v>241</v>
      </c>
      <c r="J30" s="736">
        <f>J7+J28</f>
        <v>76845</v>
      </c>
    </row>
    <row r="31" spans="1:10" ht="16.5" thickTop="1" x14ac:dyDescent="0.25">
      <c r="A31" s="48"/>
      <c r="B31" s="48"/>
      <c r="C31" s="48"/>
      <c r="D31" s="48"/>
      <c r="E31" s="48"/>
      <c r="F31" s="48"/>
      <c r="G31" s="48"/>
      <c r="H31" s="48"/>
      <c r="I31" s="48"/>
      <c r="J31" s="48"/>
    </row>
    <row r="32" spans="1:10" x14ac:dyDescent="0.25">
      <c r="A32" s="241" t="s">
        <v>58</v>
      </c>
      <c r="B32" s="48" t="str">
        <f>CONCATENATE("Debt service levy in this ",J1," budget")</f>
        <v>Debt service levy in this 2015 budget</v>
      </c>
      <c r="C32" s="48"/>
      <c r="D32" s="48"/>
      <c r="E32" s="48"/>
      <c r="F32" s="48"/>
      <c r="G32" s="48"/>
      <c r="H32" s="48"/>
      <c r="I32" s="48"/>
      <c r="J32" s="732">
        <f>'DebtSvs-Library'!E40</f>
        <v>0</v>
      </c>
    </row>
    <row r="33" spans="1:10" x14ac:dyDescent="0.25">
      <c r="A33" s="241"/>
      <c r="B33" s="48"/>
      <c r="C33" s="48"/>
      <c r="D33" s="48"/>
      <c r="E33" s="48"/>
      <c r="F33" s="48"/>
      <c r="G33" s="48"/>
      <c r="H33" s="48"/>
      <c r="I33" s="48"/>
      <c r="J33" s="54"/>
    </row>
    <row r="34" spans="1:10" ht="16.5" thickBot="1" x14ac:dyDescent="0.3">
      <c r="A34" s="241" t="s">
        <v>59</v>
      </c>
      <c r="B34" s="48" t="str">
        <f>CONCATENATE(J1," budget tax levy, including debt service, prior to CPI adjustment (12 plus 13)")</f>
        <v>2015 budget tax levy, including debt service, prior to CPI adjustment (12 plus 13)</v>
      </c>
      <c r="C34" s="48"/>
      <c r="D34" s="48"/>
      <c r="E34" s="48"/>
      <c r="F34" s="48"/>
      <c r="G34" s="48"/>
      <c r="H34" s="48"/>
      <c r="I34" s="48"/>
      <c r="J34" s="736">
        <f>J30+J32</f>
        <v>76845</v>
      </c>
    </row>
    <row r="35" spans="1:10" ht="16.5" thickTop="1" x14ac:dyDescent="0.25">
      <c r="A35" s="746"/>
      <c r="B35" s="745"/>
      <c r="C35" s="745"/>
      <c r="D35" s="745"/>
      <c r="E35" s="745"/>
      <c r="F35" s="745"/>
      <c r="G35" s="745"/>
      <c r="H35" s="745"/>
      <c r="I35" s="745"/>
      <c r="J35" s="744"/>
    </row>
    <row r="36" spans="1:10" x14ac:dyDescent="0.25">
      <c r="A36" s="748" t="s">
        <v>917</v>
      </c>
      <c r="B36" s="745" t="str">
        <f>CONCATENATE("Consumer Price Index for all urban consumers for calendar year ",J1-2)</f>
        <v>Consumer Price Index for all urban consumers for calendar year 2013</v>
      </c>
      <c r="C36" s="745"/>
      <c r="D36" s="745"/>
      <c r="E36" s="745"/>
      <c r="F36" s="745"/>
      <c r="G36" s="745"/>
      <c r="H36" s="745"/>
      <c r="I36" s="745"/>
      <c r="J36" s="749">
        <v>1.4999999999999999E-2</v>
      </c>
    </row>
    <row r="37" spans="1:10" x14ac:dyDescent="0.25">
      <c r="A37" s="748"/>
      <c r="B37" s="745"/>
      <c r="C37" s="745"/>
      <c r="D37" s="745"/>
      <c r="E37" s="745"/>
      <c r="F37" s="745"/>
      <c r="G37" s="745"/>
      <c r="H37" s="745"/>
      <c r="I37" s="745"/>
      <c r="J37" s="750"/>
    </row>
    <row r="38" spans="1:10" x14ac:dyDescent="0.25">
      <c r="A38" s="748" t="s">
        <v>918</v>
      </c>
      <c r="B38" s="745" t="s">
        <v>919</v>
      </c>
      <c r="C38" s="745"/>
      <c r="D38" s="745"/>
      <c r="E38" s="745"/>
      <c r="F38" s="745"/>
      <c r="G38" s="745"/>
      <c r="H38" s="745"/>
      <c r="I38" s="727" t="s">
        <v>241</v>
      </c>
      <c r="J38" s="743">
        <f>J7*J36</f>
        <v>1134.51</v>
      </c>
    </row>
    <row r="39" spans="1:10" x14ac:dyDescent="0.25">
      <c r="A39" s="746"/>
      <c r="B39" s="745"/>
      <c r="C39" s="745"/>
      <c r="D39" s="745"/>
      <c r="E39" s="745"/>
      <c r="F39" s="745"/>
      <c r="G39" s="745"/>
      <c r="H39" s="745"/>
      <c r="I39" s="745"/>
      <c r="J39" s="744"/>
    </row>
    <row r="40" spans="1:10" x14ac:dyDescent="0.25">
      <c r="A40" s="746" t="s">
        <v>920</v>
      </c>
      <c r="B40" s="745" t="str">
        <f>CONCATENATE("Maximum levy for budget year ",J1,", including debt service, not requiring 'notice of vote publication.'")</f>
        <v>Maximum levy for budget year 2015, including debt service, not requiring 'notice of vote publication.'</v>
      </c>
      <c r="C40" s="745"/>
      <c r="D40" s="745"/>
      <c r="E40" s="745"/>
      <c r="F40" s="745"/>
      <c r="G40" s="745"/>
      <c r="H40" s="745"/>
      <c r="I40" s="745"/>
      <c r="J40" s="742"/>
    </row>
    <row r="41" spans="1:10" ht="19.5" thickBot="1" x14ac:dyDescent="0.3">
      <c r="A41" s="741"/>
      <c r="B41" s="727" t="s">
        <v>921</v>
      </c>
      <c r="C41" s="741"/>
      <c r="D41" s="741"/>
      <c r="E41" s="741"/>
      <c r="F41" s="741"/>
      <c r="G41" s="741"/>
      <c r="H41" s="741"/>
      <c r="I41" s="727" t="s">
        <v>241</v>
      </c>
      <c r="J41" s="747">
        <f>J34+J38</f>
        <v>77979.509999999995</v>
      </c>
    </row>
    <row r="42" spans="1:10" ht="19.5" thickTop="1" x14ac:dyDescent="0.25">
      <c r="A42" s="741"/>
      <c r="B42" s="751"/>
      <c r="C42" s="741"/>
      <c r="D42" s="741"/>
      <c r="E42" s="741"/>
      <c r="F42" s="741"/>
      <c r="G42" s="741"/>
      <c r="H42" s="741"/>
      <c r="I42" s="727"/>
      <c r="J42" s="744"/>
    </row>
    <row r="43" spans="1:10" ht="18.75" x14ac:dyDescent="0.25">
      <c r="A43" s="741"/>
      <c r="B43" s="751"/>
      <c r="C43" s="741"/>
      <c r="D43" s="741"/>
      <c r="E43" s="741"/>
      <c r="F43" s="741"/>
      <c r="G43" s="741"/>
      <c r="H43" s="741"/>
      <c r="I43" s="727"/>
      <c r="J43" s="744"/>
    </row>
    <row r="44" spans="1:10" x14ac:dyDescent="0.25">
      <c r="A44" s="835" t="str">
        <f>CONCATENATE("If the ",J1," adopted budget includes a total property tax levy exceeding the dollar amount in line 17")</f>
        <v>If the 2015 adopted budget includes a total property tax levy exceeding the dollar amount in line 17</v>
      </c>
      <c r="B44" s="835"/>
      <c r="C44" s="835"/>
      <c r="D44" s="835"/>
      <c r="E44" s="835"/>
      <c r="F44" s="835"/>
      <c r="G44" s="835"/>
      <c r="H44" s="835"/>
      <c r="I44" s="835"/>
      <c r="J44" s="835"/>
    </row>
    <row r="45" spans="1:10" x14ac:dyDescent="0.25">
      <c r="A45" s="835" t="s">
        <v>922</v>
      </c>
      <c r="B45" s="835"/>
      <c r="C45" s="835"/>
      <c r="D45" s="835"/>
      <c r="E45" s="835"/>
      <c r="F45" s="835"/>
      <c r="G45" s="835"/>
      <c r="H45" s="835"/>
      <c r="I45" s="835"/>
      <c r="J45" s="835"/>
    </row>
    <row r="46" spans="1:10" x14ac:dyDescent="0.25">
      <c r="A46" s="834" t="s">
        <v>923</v>
      </c>
      <c r="B46" s="834"/>
      <c r="C46" s="834"/>
      <c r="D46" s="834"/>
      <c r="E46" s="834"/>
      <c r="F46" s="834"/>
      <c r="G46" s="834"/>
      <c r="H46" s="834"/>
      <c r="I46" s="834"/>
      <c r="J46" s="834"/>
    </row>
    <row r="47" spans="1:10" x14ac:dyDescent="0.25">
      <c r="A47" s="834" t="s">
        <v>924</v>
      </c>
      <c r="B47" s="834"/>
      <c r="C47" s="834"/>
      <c r="D47" s="834"/>
      <c r="E47" s="834"/>
      <c r="F47" s="834"/>
      <c r="G47" s="834"/>
      <c r="H47" s="834"/>
      <c r="I47" s="834"/>
      <c r="J47" s="834"/>
    </row>
  </sheetData>
  <sheetProtection sheet="1"/>
  <mergeCells count="7">
    <mergeCell ref="A3:J3"/>
    <mergeCell ref="E4:G4"/>
    <mergeCell ref="A47:J47"/>
    <mergeCell ref="A45:J45"/>
    <mergeCell ref="A44:J44"/>
    <mergeCell ref="A46:J46"/>
    <mergeCell ref="A9:J9"/>
  </mergeCells>
  <phoneticPr fontId="0" type="noConversion"/>
  <pageMargins left="0.4" right="0.4" top="0.83" bottom="0.85" header="0.3" footer="0.6"/>
  <pageSetup scale="86" orientation="portrait" blackAndWhite="1" r:id="rId1"/>
  <headerFooter alignWithMargins="0">
    <oddHeader xml:space="preserve">&amp;RState of Kansas
Township
</oddHeader>
    <oddFooter>&amp;CPage No. 2</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K41"/>
  <sheetViews>
    <sheetView workbookViewId="0">
      <selection activeCell="J13" sqref="J13"/>
    </sheetView>
  </sheetViews>
  <sheetFormatPr defaultColWidth="8.796875" defaultRowHeight="15.75" x14ac:dyDescent="0.25"/>
  <cols>
    <col min="1" max="1" width="12.296875" style="205" customWidth="1"/>
    <col min="2" max="2" width="19.796875" style="205" customWidth="1"/>
    <col min="3" max="3" width="8.69921875" style="205" hidden="1" customWidth="1"/>
    <col min="4" max="4" width="12.8984375" style="205" customWidth="1"/>
    <col min="5" max="5" width="12.09765625" style="205" hidden="1" customWidth="1"/>
    <col min="6" max="6" width="9.765625E-2" style="205" hidden="1" customWidth="1"/>
    <col min="7" max="7" width="13.69921875" style="205" customWidth="1"/>
    <col min="8" max="8" width="9.765625E-2" style="205" customWidth="1"/>
    <col min="9" max="11" width="13.69921875" style="205" customWidth="1"/>
    <col min="12" max="16384" width="8.796875" style="205"/>
  </cols>
  <sheetData>
    <row r="1" spans="1:11" x14ac:dyDescent="0.25">
      <c r="A1" s="48"/>
      <c r="B1" s="203" t="str">
        <f>inputPrYr!D3</f>
        <v>Milton Township</v>
      </c>
      <c r="C1" s="48"/>
      <c r="D1" s="48"/>
      <c r="E1" s="48"/>
      <c r="F1" s="48"/>
      <c r="G1" s="48"/>
      <c r="H1" s="48"/>
      <c r="I1" s="48"/>
      <c r="J1" s="48"/>
      <c r="K1" s="204">
        <f>inputPrYr!D9</f>
        <v>2015</v>
      </c>
    </row>
    <row r="2" spans="1:11" x14ac:dyDescent="0.25">
      <c r="A2" s="48"/>
      <c r="B2" s="203"/>
      <c r="C2" s="48"/>
      <c r="D2" s="48"/>
      <c r="E2" s="48"/>
      <c r="F2" s="48"/>
      <c r="G2" s="48"/>
      <c r="H2" s="48"/>
      <c r="I2" s="48"/>
      <c r="J2" s="190"/>
      <c r="K2" s="190"/>
    </row>
    <row r="3" spans="1:11" x14ac:dyDescent="0.25">
      <c r="A3" s="48"/>
      <c r="B3" s="203"/>
      <c r="C3" s="48"/>
      <c r="D3" s="48"/>
      <c r="E3" s="48"/>
      <c r="F3" s="48"/>
      <c r="G3" s="48"/>
      <c r="H3" s="48"/>
      <c r="I3" s="48"/>
      <c r="J3" s="190"/>
      <c r="K3" s="190"/>
    </row>
    <row r="4" spans="1:11" x14ac:dyDescent="0.25">
      <c r="A4" s="48"/>
      <c r="B4" s="203"/>
      <c r="C4" s="48"/>
      <c r="D4" s="48"/>
      <c r="E4" s="48"/>
      <c r="F4" s="48"/>
      <c r="G4" s="48"/>
      <c r="H4" s="48"/>
      <c r="I4" s="48"/>
      <c r="J4" s="190"/>
      <c r="K4" s="190"/>
    </row>
    <row r="5" spans="1:11" x14ac:dyDescent="0.25">
      <c r="A5" s="48"/>
      <c r="B5" s="48"/>
      <c r="C5" s="48"/>
      <c r="D5" s="48"/>
      <c r="E5" s="48"/>
      <c r="F5" s="48"/>
      <c r="G5" s="48"/>
      <c r="H5" s="48"/>
      <c r="I5" s="48"/>
      <c r="J5" s="48"/>
      <c r="K5" s="48"/>
    </row>
    <row r="6" spans="1:11" x14ac:dyDescent="0.25">
      <c r="A6" s="48"/>
      <c r="B6" s="836" t="s">
        <v>748</v>
      </c>
      <c r="C6" s="809"/>
      <c r="D6" s="809"/>
      <c r="E6" s="809"/>
      <c r="F6" s="809"/>
      <c r="G6" s="809"/>
      <c r="H6" s="809"/>
      <c r="I6" s="809"/>
      <c r="J6" s="809"/>
      <c r="K6" s="809"/>
    </row>
    <row r="7" spans="1:11" ht="16.5" x14ac:dyDescent="0.25">
      <c r="A7" s="48"/>
      <c r="B7" s="823"/>
      <c r="C7" s="837"/>
      <c r="D7" s="837"/>
      <c r="E7" s="837"/>
      <c r="F7" s="837"/>
      <c r="G7" s="837"/>
      <c r="H7" s="837"/>
      <c r="I7" s="837"/>
      <c r="J7" s="837"/>
      <c r="K7" s="837"/>
    </row>
    <row r="8" spans="1:11" x14ac:dyDescent="0.25">
      <c r="A8" s="48"/>
      <c r="B8" s="48"/>
      <c r="C8" s="206"/>
      <c r="D8" s="206"/>
      <c r="E8" s="206"/>
      <c r="F8" s="206"/>
      <c r="G8" s="207"/>
      <c r="H8" s="49"/>
      <c r="I8" s="49"/>
      <c r="J8" s="48"/>
      <c r="K8" s="48"/>
    </row>
    <row r="9" spans="1:11" ht="21" customHeight="1" x14ac:dyDescent="0.25">
      <c r="A9" s="48"/>
      <c r="B9" s="227" t="s">
        <v>749</v>
      </c>
      <c r="C9" s="208"/>
      <c r="D9" s="531" t="s">
        <v>750</v>
      </c>
      <c r="E9" s="838" t="str">
        <f>CONCATENATE("Budget Tax Levy Rate for ",K1-1,"")</f>
        <v>Budget Tax Levy Rate for 2014</v>
      </c>
      <c r="F9" s="66"/>
      <c r="G9" s="840" t="str">
        <f>CONCATENATE("Allocation for Year ",K1,"")</f>
        <v>Allocation for Year 2015</v>
      </c>
      <c r="H9" s="841"/>
      <c r="I9" s="841"/>
      <c r="J9" s="842"/>
      <c r="K9" s="190"/>
    </row>
    <row r="10" spans="1:11" x14ac:dyDescent="0.25">
      <c r="A10" s="48"/>
      <c r="B10" s="530" t="str">
        <f>CONCATENATE("for ",K1-1,"")</f>
        <v>for 2014</v>
      </c>
      <c r="C10" s="210"/>
      <c r="D10" s="101" t="str">
        <f>CONCATENATE("Amount for ",K1,"")</f>
        <v>Amount for 2015</v>
      </c>
      <c r="E10" s="839"/>
      <c r="F10" s="62"/>
      <c r="G10" s="62" t="s">
        <v>30</v>
      </c>
      <c r="H10" s="62"/>
      <c r="I10" s="62" t="s">
        <v>31</v>
      </c>
      <c r="J10" s="66" t="s">
        <v>63</v>
      </c>
      <c r="K10" s="190"/>
    </row>
    <row r="11" spans="1:11" x14ac:dyDescent="0.25">
      <c r="A11" s="48"/>
      <c r="B11" s="73" t="str">
        <f>inputPrYr!B20</f>
        <v>General</v>
      </c>
      <c r="C11" s="211"/>
      <c r="D11" s="73">
        <f>IF(inputPrYr!E20&gt;0,inputPrYr!E20,"  ")</f>
        <v>41529</v>
      </c>
      <c r="E11" s="212">
        <f>IF(inputOth!D37&gt;0,inputOth!D37,"  ")</f>
        <v>5.2670000000000003</v>
      </c>
      <c r="F11" s="213"/>
      <c r="G11" s="73">
        <f>IF(inputPrYr!E20=0,0,G25-SUM(G12:G22))</f>
        <v>4957</v>
      </c>
      <c r="H11" s="214"/>
      <c r="I11" s="73">
        <f>IF(inputPrYr!E20=0,0,I27-SUM(I12:I22))</f>
        <v>91</v>
      </c>
      <c r="J11" s="73">
        <f>IF(inputPrYr!E20=0,0,J29-SUM(J12:J22))</f>
        <v>49</v>
      </c>
      <c r="K11" s="190"/>
    </row>
    <row r="12" spans="1:11" x14ac:dyDescent="0.25">
      <c r="A12" s="48"/>
      <c r="B12" s="73" t="str">
        <f>inputPrYr!B21</f>
        <v>Debt Service</v>
      </c>
      <c r="C12" s="211"/>
      <c r="D12" s="73" t="str">
        <f>IF(inputPrYr!E21&gt;0,inputPrYr!E21,"  ")</f>
        <v xml:space="preserve">  </v>
      </c>
      <c r="E12" s="212" t="str">
        <f>IF(inputOth!D38&gt;0,inputOth!D38,"  ")</f>
        <v xml:space="preserve">  </v>
      </c>
      <c r="F12" s="213"/>
      <c r="G12" s="73">
        <f>IF(inputPrYr!E21=0,0,ROUND(D12*$G$31,0))</f>
        <v>0</v>
      </c>
      <c r="H12" s="214"/>
      <c r="I12" s="73">
        <f>IF(inputPrYr!$E$21=0,0,ROUND($D$12*$I$33,0))</f>
        <v>0</v>
      </c>
      <c r="J12" s="73">
        <f>IF(inputPrYr!E21=0,0,ROUND($D12*$J$35,0))</f>
        <v>0</v>
      </c>
      <c r="K12" s="190"/>
    </row>
    <row r="13" spans="1:11" x14ac:dyDescent="0.25">
      <c r="A13" s="48"/>
      <c r="B13" s="73" t="str">
        <f>IF(inputPrYr!$B22&gt;"  ",inputPrYr!$B22,"  ")</f>
        <v>Library</v>
      </c>
      <c r="C13" s="211"/>
      <c r="D13" s="73" t="str">
        <f>IF(inputPrYr!E22&gt;0,inputPrYr!E22,"  ")</f>
        <v xml:space="preserve">  </v>
      </c>
      <c r="E13" s="212"/>
      <c r="F13" s="213"/>
      <c r="G13" s="73">
        <f>IF(inputPrYr!E22=0,0,ROUND(D13*$G$31,0))</f>
        <v>0</v>
      </c>
      <c r="H13" s="214"/>
      <c r="I13" s="73">
        <f>IF(inputPrYr!$E$22=0,0,ROUND($D$13*$I$33,0))</f>
        <v>0</v>
      </c>
      <c r="J13" s="73">
        <f>IF(inputPrYr!E22=0,0,ROUND($D13*$J$35,0))</f>
        <v>0</v>
      </c>
      <c r="K13" s="190"/>
    </row>
    <row r="14" spans="1:11" x14ac:dyDescent="0.25">
      <c r="A14" s="48"/>
      <c r="B14" s="73" t="str">
        <f>IF(inputPrYr!$B23&gt;"  ",inputPrYr!$B23,"  ")</f>
        <v>Road</v>
      </c>
      <c r="C14" s="211"/>
      <c r="D14" s="73">
        <f>IF(inputPrYr!E23&gt;0,inputPrYr!E23,"  ")</f>
        <v>34105</v>
      </c>
      <c r="E14" s="212">
        <f>IF(inputOth!D40&gt;0,inputOth!D40,"  ")</f>
        <v>7.4130000000000003</v>
      </c>
      <c r="F14" s="213"/>
      <c r="G14" s="73">
        <f>IF(inputPrYr!E23=0,0,ROUND(D14*$G$31,0))</f>
        <v>4070</v>
      </c>
      <c r="H14" s="214"/>
      <c r="I14" s="73">
        <f>IF(inputPrYr!$E$23=0,0,ROUND($D$14*$I$33,0))</f>
        <v>75</v>
      </c>
      <c r="J14" s="73">
        <f>IF(inputPrYr!E23=0,0,ROUND($D14*$J$35,0))</f>
        <v>41</v>
      </c>
      <c r="K14" s="190"/>
    </row>
    <row r="15" spans="1:11" x14ac:dyDescent="0.25">
      <c r="A15" s="48"/>
      <c r="B15" s="73" t="str">
        <f>IF(inputPrYr!$B24&gt;"  ",inputPrYr!$B24,"  ")</f>
        <v>Special Road</v>
      </c>
      <c r="C15" s="211"/>
      <c r="D15" s="73" t="str">
        <f>IF(inputPrYr!E24&gt;0,inputPrYr!E24,"  ")</f>
        <v xml:space="preserve">  </v>
      </c>
      <c r="E15" s="212" t="str">
        <f>IF(inputOth!D41&gt;0,inputOth!D41,"  ")</f>
        <v xml:space="preserve">  </v>
      </c>
      <c r="F15" s="213"/>
      <c r="G15" s="73">
        <f>IF(inputPrYr!E24=0,0,ROUND(D15*$G$31,0))</f>
        <v>0</v>
      </c>
      <c r="H15" s="214"/>
      <c r="I15" s="73">
        <f>IF(inputPrYr!$E$24=0,0,ROUND($D$15*$I$33,0))</f>
        <v>0</v>
      </c>
      <c r="J15" s="73">
        <f>IF(inputPrYr!E24=0,0,ROUND($D15*$J$35,0))</f>
        <v>0</v>
      </c>
      <c r="K15" s="190"/>
    </row>
    <row r="16" spans="1:11" x14ac:dyDescent="0.25">
      <c r="A16" s="48"/>
      <c r="B16" s="73" t="str">
        <f>IF(inputPrYr!$B25&gt;"  ",inputPrYr!$B25,"  ")</f>
        <v>Noxious Weed</v>
      </c>
      <c r="C16" s="211"/>
      <c r="D16" s="73" t="str">
        <f>IF(inputPrYr!E25&gt;0,inputPrYr!E25,"  ")</f>
        <v xml:space="preserve">  </v>
      </c>
      <c r="E16" s="212" t="str">
        <f>IF(inputOth!D42&gt;0,inputOth!D42,"  ")</f>
        <v xml:space="preserve">  </v>
      </c>
      <c r="F16" s="213"/>
      <c r="G16" s="73">
        <f>IF(inputPrYr!E25=0,0,ROUND(D16*$G$31,0))</f>
        <v>0</v>
      </c>
      <c r="H16" s="214"/>
      <c r="I16" s="73">
        <f>IF(inputPrYr!$E$25=0,0,ROUND($D$16*$I$33,0))</f>
        <v>0</v>
      </c>
      <c r="J16" s="73">
        <f>IF(inputPrYr!E25=0,0,ROUND($D16*$J$35,0))</f>
        <v>0</v>
      </c>
      <c r="K16" s="190"/>
    </row>
    <row r="17" spans="1:11" x14ac:dyDescent="0.25">
      <c r="A17" s="48"/>
      <c r="B17" s="73" t="str">
        <f>IF(inputPrYr!$B26&gt;"  ",inputPrYr!$B26,"  ")</f>
        <v>Fire Protection</v>
      </c>
      <c r="C17" s="211"/>
      <c r="D17" s="73" t="str">
        <f>IF(inputPrYr!E26&gt;0,inputPrYr!E26,"  ")</f>
        <v xml:space="preserve">  </v>
      </c>
      <c r="E17" s="212" t="str">
        <f>IF(inputOth!D43&gt;0,inputOth!D43,"  ")</f>
        <v xml:space="preserve">  </v>
      </c>
      <c r="F17" s="213"/>
      <c r="G17" s="73">
        <f>IF(inputPrYr!E26=0,0,ROUND(D17*$G$31,0))</f>
        <v>0</v>
      </c>
      <c r="H17" s="214"/>
      <c r="I17" s="73">
        <f>IF(inputPrYr!$E$26=0,0,ROUND($D$17*$I$33,0))</f>
        <v>0</v>
      </c>
      <c r="J17" s="73">
        <f>IF(inputPrYr!E26=0,0,ROUND($D17*$J$35,0))</f>
        <v>0</v>
      </c>
      <c r="K17" s="190"/>
    </row>
    <row r="18" spans="1:11" x14ac:dyDescent="0.25">
      <c r="A18" s="48"/>
      <c r="B18" s="73" t="str">
        <f>IF(inputPrYr!$B27&gt;"  ",inputPrYr!$B27,"  ")</f>
        <v xml:space="preserve">  </v>
      </c>
      <c r="C18" s="211"/>
      <c r="D18" s="73" t="str">
        <f>IF(inputPrYr!E27&gt;0,inputPrYr!E27,"  ")</f>
        <v xml:space="preserve">  </v>
      </c>
      <c r="E18" s="212" t="str">
        <f>IF(inputOth!D44&gt;0,inputOth!D44,"  ")</f>
        <v xml:space="preserve">  </v>
      </c>
      <c r="F18" s="213"/>
      <c r="G18" s="73">
        <f>IF(inputPrYr!E27=0,0,ROUND(D18*$G$31,0))</f>
        <v>0</v>
      </c>
      <c r="H18" s="214"/>
      <c r="I18" s="73">
        <f>IF(inputPrYr!$E$27=0,0,ROUND($D$18*$I$33,0))</f>
        <v>0</v>
      </c>
      <c r="J18" s="73">
        <f>IF(inputPrYr!E27=0,0,ROUND($D18*$J$35,0))</f>
        <v>0</v>
      </c>
      <c r="K18" s="190"/>
    </row>
    <row r="19" spans="1:11" x14ac:dyDescent="0.25">
      <c r="A19" s="48"/>
      <c r="B19" s="73" t="str">
        <f>IF(inputPrYr!$B28&gt;"  ",inputPrYr!$B28,"  ")</f>
        <v xml:space="preserve">  </v>
      </c>
      <c r="C19" s="211"/>
      <c r="D19" s="73" t="str">
        <f>IF(inputPrYr!E28&gt;0,inputPrYr!E28,"  ")</f>
        <v xml:space="preserve">  </v>
      </c>
      <c r="E19" s="212" t="str">
        <f>IF(inputOth!D45&gt;0,inputOth!D45,"  ")</f>
        <v xml:space="preserve">  </v>
      </c>
      <c r="F19" s="213"/>
      <c r="G19" s="73">
        <f>IF(inputPrYr!E28=0,0,ROUND(D19*$G$31,0))</f>
        <v>0</v>
      </c>
      <c r="H19" s="214"/>
      <c r="I19" s="73">
        <f>IF(inputPrYr!$E$28=0,0,ROUND($D$19*$I$33,0))</f>
        <v>0</v>
      </c>
      <c r="J19" s="73">
        <f>IF(inputPrYr!E28=0,0,ROUND($D19*$J$35,0))</f>
        <v>0</v>
      </c>
      <c r="K19" s="190"/>
    </row>
    <row r="20" spans="1:11" x14ac:dyDescent="0.25">
      <c r="A20" s="48"/>
      <c r="B20" s="73" t="str">
        <f>IF(inputPrYr!$B29&gt;"  ",inputPrYr!$B29,"  ")</f>
        <v xml:space="preserve">  </v>
      </c>
      <c r="C20" s="211"/>
      <c r="D20" s="73" t="str">
        <f>IF(inputPrYr!E29&gt;0,inputPrYr!E29,"  ")</f>
        <v xml:space="preserve">  </v>
      </c>
      <c r="E20" s="212" t="str">
        <f>IF(inputOth!D46&gt;0,inputOth!D46,"  ")</f>
        <v xml:space="preserve">  </v>
      </c>
      <c r="F20" s="213"/>
      <c r="G20" s="73">
        <f>IF(inputPrYr!E29=0,0,ROUND(D20*$G$31,0))</f>
        <v>0</v>
      </c>
      <c r="H20" s="214"/>
      <c r="I20" s="73">
        <f>IF(inputPrYr!$E$29=0,0,ROUND($D$20*$I$33,0))</f>
        <v>0</v>
      </c>
      <c r="J20" s="73">
        <f>IF(inputPrYr!E29=0,0,ROUND($D20*$J$35,0))</f>
        <v>0</v>
      </c>
      <c r="K20" s="190"/>
    </row>
    <row r="21" spans="1:11" x14ac:dyDescent="0.25">
      <c r="A21" s="48"/>
      <c r="B21" s="73" t="str">
        <f>IF(inputPrYr!$B30&gt;"  ",inputPrYr!$B30,"  ")</f>
        <v xml:space="preserve">  </v>
      </c>
      <c r="C21" s="211"/>
      <c r="D21" s="73" t="str">
        <f>IF(inputPrYr!E30&gt;0,inputPrYr!E30,"  ")</f>
        <v xml:space="preserve">  </v>
      </c>
      <c r="E21" s="212" t="str">
        <f>IF(inputOth!D47&gt;0,inputOth!D47,"  ")</f>
        <v xml:space="preserve">  </v>
      </c>
      <c r="F21" s="213"/>
      <c r="G21" s="73">
        <f>IF(inputPrYr!E30=0,0,ROUND(D21*$G$31,0))</f>
        <v>0</v>
      </c>
      <c r="H21" s="214"/>
      <c r="I21" s="73">
        <f>IF(inputPrYr!$E$30=0,0,ROUND($D$21*$I$33,0))</f>
        <v>0</v>
      </c>
      <c r="J21" s="73">
        <f>IF(inputPrYr!E30=0,0,ROUND($D21*$J$35,0))</f>
        <v>0</v>
      </c>
      <c r="K21" s="190"/>
    </row>
    <row r="22" spans="1:11" x14ac:dyDescent="0.25">
      <c r="A22" s="48"/>
      <c r="B22" s="73" t="str">
        <f>IF(inputPrYr!$B31&gt;"  ",inputPrYr!$B31,"  ")</f>
        <v xml:space="preserve">  </v>
      </c>
      <c r="C22" s="211"/>
      <c r="D22" s="73" t="str">
        <f>IF(inputPrYr!E31&gt;0,inputPrYr!E31,"  ")</f>
        <v xml:space="preserve">  </v>
      </c>
      <c r="E22" s="212" t="str">
        <f>IF(inputOth!D48&gt;0,inputOth!D48,"  ")</f>
        <v xml:space="preserve">  </v>
      </c>
      <c r="F22" s="213"/>
      <c r="G22" s="73">
        <f>IF(inputPrYr!E31=0,0,ROUND(D22*$G$31,0))</f>
        <v>0</v>
      </c>
      <c r="H22" s="214"/>
      <c r="I22" s="73">
        <f>IF(inputPrYr!E31=0,0,ROUND($D$22*$I$33,0))</f>
        <v>0</v>
      </c>
      <c r="J22" s="73">
        <f>IF(inputPrYr!E31=0,0,ROUND($D22*$J$35,0))</f>
        <v>0</v>
      </c>
      <c r="K22" s="190"/>
    </row>
    <row r="23" spans="1:11" ht="16.5" thickBot="1" x14ac:dyDescent="0.3">
      <c r="A23" s="48"/>
      <c r="B23" s="87" t="s">
        <v>220</v>
      </c>
      <c r="C23" s="215"/>
      <c r="D23" s="216">
        <f t="shared" ref="D23:J23" si="0">SUM(D11:D22)</f>
        <v>75634</v>
      </c>
      <c r="E23" s="217">
        <f>SUM(E11:E22)</f>
        <v>12.68</v>
      </c>
      <c r="F23" s="218"/>
      <c r="G23" s="216">
        <f t="shared" si="0"/>
        <v>9027</v>
      </c>
      <c r="H23" s="216"/>
      <c r="I23" s="216">
        <f t="shared" si="0"/>
        <v>166</v>
      </c>
      <c r="J23" s="216">
        <f t="shared" si="0"/>
        <v>90</v>
      </c>
      <c r="K23" s="190"/>
    </row>
    <row r="24" spans="1:11" ht="16.5" thickTop="1" x14ac:dyDescent="0.25">
      <c r="A24" s="48"/>
      <c r="B24" s="48"/>
      <c r="C24" s="48"/>
      <c r="D24" s="48"/>
      <c r="E24" s="48"/>
      <c r="F24" s="48"/>
      <c r="G24" s="48"/>
      <c r="H24" s="48"/>
      <c r="I24" s="48"/>
      <c r="J24" s="48"/>
      <c r="K24" s="48"/>
    </row>
    <row r="25" spans="1:11" x14ac:dyDescent="0.25">
      <c r="A25" s="48"/>
      <c r="B25" s="55" t="s">
        <v>244</v>
      </c>
      <c r="C25" s="187"/>
      <c r="D25" s="48"/>
      <c r="E25" s="48"/>
      <c r="F25" s="48"/>
      <c r="G25" s="219">
        <f>SUM(inputOth!E59,inputOth!E63,inputOth!E67)</f>
        <v>9027</v>
      </c>
      <c r="H25" s="48"/>
      <c r="I25" s="48"/>
      <c r="J25" s="48"/>
      <c r="K25" s="48"/>
    </row>
    <row r="26" spans="1:11" x14ac:dyDescent="0.25">
      <c r="A26" s="48"/>
      <c r="B26" s="48"/>
      <c r="C26" s="48"/>
      <c r="D26" s="48"/>
      <c r="E26" s="48"/>
      <c r="F26" s="48"/>
      <c r="G26" s="48"/>
      <c r="H26" s="48"/>
      <c r="I26" s="48"/>
      <c r="J26" s="48"/>
      <c r="K26" s="48"/>
    </row>
    <row r="27" spans="1:11" x14ac:dyDescent="0.25">
      <c r="A27" s="48"/>
      <c r="B27" s="55" t="s">
        <v>245</v>
      </c>
      <c r="C27" s="48"/>
      <c r="D27" s="48"/>
      <c r="E27" s="48"/>
      <c r="F27" s="48"/>
      <c r="G27" s="48"/>
      <c r="H27" s="219">
        <f>inputPrYr!E83</f>
        <v>0</v>
      </c>
      <c r="I27" s="219">
        <f>SUM(inputOth!E60,inputOth!E64,inputOth!E68)</f>
        <v>166</v>
      </c>
      <c r="J27" s="48"/>
      <c r="K27" s="48"/>
    </row>
    <row r="28" spans="1:11" x14ac:dyDescent="0.25">
      <c r="A28" s="48"/>
      <c r="B28" s="48"/>
      <c r="C28" s="48"/>
      <c r="D28" s="48"/>
      <c r="E28" s="48"/>
      <c r="F28" s="48"/>
      <c r="G28" s="48"/>
      <c r="H28" s="48"/>
      <c r="I28" s="48"/>
      <c r="J28" s="48"/>
      <c r="K28" s="48"/>
    </row>
    <row r="29" spans="1:11" x14ac:dyDescent="0.25">
      <c r="A29" s="48"/>
      <c r="B29" s="55" t="s">
        <v>27</v>
      </c>
      <c r="C29" s="48"/>
      <c r="D29" s="48"/>
      <c r="E29" s="48"/>
      <c r="F29" s="48"/>
      <c r="G29" s="48"/>
      <c r="H29" s="48"/>
      <c r="I29" s="48"/>
      <c r="J29" s="219">
        <f>SUM(inputOth!E61,inputOth!E65,inputOth!E69)</f>
        <v>90</v>
      </c>
      <c r="K29" s="158"/>
    </row>
    <row r="30" spans="1:11" x14ac:dyDescent="0.25">
      <c r="A30" s="48"/>
      <c r="B30" s="48"/>
      <c r="C30" s="48"/>
      <c r="D30" s="48"/>
      <c r="E30" s="48"/>
      <c r="F30" s="48"/>
      <c r="G30" s="48"/>
      <c r="H30" s="48"/>
      <c r="I30" s="48"/>
      <c r="J30" s="48"/>
      <c r="K30" s="48"/>
    </row>
    <row r="31" spans="1:11" x14ac:dyDescent="0.25">
      <c r="A31" s="48"/>
      <c r="B31" s="55" t="s">
        <v>246</v>
      </c>
      <c r="C31" s="48"/>
      <c r="D31" s="48"/>
      <c r="E31" s="48"/>
      <c r="F31" s="48"/>
      <c r="G31" s="220">
        <f>IF(D23=0,0,G25/D23)</f>
        <v>0.11935108549065235</v>
      </c>
      <c r="H31" s="48"/>
      <c r="I31" s="48"/>
      <c r="J31" s="48"/>
      <c r="K31" s="48"/>
    </row>
    <row r="32" spans="1:11" x14ac:dyDescent="0.25">
      <c r="A32" s="48"/>
      <c r="B32" s="48"/>
      <c r="C32" s="221"/>
      <c r="D32" s="48"/>
      <c r="E32" s="48"/>
      <c r="F32" s="48"/>
      <c r="G32" s="48"/>
      <c r="H32" s="48"/>
      <c r="I32" s="48"/>
      <c r="J32" s="48"/>
      <c r="K32" s="48"/>
    </row>
    <row r="33" spans="1:11" x14ac:dyDescent="0.25">
      <c r="A33" s="48"/>
      <c r="B33" s="55" t="s">
        <v>247</v>
      </c>
      <c r="C33" s="48"/>
      <c r="D33" s="48"/>
      <c r="E33" s="48"/>
      <c r="F33" s="48"/>
      <c r="G33" s="48"/>
      <c r="H33" s="222">
        <f>IF(D23=0,0,H27/D23)</f>
        <v>0</v>
      </c>
      <c r="I33" s="223">
        <f>IF(D23=0,0,I27/D23)</f>
        <v>2.1947801253404554E-3</v>
      </c>
      <c r="J33" s="48"/>
      <c r="K33" s="48"/>
    </row>
    <row r="34" spans="1:11" x14ac:dyDescent="0.25">
      <c r="A34" s="48"/>
      <c r="B34" s="48"/>
      <c r="C34" s="48"/>
      <c r="D34" s="48"/>
      <c r="E34" s="48"/>
      <c r="F34" s="48"/>
      <c r="G34" s="48"/>
      <c r="H34" s="48"/>
      <c r="I34" s="48"/>
      <c r="J34" s="48"/>
      <c r="K34" s="48"/>
    </row>
    <row r="35" spans="1:11" x14ac:dyDescent="0.25">
      <c r="A35" s="48"/>
      <c r="B35" s="55" t="s">
        <v>29</v>
      </c>
      <c r="C35" s="48"/>
      <c r="D35" s="48"/>
      <c r="E35" s="48"/>
      <c r="F35" s="48"/>
      <c r="G35" s="48"/>
      <c r="H35" s="48"/>
      <c r="I35" s="48"/>
      <c r="J35" s="220">
        <f>IF(D23=0,0,J29/D23)</f>
        <v>1.1899410318110904E-3</v>
      </c>
      <c r="K35" s="224"/>
    </row>
    <row r="36" spans="1:11" x14ac:dyDescent="0.25">
      <c r="A36" s="48"/>
      <c r="B36" s="48"/>
      <c r="C36" s="48"/>
      <c r="D36" s="48"/>
      <c r="E36" s="48"/>
      <c r="F36" s="48"/>
      <c r="G36" s="48"/>
      <c r="H36" s="48"/>
      <c r="I36" s="48"/>
      <c r="J36" s="48"/>
      <c r="K36" s="48"/>
    </row>
    <row r="37" spans="1:11" x14ac:dyDescent="0.25">
      <c r="A37" s="48"/>
      <c r="B37" s="48"/>
      <c r="C37" s="48"/>
      <c r="D37" s="48"/>
      <c r="E37" s="48"/>
      <c r="F37" s="48"/>
      <c r="G37" s="48"/>
      <c r="H37" s="48"/>
      <c r="I37" s="48"/>
      <c r="J37" s="48"/>
      <c r="K37" s="48"/>
    </row>
    <row r="41" spans="1:11" x14ac:dyDescent="0.25">
      <c r="B41" s="225"/>
      <c r="C41" s="225"/>
      <c r="D41" s="225"/>
      <c r="E41" s="225"/>
      <c r="F41" s="225"/>
      <c r="G41" s="225"/>
      <c r="H41" s="225"/>
    </row>
  </sheetData>
  <sheetProtection sheet="1"/>
  <mergeCells count="4">
    <mergeCell ref="B6:K6"/>
    <mergeCell ref="B7:K7"/>
    <mergeCell ref="E9:E10"/>
    <mergeCell ref="G9:J9"/>
  </mergeCells>
  <phoneticPr fontId="0" type="noConversion"/>
  <pageMargins left="0.4" right="0.67" top="0.83" bottom="0.85" header="0.3" footer="0.6"/>
  <pageSetup scale="85" orientation="landscape" blackAndWhite="1" horizontalDpi="4294967292" verticalDpi="300" r:id="rId1"/>
  <headerFooter alignWithMargins="0">
    <oddHeader xml:space="preserve">&amp;RState of Kansas
Township
</oddHeader>
    <oddFooter>&amp;CPage No. 3</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F32"/>
  <sheetViews>
    <sheetView workbookViewId="0">
      <selection activeCell="C21" sqref="C21:E21"/>
    </sheetView>
  </sheetViews>
  <sheetFormatPr defaultColWidth="8.796875" defaultRowHeight="15.75" x14ac:dyDescent="0.25"/>
  <cols>
    <col min="1" max="2" width="16" style="137" customWidth="1"/>
    <col min="3" max="6" width="11.5" style="137" customWidth="1"/>
    <col min="7" max="16384" width="8.796875" style="137"/>
  </cols>
  <sheetData>
    <row r="1" spans="1:6" x14ac:dyDescent="0.25">
      <c r="A1" s="203"/>
      <c r="B1" s="48"/>
      <c r="C1" s="48"/>
      <c r="D1" s="48"/>
      <c r="E1" s="190"/>
      <c r="F1" s="48">
        <f>inputPrYr!D9</f>
        <v>2015</v>
      </c>
    </row>
    <row r="2" spans="1:6" x14ac:dyDescent="0.25">
      <c r="A2" s="103" t="str">
        <f>inputPrYr!D3</f>
        <v>Milton Township</v>
      </c>
      <c r="B2" s="103"/>
      <c r="C2" s="48"/>
      <c r="D2" s="48"/>
      <c r="E2" s="190"/>
      <c r="F2" s="48"/>
    </row>
    <row r="3" spans="1:6" x14ac:dyDescent="0.25">
      <c r="A3" s="203"/>
      <c r="B3" s="103"/>
      <c r="C3" s="48"/>
      <c r="D3" s="48"/>
      <c r="E3" s="190"/>
      <c r="F3" s="48"/>
    </row>
    <row r="4" spans="1:6" x14ac:dyDescent="0.25">
      <c r="A4" s="203"/>
      <c r="B4" s="48"/>
      <c r="C4" s="48"/>
      <c r="D4" s="48"/>
      <c r="E4" s="190"/>
      <c r="F4" s="48"/>
    </row>
    <row r="5" spans="1:6" ht="15" customHeight="1" x14ac:dyDescent="0.25">
      <c r="A5" s="823" t="s">
        <v>95</v>
      </c>
      <c r="B5" s="823"/>
      <c r="C5" s="823"/>
      <c r="D5" s="823"/>
      <c r="E5" s="823"/>
      <c r="F5" s="823"/>
    </row>
    <row r="6" spans="1:6" ht="14.25" customHeight="1" x14ac:dyDescent="0.25">
      <c r="A6" s="47"/>
      <c r="B6" s="226"/>
      <c r="C6" s="226"/>
      <c r="D6" s="226"/>
      <c r="E6" s="226"/>
      <c r="F6" s="226"/>
    </row>
    <row r="7" spans="1:6" ht="15" customHeight="1" x14ac:dyDescent="0.25">
      <c r="A7" s="227" t="s">
        <v>228</v>
      </c>
      <c r="B7" s="227" t="s">
        <v>595</v>
      </c>
      <c r="C7" s="228" t="s">
        <v>271</v>
      </c>
      <c r="D7" s="228" t="s">
        <v>96</v>
      </c>
      <c r="E7" s="227" t="s">
        <v>97</v>
      </c>
      <c r="F7" s="227" t="s">
        <v>98</v>
      </c>
    </row>
    <row r="8" spans="1:6" ht="15" customHeight="1" x14ac:dyDescent="0.25">
      <c r="A8" s="229" t="s">
        <v>596</v>
      </c>
      <c r="B8" s="229" t="s">
        <v>597</v>
      </c>
      <c r="C8" s="230" t="s">
        <v>99</v>
      </c>
      <c r="D8" s="230" t="s">
        <v>99</v>
      </c>
      <c r="E8" s="230" t="s">
        <v>99</v>
      </c>
      <c r="F8" s="230" t="s">
        <v>100</v>
      </c>
    </row>
    <row r="9" spans="1:6" s="233" customFormat="1" ht="15" customHeight="1" thickBot="1" x14ac:dyDescent="0.3">
      <c r="A9" s="231" t="s">
        <v>101</v>
      </c>
      <c r="B9" s="232" t="s">
        <v>102</v>
      </c>
      <c r="C9" s="232">
        <f>F1-2</f>
        <v>2013</v>
      </c>
      <c r="D9" s="232">
        <f>F1-1</f>
        <v>2014</v>
      </c>
      <c r="E9" s="232">
        <f>F1</f>
        <v>2015</v>
      </c>
      <c r="F9" s="232" t="s">
        <v>215</v>
      </c>
    </row>
    <row r="10" spans="1:6" ht="15" customHeight="1" thickTop="1" x14ac:dyDescent="0.25">
      <c r="A10" s="234"/>
      <c r="B10" s="234"/>
      <c r="C10" s="235"/>
      <c r="D10" s="235"/>
      <c r="E10" s="235"/>
      <c r="F10" s="234"/>
    </row>
    <row r="11" spans="1:6" ht="15" customHeight="1" x14ac:dyDescent="0.25">
      <c r="A11" s="186" t="s">
        <v>170</v>
      </c>
      <c r="B11" s="186" t="s">
        <v>232</v>
      </c>
      <c r="C11" s="236">
        <f>gen!$C$43</f>
        <v>0</v>
      </c>
      <c r="D11" s="236">
        <f>gen!$D$43</f>
        <v>0</v>
      </c>
      <c r="E11" s="236">
        <f>gen!$E$43</f>
        <v>0</v>
      </c>
      <c r="F11" s="186" t="str">
        <f>IF(C11+D11+E11&gt;0,"80-1406b","")</f>
        <v/>
      </c>
    </row>
    <row r="12" spans="1:6" ht="15" customHeight="1" x14ac:dyDescent="0.25">
      <c r="A12" s="186" t="s">
        <v>170</v>
      </c>
      <c r="B12" s="186" t="s">
        <v>232</v>
      </c>
      <c r="C12" s="236">
        <f>gen!$C$45</f>
        <v>0</v>
      </c>
      <c r="D12" s="236">
        <f>gen!$D$45</f>
        <v>0</v>
      </c>
      <c r="E12" s="236">
        <f>gen!$E$45</f>
        <v>0</v>
      </c>
      <c r="F12" s="186" t="str">
        <f>IF(C12+D12+E12&gt;0,"80-122","")</f>
        <v/>
      </c>
    </row>
    <row r="13" spans="1:6" ht="15" customHeight="1" x14ac:dyDescent="0.25">
      <c r="A13" s="186" t="s">
        <v>219</v>
      </c>
      <c r="B13" s="186" t="s">
        <v>232</v>
      </c>
      <c r="C13" s="236">
        <f>road!$C$38</f>
        <v>0</v>
      </c>
      <c r="D13" s="236">
        <f>road!$D$38</f>
        <v>0</v>
      </c>
      <c r="E13" s="236">
        <f>road!$E$38</f>
        <v>0</v>
      </c>
      <c r="F13" s="186" t="str">
        <f>IF(C13+D13+E13&gt;0,"68-141g","")</f>
        <v/>
      </c>
    </row>
    <row r="14" spans="1:6" ht="15" customHeight="1" x14ac:dyDescent="0.25">
      <c r="A14" s="160"/>
      <c r="B14" s="160"/>
      <c r="C14" s="237"/>
      <c r="D14" s="237"/>
      <c r="E14" s="237"/>
      <c r="F14" s="160"/>
    </row>
    <row r="15" spans="1:6" ht="15" customHeight="1" x14ac:dyDescent="0.25">
      <c r="A15" s="160"/>
      <c r="B15" s="160"/>
      <c r="C15" s="237"/>
      <c r="D15" s="237"/>
      <c r="E15" s="237"/>
      <c r="F15" s="160"/>
    </row>
    <row r="16" spans="1:6" ht="15" customHeight="1" x14ac:dyDescent="0.25">
      <c r="A16" s="160"/>
      <c r="B16" s="160"/>
      <c r="C16" s="237"/>
      <c r="D16" s="237"/>
      <c r="E16" s="237"/>
      <c r="F16" s="160"/>
    </row>
    <row r="17" spans="1:6" ht="15" customHeight="1" x14ac:dyDescent="0.25">
      <c r="A17" s="160"/>
      <c r="B17" s="160"/>
      <c r="C17" s="237"/>
      <c r="D17" s="237"/>
      <c r="E17" s="237"/>
      <c r="F17" s="160"/>
    </row>
    <row r="18" spans="1:6" ht="15" customHeight="1" x14ac:dyDescent="0.25">
      <c r="A18" s="160"/>
      <c r="B18" s="160"/>
      <c r="C18" s="237"/>
      <c r="D18" s="237"/>
      <c r="E18" s="237"/>
      <c r="F18" s="160"/>
    </row>
    <row r="19" spans="1:6" ht="15" customHeight="1" x14ac:dyDescent="0.25">
      <c r="A19" s="160"/>
      <c r="B19" s="238"/>
      <c r="C19" s="237"/>
      <c r="D19" s="237"/>
      <c r="E19" s="237"/>
      <c r="F19" s="160"/>
    </row>
    <row r="20" spans="1:6" ht="15" customHeight="1" x14ac:dyDescent="0.25">
      <c r="A20" s="160"/>
      <c r="B20" s="160"/>
      <c r="C20" s="237"/>
      <c r="D20" s="237"/>
      <c r="E20" s="237"/>
      <c r="F20" s="160"/>
    </row>
    <row r="21" spans="1:6" ht="15" customHeight="1" x14ac:dyDescent="0.25">
      <c r="A21" s="160"/>
      <c r="B21" s="160"/>
      <c r="C21" s="237"/>
      <c r="D21" s="237"/>
      <c r="E21" s="237"/>
      <c r="F21" s="160"/>
    </row>
    <row r="22" spans="1:6" ht="15" customHeight="1" x14ac:dyDescent="0.25">
      <c r="A22" s="160"/>
      <c r="B22" s="160"/>
      <c r="C22" s="237"/>
      <c r="D22" s="237"/>
      <c r="E22" s="237"/>
      <c r="F22" s="160"/>
    </row>
    <row r="23" spans="1:6" ht="15" customHeight="1" x14ac:dyDescent="0.25">
      <c r="A23" s="160"/>
      <c r="B23" s="160"/>
      <c r="C23" s="237"/>
      <c r="D23" s="237"/>
      <c r="E23" s="237"/>
      <c r="F23" s="160"/>
    </row>
    <row r="24" spans="1:6" ht="15" customHeight="1" x14ac:dyDescent="0.25">
      <c r="A24" s="160"/>
      <c r="B24" s="160"/>
      <c r="C24" s="237"/>
      <c r="D24" s="237"/>
      <c r="E24" s="237"/>
      <c r="F24" s="160"/>
    </row>
    <row r="25" spans="1:6" ht="15" customHeight="1" x14ac:dyDescent="0.25">
      <c r="A25" s="160"/>
      <c r="B25" s="160"/>
      <c r="C25" s="237"/>
      <c r="D25" s="237"/>
      <c r="E25" s="237"/>
      <c r="F25" s="160"/>
    </row>
    <row r="26" spans="1:6" ht="15" customHeight="1" x14ac:dyDescent="0.25">
      <c r="A26" s="160"/>
      <c r="B26" s="160"/>
      <c r="C26" s="237"/>
      <c r="D26" s="237"/>
      <c r="E26" s="237"/>
      <c r="F26" s="160"/>
    </row>
    <row r="27" spans="1:6" x14ac:dyDescent="0.25">
      <c r="A27" s="171"/>
      <c r="B27" s="71" t="s">
        <v>220</v>
      </c>
      <c r="C27" s="239">
        <f>SUM(C10:C26)</f>
        <v>0</v>
      </c>
      <c r="D27" s="239">
        <f>SUM(D10:D26)</f>
        <v>0</v>
      </c>
      <c r="E27" s="239">
        <f>SUM(E10:E26)</f>
        <v>0</v>
      </c>
      <c r="F27" s="171"/>
    </row>
    <row r="28" spans="1:6" x14ac:dyDescent="0.25">
      <c r="A28" s="171"/>
      <c r="B28" s="71" t="s">
        <v>594</v>
      </c>
      <c r="C28" s="48"/>
      <c r="D28" s="160"/>
      <c r="E28" s="160"/>
      <c r="F28" s="171"/>
    </row>
    <row r="29" spans="1:6" x14ac:dyDescent="0.25">
      <c r="A29" s="171"/>
      <c r="B29" s="71" t="s">
        <v>103</v>
      </c>
      <c r="C29" s="162">
        <f>C27</f>
        <v>0</v>
      </c>
      <c r="D29" s="162">
        <f>SUM(D27-D28)</f>
        <v>0</v>
      </c>
      <c r="E29" s="162">
        <f>SUM(E27-E28)</f>
        <v>0</v>
      </c>
      <c r="F29" s="171"/>
    </row>
    <row r="30" spans="1:6" x14ac:dyDescent="0.25">
      <c r="A30" s="171"/>
      <c r="B30" s="48"/>
      <c r="C30" s="48"/>
      <c r="D30" s="48"/>
      <c r="E30" s="48"/>
      <c r="F30" s="171"/>
    </row>
    <row r="31" spans="1:6" x14ac:dyDescent="0.25">
      <c r="A31" s="171"/>
      <c r="B31" s="48"/>
      <c r="C31" s="48"/>
      <c r="D31" s="48"/>
      <c r="E31" s="48"/>
      <c r="F31" s="171"/>
    </row>
    <row r="32" spans="1:6" x14ac:dyDescent="0.25">
      <c r="A32" s="356" t="s">
        <v>598</v>
      </c>
      <c r="B32" s="357" t="str">
        <f>CONCATENATE("Adjustments are required only if the transfer is being made in ",D9," and/or ",E9," from a non-budgeted fund.")</f>
        <v>Adjustments are required only if the transfer is being made in 2014 and/or 2015 from a non-budgeted fund.</v>
      </c>
      <c r="C32" s="48"/>
      <c r="D32" s="48"/>
      <c r="E32" s="48"/>
      <c r="F32" s="171"/>
    </row>
  </sheetData>
  <sheetProtection sheet="1"/>
  <mergeCells count="1">
    <mergeCell ref="A5:F5"/>
  </mergeCells>
  <phoneticPr fontId="12" type="noConversion"/>
  <pageMargins left="0.75" right="0.75" top="1" bottom="1" header="0.5" footer="0.5"/>
  <pageSetup scale="80" orientation="portrait" blackAndWhite="1" r:id="rId1"/>
  <headerFooter alignWithMargins="0">
    <oddHeader>&amp;RState of Kansas
Township</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10</vt:i4>
      </vt:variant>
    </vt:vector>
  </HeadingPairs>
  <TitlesOfParts>
    <vt:vector size="46" baseType="lpstr">
      <vt:lpstr>instructions</vt:lpstr>
      <vt:lpstr>inputPrYr</vt:lpstr>
      <vt:lpstr>inputOth</vt:lpstr>
      <vt:lpstr>inputBudSum</vt:lpstr>
      <vt:lpstr>cert</vt:lpstr>
      <vt:lpstr>SignCert</vt:lpstr>
      <vt:lpstr>computation</vt:lpstr>
      <vt:lpstr>mvalloc</vt:lpstr>
      <vt:lpstr>transfer</vt:lpstr>
      <vt:lpstr>TransferStatutes</vt:lpstr>
      <vt:lpstr>debt</vt:lpstr>
      <vt:lpstr>Library Grant</vt:lpstr>
      <vt:lpstr>gen</vt:lpstr>
      <vt:lpstr>DebtSvs-Library</vt:lpstr>
      <vt:lpstr>road</vt:lpstr>
      <vt:lpstr>SpecRoad&amp;Noxious</vt:lpstr>
      <vt:lpstr>levypage10</vt:lpstr>
      <vt:lpstr>levypage11</vt:lpstr>
      <vt:lpstr>levypage12</vt:lpstr>
      <vt:lpstr>nolevypage13</vt:lpstr>
      <vt:lpstr>nolevypage14</vt:lpstr>
      <vt:lpstr>nonbud</vt:lpstr>
      <vt:lpstr>NonBudFunds</vt:lpstr>
      <vt:lpstr>summ</vt:lpstr>
      <vt:lpstr>ProofPub</vt:lpstr>
      <vt:lpstr>nhood</vt:lpstr>
      <vt:lpstr>Pub. Notice Option 1</vt:lpstr>
      <vt:lpstr>Pub. Notice Option 2</vt:lpstr>
      <vt:lpstr>Tab A</vt:lpstr>
      <vt:lpstr>Tab B</vt:lpstr>
      <vt:lpstr>Tab C</vt:lpstr>
      <vt:lpstr>Tab D</vt:lpstr>
      <vt:lpstr>Tab E</vt:lpstr>
      <vt:lpstr>Mill Rate Computation</vt:lpstr>
      <vt:lpstr>Helpful Links</vt:lpstr>
      <vt:lpstr>legend</vt:lpstr>
      <vt:lpstr>'DebtSvs-Library'!Print_Area</vt:lpstr>
      <vt:lpstr>gen!Print_Area</vt:lpstr>
      <vt:lpstr>inputPrYr!Print_Area</vt:lpstr>
      <vt:lpstr>levypage10!Print_Area</vt:lpstr>
      <vt:lpstr>levypage11!Print_Area</vt:lpstr>
      <vt:lpstr>levypage12!Print_Area</vt:lpstr>
      <vt:lpstr>'Library Grant'!Print_Area</vt:lpstr>
      <vt:lpstr>road!Print_Area</vt:lpstr>
      <vt:lpstr>'SpecRoad&amp;Noxious'!Print_Area</vt:lpstr>
      <vt:lpstr>summ!Print_Area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Dept. of Administration</dc:creator>
  <cp:lastModifiedBy>CLK - Tammy Bridges</cp:lastModifiedBy>
  <cp:lastPrinted>2014-07-08T19:33:29Z</cp:lastPrinted>
  <dcterms:created xsi:type="dcterms:W3CDTF">1998-08-26T16:30:41Z</dcterms:created>
  <dcterms:modified xsi:type="dcterms:W3CDTF">2014-12-31T17:43:02Z</dcterms:modified>
</cp:coreProperties>
</file>