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08" windowWidth="9636" windowHeight="5040" tabRatio="850" firstSheet="19"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<sst xmlns="http://schemas.openxmlformats.org/spreadsheetml/2006/main" count="1571" uniqueCount="952">
  <si>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</si>
  <si>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</si>
  <si>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</si>
  <si>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</si>
  <si>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</si>
  <si>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</si>
  <si>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</si>
  <si>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</si>
  <si>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</si>
  <si>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</si>
  <si>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</si>
  <si>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</si>
  <si>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</si>
  <si>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</si>
  <si>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</si>
  <si>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</si>
  <si>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</si>
  <si>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</si>
  <si>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</si>
  <si>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</si>
  <si>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</si>
  <si>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</si>
  <si>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</si>
  <si>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</si>
  <si>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</si>
  <si>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</si>
  <si>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</si>
  <si>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</si>
  <si>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</si>
  <si>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</si>
  <si>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</si>
  <si>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</si>
  <si>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</si>
  <si>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</si>
  <si>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</si>
  <si>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</si>
  <si>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</si>
  <si>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</si>
  <si>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</si>
  <si>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</si>
  <si>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</si>
  <si>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</si>
  <si>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</si>
  <si>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</si>
  <si>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</si>
  <si>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</si>
  <si>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</si>
  <si>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</si>
  <si>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</si>
  <si>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</si>
  <si>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</si>
  <si>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</si>
  <si>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</si>
  <si>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</si>
  <si>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</si>
  <si>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</si>
  <si>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</si>
  <si>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</si>
  <si>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</si>
  <si>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</si>
  <si>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</si>
  <si>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</si>
  <si>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</si>
  <si>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</si>
  <si>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</si>
  <si>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</si>
  <si>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</si>
  <si>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</si>
  <si>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</si>
  <si>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</si>
  <si>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</si>
  <si>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</si>
  <si>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</si>
  <si>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</si>
  <si>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</si>
  <si>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</si>
  <si>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</si>
  <si>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</si>
  <si>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</si>
  <si>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</si>
  <si>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</si>
  <si>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</si>
  <si>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</si>
  <si>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</si>
  <si>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</si>
  <si>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</si>
  <si>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</si>
  <si>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</si>
  <si>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</si>
  <si>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</si>
  <si>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</si>
  <si>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</si>
  <si>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</si>
  <si>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</si>
  <si>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</si>
  <si>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</si>
  <si>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</si>
  <si>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</si>
  <si>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</si>
  <si>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</si>
  <si>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</si>
  <si>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</si>
  <si>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</si>
  <si>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</si>
  <si>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</si>
  <si>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</si>
  <si>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</si>
  <si>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</si>
  <si>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</si>
  <si>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</si>
  <si>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</si>
  <si>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</si>
  <si>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</si>
  <si>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</si>
  <si>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</si>
  <si>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</si>
  <si>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</si>
  <si>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</si>
  <si>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</si>
  <si>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</si>
  <si>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</si>
  <si>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</si>
  <si>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</si>
  <si>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</si>
  <si>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</si>
  <si>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</si>
  <si>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</si>
  <si>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</si>
  <si>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</si>
  <si>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</si>
  <si>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</si>
  <si>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</si>
  <si>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</si>
  <si>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</si>
  <si>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</si>
  <si>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</si>
  <si>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</si>
  <si>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</si>
  <si>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</si>
  <si>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</si>
  <si>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</si>
  <si>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</si>
  <si>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</si>
  <si>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</si>
  <si>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</si>
  <si>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</si>
  <si>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</si>
  <si>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</si>
  <si>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</si>
  <si>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</si>
  <si>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</si>
  <si>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</si>
  <si>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</si>
  <si>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</si>
  <si>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</si>
  <si>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</si>
  <si>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</si>
  <si>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</si>
  <si>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</si>
  <si>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</si>
  <si>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</si>
  <si>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</si>
  <si>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</si>
  <si>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</si>
  <si>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</si>
  <si>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</si>
  <si>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</si>
  <si>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</si>
  <si>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</si>
  <si>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</si>
  <si>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</si>
  <si>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</si>
  <si>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</si>
  <si>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</si>
  <si>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</si>
  <si>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</si>
  <si>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</si>
  <si>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</si>
  <si>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</si>
  <si>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</si>
  <si>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</si>
  <si>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</si>
  <si>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</si>
  <si>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</si>
  <si>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</si>
  <si>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</si>
  <si>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</si>
  <si>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</si>
  <si>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</si>
  <si>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</si>
  <si>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</si>
  <si>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</si>
  <si>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</si>
  <si>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</si>
  <si>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</si>
  <si>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</si>
  <si>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</si>
  <si>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</si>
  <si>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</si>
  <si>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</si>
  <si>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</si>
  <si>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</si>
  <si>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</si>
  <si>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</si>
  <si>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</si>
  <si>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</si>
  <si>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</si>
  <si>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</si>
  <si>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</si>
  <si>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</si>
  <si>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</si>
  <si>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</si>
  <si>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</si>
  <si>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</si>
  <si>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</si>
  <si>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</si>
  <si>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</si>
  <si>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</si>
  <si>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</si>
  <si>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</si>
  <si>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</si>
  <si>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</si>
  <si>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</si>
  <si>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</si>
  <si>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</si>
  <si>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</si>
  <si>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</si>
  <si>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</si>
  <si>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</si>
  <si>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</si>
  <si>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</si>
  <si>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</si>
  <si>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</si>
  <si>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</si>
  <si>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</si>
  <si>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</si>
  <si>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</si>
  <si>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</si>
  <si>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</si>
  <si>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</si>
  <si>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</si>
  <si>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</si>
  <si>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</si>
  <si>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</si>
  <si>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</si>
  <si>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</si>
  <si>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</si>
  <si>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</si>
  <si>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</si>
  <si>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</si>
  <si>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</si>
  <si>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</si>
  <si>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</si>
  <si>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</si>
  <si>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</si>
  <si>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</si>
  <si>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</si>
  <si>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</si>
  <si>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</si>
  <si>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</si>
  <si>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</si>
  <si>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</si>
  <si>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</si>
  <si>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</si>
  <si>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</si>
  <si>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</si>
  <si>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</si>
  <si>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</si>
  <si>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</si>
  <si>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</si>
  <si>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</si>
  <si>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</si>
  <si>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</si>
  <si>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</si>
  <si>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</si>
  <si>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</si>
  <si>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</si>
  <si>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</si>
  <si>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</si>
  <si>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</si>
  <si>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</si>
  <si>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</si>
  <si>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</si>
  <si>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</si>
  <si>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</si>
  <si>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</si>
  <si>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</si>
  <si>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</si>
  <si>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</si>
  <si>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</si>
  <si>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</si>
  <si>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</si>
  <si>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</si>
  <si>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</si>
  <si>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</si>
  <si>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</si>
  <si>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</si>
  <si>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</si>
  <si>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</si>
  <si>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</si>
  <si>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</si>
  <si>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</si>
  <si>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</si>
  <si>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</si>
  <si>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</si>
  <si>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</si>
  <si>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</si>
  <si>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</si>
  <si>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</si>
  <si>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</si>
  <si>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</si>
  <si>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</si>
  <si>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</si>
  <si>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</si>
  <si>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</si>
  <si>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</si>
  <si>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</si>
  <si>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</si>
  <si>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</si>
  <si>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</si>
  <si>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</si>
  <si>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</si>
  <si>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</si>
  <si>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</si>
  <si>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</si>
  <si>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</si>
  <si>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</si>
  <si>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</si>
  <si>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</si>
  <si>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</si>
  <si>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</si>
  <si>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</si>
  <si>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</si>
  <si>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</si>
  <si>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</si>
  <si>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</si>
  <si>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</si>
  <si>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</si>
  <si>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</si>
  <si>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</si>
  <si>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</si>
  <si>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</si>
  <si>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</si>
  <si>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</si>
  <si>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</si>
  <si>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</si>
  <si>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</si>
  <si>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</si>
  <si>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</si>
  <si>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</si>
  <si>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</si>
  <si>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</si>
  <si>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</si>
  <si>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</si>
  <si>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</si>
  <si>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</si>
  <si>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</si>
  <si>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</si>
  <si>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</si>
  <si>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</si>
  <si>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</si>
  <si>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</si>
  <si>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</si>
  <si>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</si>
  <si>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</si>
  <si>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</si>
  <si>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</si>
  <si>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</si>
  <si>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</si>
  <si>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</si>
  <si>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</si>
  <si>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</si>
  <si>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</si>
  <si>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</si>
  <si>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</si>
  <si>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</si>
  <si>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</si>
  <si>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</si>
  <si>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</si>
  <si>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</si>
  <si>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</si>
  <si>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</si>
  <si>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</si>
  <si>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</si>
  <si>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</si>
  <si>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</si>
  <si>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</si>
  <si>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</si>
  <si>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</si>
  <si>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</si>
  <si>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</si>
  <si>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</si>
  <si>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</si>
  <si>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</si>
  <si>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</si>
  <si>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</si>
  <si>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</si>
  <si>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</si>
  <si>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</si>
  <si>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</si>
  <si>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</si>
  <si>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</si>
  <si>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</si>
  <si>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</si>
  <si>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</si>
  <si>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</si>
  <si>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</si>
  <si>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</si>
  <si>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</si>
  <si>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</si>
  <si>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</si>
  <si>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</si>
  <si>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</si>
  <si>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</si>
  <si>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</si>
  <si>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</si>
  <si>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</si>
  <si>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</si>
  <si>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</si>
  <si>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</si>
  <si>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</si>
  <si>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</si>
  <si>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</si>
  <si>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</si>
  <si>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</si>
  <si>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</si>
  <si>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</si>
  <si>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</si>
  <si>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</si>
  <si>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</si>
  <si>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</si>
  <si>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</si>
  <si>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</si>
  <si>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</si>
  <si>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</si>
  <si>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</si>
  <si>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</si>
  <si>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</si>
  <si>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</si>
  <si>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</si>
  <si>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</si>
  <si>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</si>
  <si>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</si>
  <si>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</si>
  <si>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</si>
  <si>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</si>
  <si>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</si>
  <si>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</si>
  <si>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</si>
  <si>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</si>
  <si>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</si>
  <si>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</si>
  <si>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</si>
  <si>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</si>
  <si>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</si>
  <si>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</si>
  <si>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</si>
  <si>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</si>
  <si>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</si>
  <si>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</si>
  <si>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</si>
  <si>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</si>
  <si>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</si>
  <si>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</si>
  <si>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</si>
  <si>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</si>
  <si>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</si>
  <si>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</si>
  <si>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</si>
  <si>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</si>
  <si>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</si>
  <si>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</si>
  <si>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</si>
  <si>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</si>
  <si>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</si>
  <si>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</si>
  <si>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</si>
  <si>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</si>
  <si>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</si>
  <si>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</si>
  <si>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</si>
  <si>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</si>
  <si>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</si>
  <si>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</si>
  <si>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</si>
  <si>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</si>
  <si>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</si>
  <si>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</si>
  <si>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</si>
  <si>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</si>
  <si>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</si>
  <si>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</si>
  <si>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</si>
  <si>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</si>
  <si>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</si>
  <si>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</si>
  <si>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</si>
  <si>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</si>
  <si>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</si>
  <si>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</si>
  <si>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</si>
  <si>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</si>
  <si>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</si>
  <si>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</si>
  <si>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</si>
  <si>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</si>
  <si>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</si>
  <si>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</si>
  <si>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</si>
  <si>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</si>
  <si>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</si>
  <si>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</si>
  <si>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</si>
  <si>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</si>
  <si>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</si>
  <si>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</si>
  <si>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</si>
  <si>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</si>
  <si>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</si>
  <si>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</si>
  <si>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</si>
  <si>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</si>
  <si>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</si>
  <si>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</si>
  <si>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</si>
  <si>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</si>
  <si>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</si>
  <si>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</si>
  <si>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</si>
  <si>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</si>
  <si>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</si>
  <si>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</si>
  <si>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</si>
  <si>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</si>
  <si>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</si>
  <si>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</si>
  <si>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</si>
  <si>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</si>
  <si>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</si>
  <si>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</si>
  <si>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</si>
  <si>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</si>
  <si>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</si>
  <si>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</si>
  <si>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</si>
  <si>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</si>
  <si>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</si>
  <si>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</si>
  <si>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</si>
  <si>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</si>
  <si>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</si>
  <si>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</si>
  <si>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</si>
  <si>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</si>
  <si>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</si>
  <si>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</si>
  <si>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</si>
  <si>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</si>
  <si>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</si>
  <si>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</si>
  <si>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</si>
  <si>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</si>
  <si>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</si>
  <si>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</si>
  <si>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</si>
  <si>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</si>
  <si>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</si>
  <si>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</si>
  <si>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</si>
  <si>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</si>
  <si>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</si>
  <si>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</si>
  <si>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</si>
  <si>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</si>
  <si>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</si>
  <si>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</si>
  <si>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</si>
  <si>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</si>
  <si>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</si>
  <si>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</si>
  <si>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</si>
  <si>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</si>
  <si>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</si>
  <si>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</si>
  <si>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</si>
  <si>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</si>
  <si>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</si>
  <si>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</si>
  <si>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</si>
  <si>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</si>
  <si>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</si>
  <si>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</si>
  <si>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</si>
  <si>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</si>
  <si>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</si>
  <si>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</si>
  <si>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</si>
  <si>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</si>
  <si>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</si>
  <si>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</si>
  <si>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</si>
  <si>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</si>
  <si>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</si>
  <si>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</si>
  <si>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</si>
  <si>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</si>
  <si>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</si>
  <si>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</si>
  <si>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</si>
  <si>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</si>
  <si>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</si>
  <si>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</si>
  <si>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</si>
  <si>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</si>
  <si>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</si>
  <si>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</si>
  <si>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</si>
  <si>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</si>
  <si>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</si>
  <si>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</si>
  <si>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</si>
  <si>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</si>
  <si>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</si>
  <si>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</si>
  <si>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</si>
  <si>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</si>
  <si>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</si>
  <si>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</si>
  <si>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</si>
  <si>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</si>
  <si>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</si>
  <si>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</si>
  <si>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</si>
  <si>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</si>
  <si>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</si>
  <si>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</si>
  <si>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</si>
  <si>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</si>
  <si>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</si>
  <si>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</si>
  <si>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</si>
  <si>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</si>
  <si>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</si>
  <si>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</si>
  <si>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</si>
  <si>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</si>
  <si>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</si>
  <si>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</si>
  <si>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</si>
  <si>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</si>
  <si>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</si>
  <si>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</si>
  <si>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</si>
  <si>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</si>
  <si>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</si>
  <si>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</si>
  <si>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</si>
  <si>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</si>
  <si>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</si>
  <si>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</si>
  <si>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</si>
  <si>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</si>
  <si>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</si>
  <si>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</si>
  <si>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</si>
  <si>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</si>
  <si>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</si>
  <si>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</si>
  <si>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</si>
  <si>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</si>
  <si>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</si>
  <si>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</si>
  <si>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</si>
  <si>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</si>
  <si>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</si>
  <si>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</si>
  <si>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</si>
  <si>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</si>
  <si>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</si>
  <si>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</si>
  <si>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</si>
  <si>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</si>
  <si>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</si>
  <si>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</si>
  <si>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</si>
  <si>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</si>
  <si>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</si>
  <si>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</si>
  <si>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</si>
  <si>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</si>
  <si>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</si>
  <si>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</si>
  <si>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</si>
  <si>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</si>
  <si>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</si>
  <si>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</si>
  <si>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</si>
  <si>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</si>
  <si>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</si>
  <si>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</si>
  <si>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</si>
  <si>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</si>
  <si>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</si>
  <si>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</si>
  <si>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</si>
  <si>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</si>
  <si>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</si>
  <si>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</si>
  <si>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</si>
  <si>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</si>
  <si>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</si>
  <si>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</si>
  <si>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</si>
  <si>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</si>
  <si>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</si>
  <si>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</si>
  <si>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</si>
  <si>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</si>
  <si>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</si>
  <si>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</si>
  <si>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</si>
  <si>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</si>
  <si>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</si>
  <si>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</si>
  <si>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</si>
  <si>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</si>
  <si>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</si>
  <si>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</si>
  <si>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</si>
  <si>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</si>
  <si>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</si>
  <si>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</si>
  <si>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</si>
  <si>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</si>
  <si>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</si>
  <si>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</si>
  <si>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</si>
  <si>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</si>
  <si>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</si>
  <si>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</si>
  <si>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</si>
  <si>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</si>
  <si>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</si>
  <si>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</si>
  <si>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</si>
  <si>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</si>
  <si>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</si>
  <si>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</si>
  <si>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</si>
  <si>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</si>
  <si>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</si>
  <si>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</si>
  <si>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</si>
  <si>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</si>
  <si>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</si>
  <si>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</si>
  <si>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</si>
  <si>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</si>
  <si>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</si>
  <si>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</si>
  <si>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</si>
  <si>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</si>
  <si>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</si>
  <si>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</si>
  <si>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</si>
  <si>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</si>
  <si>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</si>
  <si>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</si>
  <si>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</si>
  <si>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</si>
  <si>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</si>
  <si>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</si>
  <si>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</si>
  <si>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</si>
  <si>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</si>
  <si>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</si>
  <si>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</si>
  <si>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</si>
  <si>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</si>
  <si>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</si>
  <si>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</si>
  <si>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</si>
  <si>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</si>
  <si>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</si>
  <si>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</si>
  <si>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</si>
  <si>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</si>
  <si>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</si>
  <si>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</si>
  <si>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</si>
  <si>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</si>
  <si>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</si>
  <si>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</si>
  <si>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</si>
  <si>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</si>
  <si>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</si>
  <si>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</si>
  <si>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</si>
  <si>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</si>
  <si>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</si>
  <si>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</si>
  <si>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</si>
  <si>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</si>
  <si>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</si>
  <si>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</si>
  <si>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</si>
  <si>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</si>
  <si>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</si>
  <si>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</si>
  <si>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</si>
  <si>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</si>
  <si>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</si>
  <si>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</si>
  <si>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</si>
  <si>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</si>
  <si>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</si>
  <si>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</si>
  <si>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</si>
  <si>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</si>
  <si>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</si>
  <si>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</si>
  <si>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</si>
  <si>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</si>
  <si>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</si>
  <si>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</si>
  <si>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</si>
  <si>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</si>
  <si>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</si>
  <si>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</si>
  <si>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</si>
  <si>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</si>
  <si>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</si>
  <si>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</si>
  <si>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</si>
  <si>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</si>
  <si>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</si>
  <si>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</si>
  <si>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</si>
  <si>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</si>
  <si>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</si>
  <si>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</si>
  <si>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</si>
  <si>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</si>
  <si>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</si>
  <si>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</si>
  <si>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</si>
  <si>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</si>
  <si>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</si>
  <si>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</si>
  <si>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</si>
  <si>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</si>
  <si>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</si>
  <si>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</si>
  <si>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</si>
  <si>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</si>
  <si>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</si>
  <si>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</si>
  <si>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</si>
  <si>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</si>
  <si>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</si>
  <si>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</si>
  <si>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</si>
  <si>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</si>
  <si>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</si>
  <si>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</si>
  <si>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</si>
  <si>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</si>
  <si>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</si>
  <si>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</si>
  <si>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</si>
  <si>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</si>
  <si>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</si>
  <si>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</si>
  <si>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</si>
  <si>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</si>
  <si>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</si>
  <si>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</si>
  <si>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</si>
  <si>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</si>
  <si>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</si>
  <si>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</si>
  <si>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</si>
  <si>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</si>
  <si>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</si>
  <si>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</si>
  <si>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</si>
  <si>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</si>
  <si>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</si>
  <si>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</si>
  <si>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</si>
  <si>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</si>
  <si>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</si>
  <si>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</si>
  <si>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</si>
  <si>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</si>
  <si>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</si>
  <si>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</si>
  <si>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</si>
  <si>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</si>
  <si>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</si>
  <si>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</si>
  <si>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</si>
  <si>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</si>
  <si>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</si>
  <si>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</si>
  <si>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</si>
  <si>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</si>
  <si>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</si>
  <si>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</si>
  <si>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</si>
  <si>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</si>
  <si>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</si>
  <si>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</si>
  <si>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</si>
  <si>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</si>
  <si>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</si>
  <si>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</si>
  <si>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</si>
  <si>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</si>
  <si>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</si>
  <si>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</si>
  <si>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</si>
  <si>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</si>
  <si>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</si>
  <si>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</si>
  <si>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</si>
  <si>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</si>
  <si>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</si>
  <si>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</si>
  <si>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</si>
  <si>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</si>
  <si>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</si>
  <si>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</si>
  <si>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</si>
  <si>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</si>
  <si>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</si>
  <si>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</si>
  <si>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</si>
  <si>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</si>
  <si>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</si>
  <si>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</si>
  <si>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</si>
  <si>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Lincoln Township</t>
  </si>
  <si>
    <t>Ellsworth County</t>
  </si>
  <si>
    <t>Sold Old Grader</t>
  </si>
  <si>
    <t>Special Highway</t>
  </si>
  <si>
    <t>Road Fund</t>
  </si>
  <si>
    <t>Julie Nienke, Treasurer</t>
  </si>
  <si>
    <t>August 4, 2014</t>
  </si>
  <si>
    <t>7:30 p.m.</t>
  </si>
  <si>
    <t>Julie Nienke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</si>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</sst>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Lincoln Township</v>
      </c>
      <c r="C1" s="156"/>
      <c r="D1" s="156"/>
      <c r="E1" s="156"/>
      <c r="F1" s="156"/>
      <c r="G1" s="156"/>
      <c r="H1" s="156"/>
      <c r="I1" s="156"/>
      <c r="J1" s="3"/>
      <c r="K1" s="3"/>
      <c r="L1" s="4">
        <f>inputPrYr!D5</f>
        <v>2015</v>
      </c>
    </row>
    <row r="2" spans="2:12" ht="15">
      <c r="B2" s="155" t="str">
        <f>inputPrYr!$D$3</f>
        <v>Ellsworth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
      <c r="B18" s="826" t="s">
        <v>73</v>
      </c>
      <c r="C18" s="815"/>
      <c r="D18" s="815"/>
      <c r="E18" s="815"/>
      <c r="F18" s="815"/>
      <c r="G18" s="815"/>
      <c r="H18" s="815"/>
      <c r="I18" s="815"/>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7" t="s">
        <v>729</v>
      </c>
      <c r="C2" s="827"/>
      <c r="D2" s="827"/>
      <c r="E2" s="827"/>
      <c r="F2" s="827"/>
      <c r="G2" s="827"/>
      <c r="H2" s="827"/>
      <c r="I2" s="827"/>
    </row>
    <row r="3" spans="2:9" ht="15">
      <c r="B3" s="827" t="s">
        <v>730</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Lincoln Township</v>
      </c>
      <c r="C7" s="531"/>
      <c r="D7" s="531"/>
      <c r="E7" s="531"/>
      <c r="F7" s="531"/>
      <c r="G7" s="531"/>
      <c r="H7" s="531"/>
      <c r="I7" s="531"/>
    </row>
    <row r="8" spans="2:9" ht="15">
      <c r="B8" s="532" t="str">
        <f>inputPrYr!D3</f>
        <v>Ellsworth County</v>
      </c>
      <c r="C8" s="531"/>
      <c r="D8" s="531"/>
      <c r="E8" s="531"/>
      <c r="F8" s="531"/>
      <c r="G8" s="531"/>
      <c r="H8" s="531"/>
      <c r="I8" s="531"/>
    </row>
    <row r="9" spans="2:9" ht="15">
      <c r="B9" s="531"/>
      <c r="C9" s="531"/>
      <c r="D9" s="531"/>
      <c r="E9" s="531"/>
      <c r="F9" s="531"/>
      <c r="G9" s="531"/>
      <c r="H9" s="531"/>
      <c r="I9" s="531"/>
    </row>
    <row r="10" spans="2:9" ht="39" customHeight="1">
      <c r="B10" s="829" t="s">
        <v>731</v>
      </c>
      <c r="C10" s="829"/>
      <c r="D10" s="829"/>
      <c r="E10" s="829"/>
      <c r="F10" s="829"/>
      <c r="G10" s="829"/>
      <c r="H10" s="829"/>
      <c r="I10" s="829"/>
    </row>
    <row r="11" spans="2:9" ht="15">
      <c r="B11" s="531"/>
      <c r="C11" s="531"/>
      <c r="D11" s="531"/>
      <c r="E11" s="531"/>
      <c r="F11" s="531"/>
      <c r="G11" s="531"/>
      <c r="H11" s="531"/>
      <c r="I11" s="531"/>
    </row>
    <row r="12" spans="2:9" ht="15">
      <c r="B12" s="533" t="s">
        <v>732</v>
      </c>
      <c r="C12" s="531"/>
      <c r="D12" s="531"/>
      <c r="E12" s="531"/>
      <c r="F12" s="531"/>
      <c r="G12" s="531"/>
      <c r="H12" s="531"/>
      <c r="I12" s="531"/>
    </row>
    <row r="13" spans="2:9" ht="15">
      <c r="B13" s="531"/>
      <c r="C13" s="531"/>
      <c r="D13" s="531"/>
      <c r="E13" s="534" t="s">
        <v>12</v>
      </c>
      <c r="F13" s="531"/>
      <c r="G13" s="534" t="s">
        <v>733</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138</v>
      </c>
      <c r="C20" s="531"/>
      <c r="D20" s="531"/>
      <c r="E20" s="536">
        <v>0</v>
      </c>
      <c r="F20" s="531"/>
      <c r="G20" s="536">
        <v>0</v>
      </c>
      <c r="H20" s="531"/>
      <c r="I20" s="531"/>
    </row>
    <row r="21" spans="2:9" ht="15">
      <c r="B21" s="531"/>
      <c r="C21" s="531"/>
      <c r="D21" s="531"/>
      <c r="E21" s="536">
        <v>0</v>
      </c>
      <c r="F21" s="531"/>
      <c r="G21" s="536">
        <v>0</v>
      </c>
      <c r="H21" s="531"/>
      <c r="I21" s="531"/>
    </row>
    <row r="22" spans="2:9" ht="15">
      <c r="B22" s="531" t="s">
        <v>734</v>
      </c>
      <c r="C22" s="531"/>
      <c r="D22" s="531"/>
      <c r="E22" s="537">
        <f>SUM(E15:E21)</f>
        <v>0</v>
      </c>
      <c r="F22" s="531"/>
      <c r="G22" s="537">
        <f>SUM(G15:G21)</f>
        <v>0</v>
      </c>
      <c r="H22" s="531"/>
      <c r="I22" s="531"/>
    </row>
    <row r="23" spans="2:9" ht="15">
      <c r="B23" s="531" t="s">
        <v>735</v>
      </c>
      <c r="C23" s="531"/>
      <c r="D23" s="531"/>
      <c r="E23" s="538">
        <f>G22-E22</f>
        <v>0</v>
      </c>
      <c r="F23" s="531"/>
      <c r="G23" s="539"/>
      <c r="H23" s="531"/>
      <c r="I23" s="531"/>
    </row>
    <row r="24" spans="2:9" ht="15">
      <c r="B24" s="531" t="s">
        <v>736</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737</v>
      </c>
      <c r="C26" s="531"/>
      <c r="D26" s="531"/>
      <c r="E26" s="531"/>
      <c r="F26" s="531"/>
      <c r="G26" s="531"/>
      <c r="H26" s="531"/>
      <c r="I26" s="531"/>
    </row>
    <row r="27" spans="2:9" ht="15">
      <c r="B27" s="531" t="s">
        <v>738</v>
      </c>
      <c r="C27" s="531"/>
      <c r="D27" s="531"/>
      <c r="E27" s="536">
        <f>summ!E37</f>
        <v>1167682</v>
      </c>
      <c r="F27" s="531"/>
      <c r="G27" s="536">
        <f>summ!G37</f>
        <v>1347781</v>
      </c>
      <c r="H27" s="531"/>
      <c r="I27" s="531"/>
    </row>
    <row r="28" spans="2:9" ht="15">
      <c r="B28" s="531" t="s">
        <v>739</v>
      </c>
      <c r="C28" s="531"/>
      <c r="D28" s="531"/>
      <c r="E28" s="541" t="str">
        <f>IF(G27-E27&gt;=0,"No","Yes")</f>
        <v>No</v>
      </c>
      <c r="F28" s="531"/>
      <c r="G28" s="531"/>
      <c r="H28" s="531"/>
      <c r="I28" s="531"/>
    </row>
    <row r="29" spans="2:9" ht="15">
      <c r="B29" s="531" t="s">
        <v>740</v>
      </c>
      <c r="C29" s="531"/>
      <c r="D29" s="531"/>
      <c r="E29" s="542" t="str">
        <f>summ!F20</f>
        <v>  </v>
      </c>
      <c r="F29" s="531"/>
      <c r="G29" s="542" t="str">
        <f>summ!I20</f>
        <v> </v>
      </c>
      <c r="H29" s="531"/>
      <c r="I29" s="531"/>
    </row>
    <row r="30" spans="2:9" ht="15">
      <c r="B30" s="531" t="s">
        <v>741</v>
      </c>
      <c r="C30" s="531"/>
      <c r="D30" s="531"/>
      <c r="E30" s="543" t="e">
        <f>G29-E29</f>
        <v>#VALUE!</v>
      </c>
      <c r="F30" s="531"/>
      <c r="G30" s="531"/>
      <c r="H30" s="531"/>
      <c r="I30" s="531"/>
    </row>
    <row r="31" spans="2:9" ht="15">
      <c r="B31" s="531" t="s">
        <v>736</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742</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743</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744</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745</v>
      </c>
      <c r="C43" s="831"/>
      <c r="D43" s="831"/>
      <c r="E43" s="831"/>
      <c r="F43" s="831"/>
      <c r="G43" s="831"/>
      <c r="H43" s="831"/>
      <c r="I43" s="831"/>
    </row>
    <row r="44" spans="2:9" ht="15">
      <c r="B44" s="531"/>
      <c r="C44" s="531"/>
      <c r="D44" s="531"/>
      <c r="E44" s="531"/>
      <c r="F44" s="531"/>
      <c r="G44" s="531"/>
      <c r="H44" s="531"/>
      <c r="I44" s="531"/>
    </row>
    <row r="45" spans="2:9" ht="15">
      <c r="B45" s="548" t="s">
        <v>746</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747</v>
      </c>
      <c r="C49" s="548"/>
      <c r="D49" s="549"/>
      <c r="E49" s="549"/>
      <c r="F49" s="549"/>
      <c r="G49" s="549"/>
      <c r="H49" s="549"/>
      <c r="I49" s="549"/>
    </row>
    <row r="50" spans="2:9" ht="15">
      <c r="B50" s="548" t="s">
        <v>748</v>
      </c>
      <c r="C50" s="548"/>
      <c r="D50" s="549"/>
      <c r="E50" s="549"/>
      <c r="F50" s="549"/>
      <c r="G50" s="549"/>
      <c r="H50" s="549"/>
      <c r="I50" s="549"/>
    </row>
    <row r="51" spans="2:9" ht="15">
      <c r="B51" s="548" t="s">
        <v>749</v>
      </c>
      <c r="C51" s="548"/>
      <c r="D51" s="549"/>
      <c r="E51" s="549"/>
      <c r="F51" s="549"/>
      <c r="G51" s="549"/>
      <c r="H51" s="549"/>
      <c r="I51" s="549"/>
    </row>
    <row r="52" spans="2:9" ht="15">
      <c r="B52" s="549"/>
      <c r="C52" s="549"/>
      <c r="D52" s="549"/>
      <c r="E52" s="549"/>
      <c r="F52" s="549"/>
      <c r="G52" s="549"/>
      <c r="H52" s="549"/>
      <c r="I52" s="549"/>
    </row>
    <row r="53" spans="2:9" ht="15">
      <c r="B53" s="550" t="s">
        <v>750</v>
      </c>
      <c r="C53" s="549"/>
      <c r="D53" s="549"/>
      <c r="E53" s="549"/>
      <c r="F53" s="549"/>
      <c r="G53" s="549"/>
      <c r="H53" s="549"/>
      <c r="I53" s="549"/>
    </row>
    <row r="54" spans="2:9" ht="15">
      <c r="B54" s="549"/>
      <c r="C54" s="549"/>
      <c r="D54" s="549"/>
      <c r="E54" s="549"/>
      <c r="F54" s="549"/>
      <c r="G54" s="549"/>
      <c r="H54" s="549"/>
      <c r="I54" s="549"/>
    </row>
    <row r="55" spans="2:9" ht="15">
      <c r="B55" s="548" t="s">
        <v>751</v>
      </c>
      <c r="C55" s="549"/>
      <c r="D55" s="549"/>
      <c r="E55" s="549"/>
      <c r="F55" s="549"/>
      <c r="G55" s="549"/>
      <c r="H55" s="549"/>
      <c r="I55" s="549"/>
    </row>
    <row r="56" spans="2:9" ht="15">
      <c r="B56" s="548" t="s">
        <v>752</v>
      </c>
      <c r="C56" s="549"/>
      <c r="D56" s="549"/>
      <c r="E56" s="549"/>
      <c r="F56" s="549"/>
      <c r="G56" s="549"/>
      <c r="H56" s="549"/>
      <c r="I56" s="549"/>
    </row>
    <row r="57" spans="2:9" ht="15">
      <c r="B57" s="549"/>
      <c r="C57" s="549"/>
      <c r="D57" s="549"/>
      <c r="E57" s="549"/>
      <c r="F57" s="549"/>
      <c r="G57" s="549"/>
      <c r="H57" s="549"/>
      <c r="I57" s="549"/>
    </row>
    <row r="58" spans="2:9" ht="15">
      <c r="B58" s="550" t="s">
        <v>753</v>
      </c>
      <c r="C58" s="548"/>
      <c r="D58" s="548"/>
      <c r="E58" s="548"/>
      <c r="F58" s="548"/>
      <c r="G58" s="549"/>
      <c r="H58" s="549"/>
      <c r="I58" s="549"/>
    </row>
    <row r="59" spans="2:9" ht="15">
      <c r="B59" s="548"/>
      <c r="C59" s="548"/>
      <c r="D59" s="548"/>
      <c r="E59" s="548"/>
      <c r="F59" s="548"/>
      <c r="G59" s="549"/>
      <c r="H59" s="549"/>
      <c r="I59" s="549"/>
    </row>
    <row r="60" spans="2:9" ht="15">
      <c r="B60" s="548" t="s">
        <v>754</v>
      </c>
      <c r="C60" s="548"/>
      <c r="D60" s="548"/>
      <c r="E60" s="548"/>
      <c r="F60" s="548"/>
      <c r="G60" s="549"/>
      <c r="H60" s="549"/>
      <c r="I60" s="549"/>
    </row>
    <row r="61" spans="2:9" ht="15">
      <c r="B61" s="548" t="s">
        <v>755</v>
      </c>
      <c r="C61" s="548"/>
      <c r="D61" s="548"/>
      <c r="E61" s="548"/>
      <c r="F61" s="548"/>
      <c r="G61" s="549"/>
      <c r="H61" s="549"/>
      <c r="I61" s="549"/>
    </row>
    <row r="62" spans="2:9" ht="15">
      <c r="B62" s="548" t="s">
        <v>756</v>
      </c>
      <c r="C62" s="548"/>
      <c r="D62" s="548"/>
      <c r="E62" s="548"/>
      <c r="F62" s="548"/>
      <c r="G62" s="549"/>
      <c r="H62" s="549"/>
      <c r="I62" s="549"/>
    </row>
    <row r="63" spans="2:9" ht="15">
      <c r="B63" s="548" t="s">
        <v>757</v>
      </c>
      <c r="C63" s="548"/>
      <c r="D63" s="548"/>
      <c r="E63" s="548"/>
      <c r="F63" s="548"/>
      <c r="G63" s="549"/>
      <c r="H63" s="549"/>
      <c r="I63" s="549"/>
    </row>
    <row r="64" spans="2:9" ht="15">
      <c r="B64" s="551"/>
      <c r="C64" s="551"/>
      <c r="D64" s="551"/>
      <c r="E64" s="551"/>
      <c r="F64" s="551"/>
      <c r="G64" s="549"/>
      <c r="H64" s="549"/>
      <c r="I64" s="549"/>
    </row>
    <row r="65" spans="2:9" ht="15">
      <c r="B65" s="548" t="s">
        <v>758</v>
      </c>
      <c r="C65" s="551"/>
      <c r="D65" s="551"/>
      <c r="E65" s="551"/>
      <c r="F65" s="551"/>
      <c r="G65" s="549"/>
      <c r="H65" s="549"/>
      <c r="I65" s="549"/>
    </row>
    <row r="66" spans="2:9" ht="15">
      <c r="B66" s="548" t="s">
        <v>759</v>
      </c>
      <c r="C66" s="551"/>
      <c r="D66" s="551"/>
      <c r="E66" s="551"/>
      <c r="F66" s="551"/>
      <c r="G66" s="549"/>
      <c r="H66" s="549"/>
      <c r="I66" s="549"/>
    </row>
    <row r="67" spans="2:9" ht="15">
      <c r="B67" s="551"/>
      <c r="C67" s="551"/>
      <c r="D67" s="551"/>
      <c r="E67" s="551"/>
      <c r="F67" s="551"/>
      <c r="G67" s="549"/>
      <c r="H67" s="549"/>
      <c r="I67" s="549"/>
    </row>
    <row r="68" spans="2:9" ht="15">
      <c r="B68" s="548" t="s">
        <v>760</v>
      </c>
      <c r="C68" s="551"/>
      <c r="D68" s="551"/>
      <c r="E68" s="551"/>
      <c r="F68" s="551"/>
      <c r="G68" s="549"/>
      <c r="H68" s="549"/>
      <c r="I68" s="549"/>
    </row>
    <row r="69" spans="2:9" ht="15">
      <c r="B69" s="548" t="s">
        <v>761</v>
      </c>
      <c r="C69" s="551"/>
      <c r="D69" s="551"/>
      <c r="E69" s="551"/>
      <c r="F69" s="551"/>
      <c r="G69" s="549"/>
      <c r="H69" s="549"/>
      <c r="I69" s="549"/>
    </row>
    <row r="70" spans="2:9" ht="15">
      <c r="B70" s="551"/>
      <c r="C70" s="551"/>
      <c r="D70" s="551"/>
      <c r="E70" s="551"/>
      <c r="F70" s="551"/>
      <c r="G70" s="549"/>
      <c r="H70" s="549"/>
      <c r="I70" s="549"/>
    </row>
    <row r="71" spans="2:9" ht="15">
      <c r="B71" s="550" t="s">
        <v>762</v>
      </c>
      <c r="C71" s="551"/>
      <c r="D71" s="551"/>
      <c r="E71" s="551"/>
      <c r="F71" s="551"/>
      <c r="G71" s="549"/>
      <c r="H71" s="549"/>
      <c r="I71" s="549"/>
    </row>
    <row r="72" spans="2:9" ht="15">
      <c r="B72" s="551"/>
      <c r="C72" s="551"/>
      <c r="D72" s="551"/>
      <c r="E72" s="551"/>
      <c r="F72" s="551"/>
      <c r="G72" s="549"/>
      <c r="H72" s="549"/>
      <c r="I72" s="549"/>
    </row>
    <row r="73" spans="2:9" ht="15">
      <c r="B73" s="548" t="s">
        <v>763</v>
      </c>
      <c r="C73" s="551"/>
      <c r="D73" s="551"/>
      <c r="E73" s="551"/>
      <c r="F73" s="551"/>
      <c r="G73" s="549"/>
      <c r="H73" s="549"/>
      <c r="I73" s="549"/>
    </row>
    <row r="74" spans="2:9" ht="15">
      <c r="B74" s="548" t="s">
        <v>764</v>
      </c>
      <c r="C74" s="551"/>
      <c r="D74" s="551"/>
      <c r="E74" s="551"/>
      <c r="F74" s="551"/>
      <c r="G74" s="549"/>
      <c r="H74" s="549"/>
      <c r="I74" s="549"/>
    </row>
    <row r="75" spans="2:9" ht="15">
      <c r="B75" s="551"/>
      <c r="C75" s="551"/>
      <c r="D75" s="551"/>
      <c r="E75" s="551"/>
      <c r="F75" s="551"/>
      <c r="G75" s="549"/>
      <c r="H75" s="549"/>
      <c r="I75" s="549"/>
    </row>
    <row r="76" spans="2:9" ht="15">
      <c r="B76" s="550" t="s">
        <v>765</v>
      </c>
      <c r="C76" s="551"/>
      <c r="D76" s="551"/>
      <c r="E76" s="551"/>
      <c r="F76" s="551"/>
      <c r="G76" s="549"/>
      <c r="H76" s="549"/>
      <c r="I76" s="549"/>
    </row>
    <row r="77" spans="2:9" ht="15">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766</v>
      </c>
      <c r="C79" s="551"/>
      <c r="D79" s="551"/>
      <c r="E79" s="551"/>
      <c r="F79" s="551"/>
      <c r="G79" s="549"/>
      <c r="H79" s="549"/>
      <c r="I79" s="549"/>
    </row>
    <row r="80" spans="2:9" ht="15">
      <c r="B80" s="551"/>
      <c r="C80" s="551"/>
      <c r="D80" s="551"/>
      <c r="E80" s="551"/>
      <c r="F80" s="551"/>
      <c r="G80" s="549"/>
      <c r="H80" s="549"/>
      <c r="I80" s="549"/>
    </row>
    <row r="81" spans="2:9" ht="15">
      <c r="B81" s="550" t="s">
        <v>364</v>
      </c>
      <c r="C81" s="551"/>
      <c r="D81" s="551"/>
      <c r="E81" s="551"/>
      <c r="F81" s="551"/>
      <c r="G81" s="549"/>
      <c r="H81" s="549"/>
      <c r="I81" s="549"/>
    </row>
    <row r="82" spans="2:9" ht="15">
      <c r="B82" s="551"/>
      <c r="C82" s="551"/>
      <c r="D82" s="551"/>
      <c r="E82" s="551"/>
      <c r="F82" s="551"/>
      <c r="G82" s="549"/>
      <c r="H82" s="549"/>
      <c r="I82" s="549"/>
    </row>
    <row r="83" spans="2:9" ht="15">
      <c r="B83" s="548" t="s">
        <v>767</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
      <c r="B86" s="548" t="s">
        <v>768</v>
      </c>
      <c r="C86" s="551"/>
      <c r="D86" s="551"/>
      <c r="E86" s="551"/>
      <c r="F86" s="551"/>
      <c r="G86" s="549"/>
      <c r="H86" s="549"/>
      <c r="I86" s="549"/>
    </row>
    <row r="87" spans="2:9" ht="15">
      <c r="B87" s="548" t="s">
        <v>769</v>
      </c>
      <c r="C87" s="551"/>
      <c r="D87" s="551"/>
      <c r="E87" s="551"/>
      <c r="F87" s="551"/>
      <c r="G87" s="549"/>
      <c r="H87" s="549"/>
      <c r="I87" s="549"/>
    </row>
    <row r="88" spans="2:9" ht="15">
      <c r="B88" s="548" t="s">
        <v>770</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771</v>
      </c>
      <c r="C92" s="551"/>
      <c r="D92" s="551"/>
      <c r="E92" s="551"/>
      <c r="F92" s="551"/>
      <c r="G92" s="549"/>
      <c r="H92" s="549"/>
      <c r="I92" s="549"/>
    </row>
    <row r="93" spans="2:9" ht="15">
      <c r="B93" s="548" t="s">
        <v>772</v>
      </c>
      <c r="C93" s="551"/>
      <c r="D93" s="551"/>
      <c r="E93" s="551"/>
      <c r="F93" s="551"/>
      <c r="G93" s="549"/>
      <c r="H93" s="549"/>
      <c r="I93" s="549"/>
    </row>
    <row r="94" spans="2:9" ht="15">
      <c r="B94" s="548" t="s">
        <v>773</v>
      </c>
      <c r="C94" s="551"/>
      <c r="D94" s="551"/>
      <c r="E94" s="551"/>
      <c r="F94" s="551"/>
      <c r="G94" s="549"/>
      <c r="H94" s="549"/>
      <c r="I94" s="549"/>
    </row>
    <row r="95" spans="2:9" ht="15">
      <c r="B95" s="551"/>
      <c r="C95" s="551"/>
      <c r="D95" s="551"/>
      <c r="E95" s="551"/>
      <c r="F95" s="551"/>
      <c r="G95" s="549"/>
      <c r="H95" s="549"/>
      <c r="I95" s="549"/>
    </row>
    <row r="96" spans="2:9" ht="15">
      <c r="B96" s="550" t="s">
        <v>774</v>
      </c>
      <c r="C96" s="551"/>
      <c r="D96" s="551"/>
      <c r="E96" s="551"/>
      <c r="F96" s="551"/>
      <c r="G96" s="549"/>
      <c r="H96" s="549"/>
      <c r="I96" s="549"/>
    </row>
    <row r="97" spans="2:9" ht="15">
      <c r="B97" s="551"/>
      <c r="C97" s="551"/>
      <c r="D97" s="551"/>
      <c r="E97" s="551"/>
      <c r="F97" s="551"/>
      <c r="G97" s="549"/>
      <c r="H97" s="549"/>
      <c r="I97" s="549"/>
    </row>
    <row r="98" spans="2:9" ht="15">
      <c r="B98" s="548" t="s">
        <v>775</v>
      </c>
      <c r="C98" s="551"/>
      <c r="D98" s="551"/>
      <c r="E98" s="551"/>
      <c r="F98" s="551"/>
      <c r="G98" s="549"/>
      <c r="H98" s="549"/>
      <c r="I98" s="549"/>
    </row>
    <row r="99" spans="2:9" ht="15">
      <c r="B99" s="548" t="s">
        <v>776</v>
      </c>
      <c r="C99" s="551"/>
      <c r="D99" s="551"/>
      <c r="E99" s="551"/>
      <c r="F99" s="551"/>
      <c r="G99" s="549"/>
      <c r="H99" s="549"/>
      <c r="I99" s="549"/>
    </row>
    <row r="100" spans="2:9" ht="15">
      <c r="B100" s="551"/>
      <c r="C100" s="551"/>
      <c r="D100" s="551"/>
      <c r="E100" s="551"/>
      <c r="F100" s="551"/>
      <c r="G100" s="549"/>
      <c r="H100" s="549"/>
      <c r="I100" s="549"/>
    </row>
    <row r="101" spans="2:9" ht="15">
      <c r="B101" s="548" t="s">
        <v>777</v>
      </c>
      <c r="C101" s="551"/>
      <c r="D101" s="551"/>
      <c r="E101" s="551"/>
      <c r="F101" s="551"/>
      <c r="G101" s="549"/>
      <c r="H101" s="549"/>
      <c r="I101" s="549"/>
    </row>
    <row r="102" spans="2:9" ht="15">
      <c r="B102" s="548" t="s">
        <v>778</v>
      </c>
      <c r="C102" s="551"/>
      <c r="D102" s="551"/>
      <c r="E102" s="551"/>
      <c r="F102" s="551"/>
      <c r="G102" s="549"/>
      <c r="H102" s="549"/>
      <c r="I102" s="549"/>
    </row>
    <row r="103" spans="2:9" ht="15">
      <c r="B103" s="548" t="s">
        <v>779</v>
      </c>
      <c r="C103" s="551"/>
      <c r="D103" s="551"/>
      <c r="E103" s="551"/>
      <c r="F103" s="551"/>
      <c r="G103" s="549"/>
      <c r="H103" s="549"/>
      <c r="I103" s="549"/>
    </row>
    <row r="104" spans="2:9" ht="15">
      <c r="B104" s="548" t="s">
        <v>780</v>
      </c>
      <c r="C104" s="551"/>
      <c r="D104" s="551"/>
      <c r="E104" s="551"/>
      <c r="F104" s="551"/>
      <c r="G104" s="549"/>
      <c r="H104" s="549"/>
      <c r="I104" s="549"/>
    </row>
    <row r="105" spans="2:9" ht="1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E30" sqref="E30"/>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Lincoln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1530</v>
      </c>
      <c r="D6" s="364">
        <f>C51</f>
        <v>3263</v>
      </c>
      <c r="E6" s="21">
        <f>D51</f>
        <v>1997</v>
      </c>
    </row>
    <row r="7" spans="2:5" ht="15">
      <c r="B7" s="16" t="s">
        <v>111</v>
      </c>
      <c r="C7" s="364"/>
      <c r="D7" s="364"/>
      <c r="E7" s="22"/>
    </row>
    <row r="8" spans="2:5" ht="15">
      <c r="B8" s="16" t="s">
        <v>16</v>
      </c>
      <c r="C8" s="18">
        <v>26624</v>
      </c>
      <c r="D8" s="364">
        <f>IF(inputPrYr!H15&gt;0,inputPrYr!G16,inputPrYr!E16)</f>
        <v>26966</v>
      </c>
      <c r="E8" s="22" t="s">
        <v>266</v>
      </c>
    </row>
    <row r="9" spans="2:5" ht="15">
      <c r="B9" s="16" t="s">
        <v>17</v>
      </c>
      <c r="C9" s="18">
        <v>50</v>
      </c>
      <c r="D9" s="18"/>
      <c r="E9" s="23"/>
    </row>
    <row r="10" spans="2:5" ht="15">
      <c r="B10" s="16" t="s">
        <v>18</v>
      </c>
      <c r="C10" s="18">
        <v>1731</v>
      </c>
      <c r="D10" s="18">
        <v>1292</v>
      </c>
      <c r="E10" s="21">
        <f>mvalloc!G11</f>
        <v>1576</v>
      </c>
    </row>
    <row r="11" spans="2:5" ht="15">
      <c r="B11" s="16" t="s">
        <v>19</v>
      </c>
      <c r="C11" s="18">
        <v>21</v>
      </c>
      <c r="D11" s="18">
        <v>57</v>
      </c>
      <c r="E11" s="21">
        <f>mvalloc!I11</f>
        <v>20</v>
      </c>
    </row>
    <row r="12" spans="2:5" ht="15">
      <c r="B12" s="24" t="s">
        <v>69</v>
      </c>
      <c r="C12" s="18">
        <v>770</v>
      </c>
      <c r="D12" s="18">
        <v>624</v>
      </c>
      <c r="E12" s="21">
        <f>mvalloc!J11</f>
        <v>646</v>
      </c>
    </row>
    <row r="13" spans="2:5" ht="15">
      <c r="B13" s="24" t="s">
        <v>138</v>
      </c>
      <c r="C13" s="18"/>
      <c r="D13" s="18"/>
      <c r="E13" s="21">
        <f>inputOth!E35</f>
        <v>0</v>
      </c>
    </row>
    <row r="14" spans="2:5" ht="15">
      <c r="B14" s="16" t="s">
        <v>20</v>
      </c>
      <c r="C14" s="18"/>
      <c r="D14" s="18"/>
      <c r="E14" s="21">
        <f>inputOth!E12</f>
        <v>0</v>
      </c>
    </row>
    <row r="15" spans="2:5" ht="15">
      <c r="B15" s="26" t="s">
        <v>944</v>
      </c>
      <c r="C15" s="18">
        <v>1693</v>
      </c>
      <c r="D15" s="18"/>
      <c r="E15" s="25"/>
    </row>
    <row r="16" spans="2:5" ht="15">
      <c r="B16" s="26" t="s">
        <v>945</v>
      </c>
      <c r="C16" s="18">
        <v>2170</v>
      </c>
      <c r="D16" s="18">
        <v>2207</v>
      </c>
      <c r="E16" s="23">
        <v>1224.7</v>
      </c>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v>30</v>
      </c>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33089</v>
      </c>
      <c r="D26" s="366">
        <f>SUM(D8:D24)</f>
        <v>31146</v>
      </c>
      <c r="E26" s="31">
        <f>SUM(E8:E24)</f>
        <v>3466.7</v>
      </c>
    </row>
    <row r="27" spans="2:5" ht="15">
      <c r="B27" s="32" t="s">
        <v>24</v>
      </c>
      <c r="C27" s="366">
        <f>C26+C6</f>
        <v>34619</v>
      </c>
      <c r="D27" s="366">
        <f>D26+D6</f>
        <v>34409</v>
      </c>
      <c r="E27" s="31">
        <f>E26+E6</f>
        <v>5463.7</v>
      </c>
    </row>
    <row r="28" spans="2:5" ht="15">
      <c r="B28" s="16" t="s">
        <v>25</v>
      </c>
      <c r="C28" s="364"/>
      <c r="D28" s="364"/>
      <c r="E28" s="21"/>
    </row>
    <row r="29" spans="2:5" ht="15">
      <c r="B29" s="26"/>
      <c r="C29" s="18">
        <v>1786</v>
      </c>
      <c r="D29" s="18">
        <v>1800</v>
      </c>
      <c r="E29" s="23">
        <v>1800</v>
      </c>
    </row>
    <row r="30" spans="2:5" ht="15">
      <c r="B30" s="27" t="s">
        <v>101</v>
      </c>
      <c r="C30" s="18">
        <v>1800</v>
      </c>
      <c r="D30" s="18"/>
      <c r="E30" s="23"/>
    </row>
    <row r="31" spans="2:5" ht="15">
      <c r="B31" s="27" t="s">
        <v>116</v>
      </c>
      <c r="C31" s="18">
        <v>292</v>
      </c>
      <c r="D31" s="18"/>
      <c r="E31" s="23"/>
    </row>
    <row r="32" spans="2:5" ht="15">
      <c r="B32" s="27" t="s">
        <v>102</v>
      </c>
      <c r="C32" s="18"/>
      <c r="D32" s="18"/>
      <c r="E32" s="23"/>
    </row>
    <row r="33" spans="2:5" ht="15">
      <c r="B33" s="27" t="s">
        <v>36</v>
      </c>
      <c r="C33" s="18"/>
      <c r="D33" s="18"/>
      <c r="E33" s="23"/>
    </row>
    <row r="34" spans="2:5" ht="15">
      <c r="B34" s="26" t="s">
        <v>103</v>
      </c>
      <c r="C34" s="18"/>
      <c r="D34" s="18"/>
      <c r="E34" s="23"/>
    </row>
    <row r="35" spans="2:5" ht="15">
      <c r="B35" s="26" t="s">
        <v>117</v>
      </c>
      <c r="C35" s="18"/>
      <c r="D35" s="18"/>
      <c r="E35" s="23"/>
    </row>
    <row r="36" spans="2:5" ht="15">
      <c r="B36" s="27" t="s">
        <v>119</v>
      </c>
      <c r="C36" s="18">
        <v>2627</v>
      </c>
      <c r="D36" s="18"/>
      <c r="E36" s="23">
        <v>1500</v>
      </c>
    </row>
    <row r="37" spans="2:5" ht="15">
      <c r="B37" s="27" t="s">
        <v>946</v>
      </c>
      <c r="C37" s="18">
        <v>17104</v>
      </c>
      <c r="D37" s="18">
        <v>30612</v>
      </c>
      <c r="E37" s="23">
        <v>30231</v>
      </c>
    </row>
    <row r="38" spans="2:5" ht="15">
      <c r="B38" s="26"/>
      <c r="C38" s="18"/>
      <c r="D38" s="18"/>
      <c r="E38" s="23"/>
    </row>
    <row r="39" spans="2:5" ht="15">
      <c r="B39" s="27"/>
      <c r="C39" s="18"/>
      <c r="D39" s="18"/>
      <c r="E39" s="23"/>
    </row>
    <row r="40" spans="2:5" ht="15">
      <c r="B40" s="27"/>
      <c r="C40" s="18"/>
      <c r="D40" s="18"/>
      <c r="E40" s="23"/>
    </row>
    <row r="41" spans="2:10" ht="1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v>7747</v>
      </c>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
      <c r="B48" s="24" t="s">
        <v>189</v>
      </c>
      <c r="C48" s="18"/>
      <c r="D48" s="18"/>
      <c r="E48" s="23"/>
      <c r="G48" s="838" t="str">
        <f>CONCATENATE("Projected Carryover Into ",E1+1,"")</f>
        <v>Projected Carryover Into 2016</v>
      </c>
      <c r="H48" s="839"/>
      <c r="I48" s="839"/>
      <c r="J48" s="840"/>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31356</v>
      </c>
      <c r="D50" s="358">
        <f>SUM(D29:D48)</f>
        <v>32412</v>
      </c>
      <c r="E50" s="36">
        <f>SUM(E29:E43,E45,E47:E48)</f>
        <v>33531</v>
      </c>
      <c r="G50" s="459">
        <f>D51</f>
        <v>1997</v>
      </c>
      <c r="H50" s="460" t="str">
        <f>CONCATENATE("",E1-1," Ending Cash Balance (est.)")</f>
        <v>2014 Ending Cash Balance (est.)</v>
      </c>
      <c r="I50" s="461"/>
      <c r="J50" s="245"/>
    </row>
    <row r="51" spans="2:10" ht="15">
      <c r="B51" s="16" t="s">
        <v>110</v>
      </c>
      <c r="C51" s="359">
        <f>C27-C50</f>
        <v>3263</v>
      </c>
      <c r="D51" s="359">
        <f>SUM(D27-D50)</f>
        <v>1997</v>
      </c>
      <c r="E51" s="22" t="s">
        <v>266</v>
      </c>
      <c r="G51" s="459">
        <f>E26</f>
        <v>3466.7</v>
      </c>
      <c r="H51" s="462" t="str">
        <f>CONCATENATE("",E1," Non-AV Receipts (est.)")</f>
        <v>2015 Non-AV Receipts (est.)</v>
      </c>
      <c r="I51" s="461"/>
      <c r="J51" s="245"/>
    </row>
    <row r="52" spans="2:11" ht="15">
      <c r="B52" s="266" t="str">
        <f>CONCATENATE("",E1-2,"/",E1-1,"/",E1," Budget Authority Amount:")</f>
        <v>2013/2014/2015 Budget Authority Amount:</v>
      </c>
      <c r="C52" s="52">
        <f>inputOth!B46</f>
        <v>30988</v>
      </c>
      <c r="D52" s="52">
        <f>inputPrYr!D16</f>
        <v>32412</v>
      </c>
      <c r="E52" s="21">
        <f>E50</f>
        <v>33531</v>
      </c>
      <c r="F52" s="39"/>
      <c r="G52" s="463">
        <f>IF(D56&gt;0,E55,E57)</f>
        <v>28067.3</v>
      </c>
      <c r="H52" s="462" t="str">
        <f>CONCATENATE("",E1," Ad Valorem Tax (est.)")</f>
        <v>2015 Ad Valorem Tax (est.)</v>
      </c>
      <c r="I52" s="461"/>
      <c r="J52" s="245"/>
      <c r="K52" s="674">
        <f>IF(G52=E57,"","Note: Does not include Delinquent Taxes")</f>
      </c>
    </row>
    <row r="53" spans="2:10" ht="15">
      <c r="B53" s="37"/>
      <c r="C53" s="834" t="s">
        <v>587</v>
      </c>
      <c r="D53" s="835"/>
      <c r="E53" s="23"/>
      <c r="F53" s="457">
        <f>IF(E50/0.95-E50&lt;E53,"Exceeds 5%","")</f>
      </c>
      <c r="G53" s="459">
        <f>SUM(G50:G52)</f>
        <v>33531</v>
      </c>
      <c r="H53" s="462" t="str">
        <f>CONCATENATE("Total ",E1," Resources Available")</f>
        <v>Total 2015 Resources Available</v>
      </c>
      <c r="I53" s="461"/>
      <c r="J53" s="245"/>
    </row>
    <row r="54" spans="2:10" ht="15">
      <c r="B54" s="370" t="str">
        <f>CONCATENATE(C72,"     ",D72)</f>
        <v>See Tab A     </v>
      </c>
      <c r="C54" s="836" t="s">
        <v>588</v>
      </c>
      <c r="D54" s="837"/>
      <c r="E54" s="21">
        <f>E50+E53</f>
        <v>33531</v>
      </c>
      <c r="G54" s="464"/>
      <c r="H54" s="462"/>
      <c r="I54" s="462"/>
      <c r="J54" s="245"/>
    </row>
    <row r="55" spans="2:10" ht="15">
      <c r="B55" s="370" t="str">
        <f>CONCATENATE(C73,"     ",D73)</f>
        <v>     </v>
      </c>
      <c r="C55" s="49"/>
      <c r="D55" s="41" t="s">
        <v>28</v>
      </c>
      <c r="E55" s="35">
        <f>IF(E54-E27&gt;0,E54-E27,0)</f>
        <v>28067.3</v>
      </c>
      <c r="G55" s="463">
        <f>ROUND(C50*0.05+C50,0)</f>
        <v>32924</v>
      </c>
      <c r="H55" s="462" t="str">
        <f>CONCATENATE("Less ",E1-2," Expenditures + 5%")</f>
        <v>Less 2013 Expenditures + 5%</v>
      </c>
      <c r="I55" s="461"/>
      <c r="J55" s="245"/>
    </row>
    <row r="56" spans="2:10" ht="15">
      <c r="B56" s="41"/>
      <c r="C56" s="374" t="s">
        <v>589</v>
      </c>
      <c r="D56" s="662">
        <f>inputOth!$E$40</f>
        <v>0</v>
      </c>
      <c r="E56" s="21">
        <f>ROUND(IF(D56&gt;0,(E55*D56),0),0)</f>
        <v>0</v>
      </c>
      <c r="G56" s="465">
        <f>G53-G55</f>
        <v>607</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28067.3</v>
      </c>
    </row>
    <row r="58" spans="2:10" ht="15">
      <c r="B58" s="3"/>
      <c r="C58" s="3"/>
      <c r="D58" s="3"/>
      <c r="E58" s="3"/>
      <c r="G58" s="841" t="s">
        <v>785</v>
      </c>
      <c r="H58" s="842"/>
      <c r="I58" s="842"/>
      <c r="J58" s="843"/>
    </row>
    <row r="59" spans="2:11" s="43" customFormat="1" ht="15">
      <c r="B59" s="8"/>
      <c r="C59" s="8"/>
      <c r="D59" s="42"/>
      <c r="E59" s="8"/>
      <c r="G59" s="675"/>
      <c r="H59" s="460"/>
      <c r="I59" s="664"/>
      <c r="J59" s="676"/>
      <c r="K59" s="5"/>
    </row>
    <row r="60" spans="2:11" s="45" customFormat="1" ht="15">
      <c r="B60" s="3"/>
      <c r="C60" s="3"/>
      <c r="D60" s="44"/>
      <c r="E60" s="3"/>
      <c r="G60" s="677">
        <f>summ!I18</f>
        <v>20.825</v>
      </c>
      <c r="H60" s="460" t="str">
        <f>CONCATENATE("",E1," Fund Mill Rate")</f>
        <v>2015 Fund Mill Rate</v>
      </c>
      <c r="I60" s="664"/>
      <c r="J60" s="676"/>
      <c r="K60" s="5"/>
    </row>
    <row r="61" spans="2:10" ht="15">
      <c r="B61" s="41" t="s">
        <v>9</v>
      </c>
      <c r="C61" s="376">
        <f>IF(inputPrYr!D18&gt;0,7,6)</f>
        <v>6</v>
      </c>
      <c r="D61" s="3"/>
      <c r="E61" s="44"/>
      <c r="G61" s="678">
        <f>summ!F18</f>
        <v>23.094</v>
      </c>
      <c r="H61" s="460" t="str">
        <f>CONCATENATE("",E1-1," Fund Mill Rate")</f>
        <v>2014 Fund Mill Rate</v>
      </c>
      <c r="I61" s="664"/>
      <c r="J61" s="676"/>
    </row>
    <row r="62" spans="7:10" ht="15">
      <c r="G62" s="679">
        <f>summ!I32</f>
        <v>20.825</v>
      </c>
      <c r="H62" s="460" t="str">
        <f>CONCATENATE("Total ",E1," Mill Rate")</f>
        <v>Total 2015 Mill Rate</v>
      </c>
      <c r="I62" s="664"/>
      <c r="J62" s="676"/>
    </row>
    <row r="63" spans="2:10" ht="15">
      <c r="B63" s="1"/>
      <c r="G63" s="678">
        <f>summ!F32</f>
        <v>23.094</v>
      </c>
      <c r="H63" s="680" t="str">
        <f>CONCATENATE("Total ",E1-1," Mill Rate")</f>
        <v>Total 2014 Mill Rate</v>
      </c>
      <c r="I63" s="681"/>
      <c r="J63" s="682"/>
    </row>
    <row r="64" spans="7:10" ht="15">
      <c r="G64" s="665"/>
      <c r="H64" s="469"/>
      <c r="I64" s="469"/>
      <c r="J64" s="667"/>
    </row>
    <row r="65" spans="7:10" ht="15">
      <c r="G65" s="751" t="s">
        <v>898</v>
      </c>
      <c r="H65" s="716"/>
      <c r="I65" s="715" t="str">
        <f>cert!F37</f>
        <v>No</v>
      </c>
      <c r="J65" s="666"/>
    </row>
    <row r="66" ht="15">
      <c r="E66" s="46"/>
    </row>
    <row r="68" ht="15">
      <c r="E68" s="46"/>
    </row>
    <row r="70" ht="15">
      <c r="C70" s="47"/>
    </row>
    <row r="71" spans="3:5" ht="15">
      <c r="C71" s="46"/>
      <c r="E71" s="46"/>
    </row>
    <row r="72" spans="3:4" ht="15" hidden="1">
      <c r="C72" s="5" t="str">
        <f>IF(C50&gt;C52,"See Tab A","")</f>
        <v>See Tab A</v>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Lincoln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
      <c r="B31" s="602" t="s">
        <v>189</v>
      </c>
      <c r="C31" s="582"/>
      <c r="D31" s="576"/>
      <c r="E31" s="577"/>
      <c r="G31" s="844" t="str">
        <f>CONCATENATE("Projected Carryover Into ",E1+1,"")</f>
        <v>Projected Carryover Into 2016</v>
      </c>
      <c r="H31" s="854"/>
      <c r="I31" s="854"/>
      <c r="J31" s="848"/>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587</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588</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785</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781</v>
      </c>
      <c r="D44" s="563" t="s">
        <v>782</v>
      </c>
      <c r="E44" s="564" t="s">
        <v>783</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20.825</v>
      </c>
      <c r="H45" s="607" t="str">
        <f>CONCATENATE("Total ",E1," Mill Rate")</f>
        <v>Total 2015 Mill Rate</v>
      </c>
      <c r="I45" s="629"/>
      <c r="J45" s="630"/>
    </row>
    <row r="46" spans="2:10" ht="15">
      <c r="B46" s="569" t="s">
        <v>123</v>
      </c>
      <c r="C46" s="574">
        <v>0</v>
      </c>
      <c r="D46" s="571">
        <f>C74</f>
        <v>0</v>
      </c>
      <c r="E46" s="572">
        <f>D74</f>
        <v>0</v>
      </c>
      <c r="F46" s="610"/>
      <c r="G46" s="632">
        <f>summ!F32</f>
        <v>23.094</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266</v>
      </c>
      <c r="F48" s="610"/>
      <c r="G48" s="752" t="s">
        <v>898</v>
      </c>
      <c r="H48" s="716"/>
      <c r="I48" s="715" t="str">
        <f>cert!F37</f>
        <v>No</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
      <c r="B70" s="578" t="s">
        <v>191</v>
      </c>
      <c r="C70" s="574"/>
      <c r="D70" s="576"/>
      <c r="E70" s="572">
        <f>nhood!E8</f>
      </c>
      <c r="F70" s="610"/>
    </row>
    <row r="71" spans="2:10" ht="15">
      <c r="B71" s="578" t="s">
        <v>189</v>
      </c>
      <c r="C71" s="582"/>
      <c r="D71" s="576"/>
      <c r="E71" s="577"/>
      <c r="F71" s="610"/>
      <c r="G71" s="844" t="str">
        <f>CONCATENATE("Projected Carryover Into ",E1+1,"")</f>
        <v>Projected Carryover Into 2016</v>
      </c>
      <c r="H71" s="847"/>
      <c r="I71" s="847"/>
      <c r="J71" s="848"/>
    </row>
    <row r="72" spans="2:10" ht="15">
      <c r="B72" s="578" t="s">
        <v>586</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587</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588</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785</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20.825</v>
      </c>
      <c r="H85" s="607" t="str">
        <f>CONCATENATE("Total ",E1," Mill Rate")</f>
        <v>Total 2015 Mill Rate</v>
      </c>
      <c r="I85" s="629"/>
      <c r="J85" s="630"/>
    </row>
    <row r="86" spans="7:10" ht="15">
      <c r="G86" s="632">
        <f>summ!F32</f>
        <v>23.094</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No</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6">
      <selection activeCell="C63" sqref="C63"/>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Lincoln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c r="D6" s="364">
        <f>C44</f>
        <v>0</v>
      </c>
      <c r="E6" s="21">
        <f>D44</f>
        <v>0</v>
      </c>
    </row>
    <row r="7" spans="2:5" ht="15">
      <c r="B7" s="16" t="s">
        <v>111</v>
      </c>
      <c r="C7" s="364"/>
      <c r="D7" s="364"/>
      <c r="E7" s="22"/>
    </row>
    <row r="8" spans="2:5" ht="15">
      <c r="B8" s="16" t="s">
        <v>16</v>
      </c>
      <c r="C8" s="18"/>
      <c r="D8" s="364">
        <f>IF(inputPrYr!H15&gt;0,inputPrYr!G19,inputPrYr!E19)</f>
        <v>0</v>
      </c>
      <c r="E8" s="22" t="s">
        <v>266</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99</v>
      </c>
      <c r="C12" s="18"/>
      <c r="D12" s="18"/>
      <c r="E12" s="21">
        <f>mvalloc!J14</f>
        <v>0</v>
      </c>
    </row>
    <row r="13" spans="2:5" ht="15">
      <c r="B13" s="16" t="s">
        <v>100</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118</v>
      </c>
      <c r="C28" s="18"/>
      <c r="D28" s="18"/>
      <c r="E28" s="23"/>
    </row>
    <row r="29" spans="2:5" ht="15">
      <c r="B29" s="27" t="s">
        <v>105</v>
      </c>
      <c r="C29" s="18"/>
      <c r="D29" s="18"/>
      <c r="E29" s="23"/>
    </row>
    <row r="30" spans="2:5" ht="15">
      <c r="B30" s="27" t="s">
        <v>103</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
      <c r="B41" s="24" t="s">
        <v>189</v>
      </c>
      <c r="C41" s="18"/>
      <c r="D41" s="18"/>
      <c r="E41" s="23"/>
      <c r="G41" s="838" t="str">
        <f>CONCATENATE("Projected Carryover Into ",E1+1,"")</f>
        <v>Projected Carryover Into 2016</v>
      </c>
      <c r="H41" s="839"/>
      <c r="I41" s="839"/>
      <c r="J41" s="840"/>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110</v>
      </c>
      <c r="C44" s="359">
        <f>C24-C43</f>
        <v>0</v>
      </c>
      <c r="D44" s="359">
        <f>D24-D43</f>
        <v>0</v>
      </c>
      <c r="E44" s="22" t="s">
        <v>266</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4" t="s">
        <v>587</v>
      </c>
      <c r="D46" s="835"/>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6" t="s">
        <v>588</v>
      </c>
      <c r="D47" s="837"/>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589</v>
      </c>
      <c r="D49" s="662">
        <f>inputOth!$E$40</f>
        <v>0</v>
      </c>
      <c r="E49" s="21">
        <f>ROUND(IF(D49&gt;0,(E48*D49),0),0)</f>
        <v>0</v>
      </c>
      <c r="G49" s="465">
        <f>G46-G48</f>
        <v>0</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0</v>
      </c>
    </row>
    <row r="51" spans="2:10" ht="15">
      <c r="B51" s="3"/>
      <c r="C51" s="3"/>
      <c r="D51" s="3"/>
      <c r="E51" s="3"/>
      <c r="G51" s="841" t="s">
        <v>785</v>
      </c>
      <c r="H51" s="842"/>
      <c r="I51" s="842"/>
      <c r="J51" s="843"/>
    </row>
    <row r="52" spans="2:10" ht="15">
      <c r="B52" s="3"/>
      <c r="C52" s="3"/>
      <c r="D52" s="3"/>
      <c r="E52" s="3"/>
      <c r="G52" s="675"/>
      <c r="H52" s="460"/>
      <c r="I52" s="664"/>
      <c r="J52" s="676"/>
    </row>
    <row r="53" spans="2:10" ht="15">
      <c r="B53" s="57" t="s">
        <v>30</v>
      </c>
      <c r="C53" s="59"/>
      <c r="D53" s="3"/>
      <c r="E53" s="3"/>
      <c r="G53" s="677" t="str">
        <f>summ!I21</f>
        <v> </v>
      </c>
      <c r="H53" s="460" t="str">
        <f>CONCATENATE("",E1," Fund Mill Rate")</f>
        <v>2015 Fund Mill Rate</v>
      </c>
      <c r="I53" s="664"/>
      <c r="J53" s="676"/>
    </row>
    <row r="54" spans="2:10" ht="15">
      <c r="B54" s="60" t="s">
        <v>31</v>
      </c>
      <c r="C54" s="375" t="str">
        <f>CONCATENATE("",E1-2," Actual Year")</f>
        <v>2013 Actual Year</v>
      </c>
      <c r="D54" s="3"/>
      <c r="E54" s="3"/>
      <c r="G54" s="678" t="str">
        <f>summ!F21</f>
        <v>  </v>
      </c>
      <c r="H54" s="460" t="str">
        <f>CONCATENATE("",E1-1," Fund Mill Rate")</f>
        <v>2014 Fund Mill Rate</v>
      </c>
      <c r="I54" s="664"/>
      <c r="J54" s="676"/>
    </row>
    <row r="55" spans="2:10" ht="15">
      <c r="B55" s="61" t="s">
        <v>14</v>
      </c>
      <c r="C55" s="119">
        <v>17205</v>
      </c>
      <c r="D55" s="3"/>
      <c r="E55" s="3"/>
      <c r="G55" s="679">
        <f>summ!I32</f>
        <v>20.825</v>
      </c>
      <c r="H55" s="460" t="str">
        <f>CONCATENATE("Total ",E1," Mill Rate")</f>
        <v>Total 2015 Mill Rate</v>
      </c>
      <c r="I55" s="664"/>
      <c r="J55" s="676"/>
    </row>
    <row r="56" spans="2:10" ht="15">
      <c r="B56" s="61" t="s">
        <v>33</v>
      </c>
      <c r="C56" s="121"/>
      <c r="D56" s="3"/>
      <c r="E56" s="3"/>
      <c r="G56" s="678">
        <f>summ!F32</f>
        <v>23.094</v>
      </c>
      <c r="H56" s="680" t="str">
        <f>CONCATENATE("Total ",E1-1," Mill Rate")</f>
        <v>Total 2014 Mill Rate</v>
      </c>
      <c r="I56" s="681"/>
      <c r="J56" s="682"/>
    </row>
    <row r="57" spans="2:5" ht="15">
      <c r="B57" s="61" t="s">
        <v>34</v>
      </c>
      <c r="C57" s="373">
        <f>C38</f>
        <v>0</v>
      </c>
      <c r="D57" s="63"/>
      <c r="E57" s="3"/>
    </row>
    <row r="58" spans="2:9" ht="15">
      <c r="B58" s="61" t="s">
        <v>223</v>
      </c>
      <c r="C58" s="373">
        <f>gen!C43</f>
        <v>0</v>
      </c>
      <c r="D58" s="855">
        <f>IF(AND(C58&gt;0,C59&gt;0),"Not Auth. Two General Transfers - Only One","")</f>
      </c>
      <c r="E58" s="856"/>
      <c r="G58" s="754" t="s">
        <v>898</v>
      </c>
      <c r="H58" s="716"/>
      <c r="I58" s="715" t="str">
        <f>cert!F37</f>
        <v>No</v>
      </c>
    </row>
    <row r="59" spans="2:5" ht="15">
      <c r="B59" s="64" t="s">
        <v>224</v>
      </c>
      <c r="C59" s="373">
        <f>gen!C45</f>
        <v>7747</v>
      </c>
      <c r="D59" s="857"/>
      <c r="E59" s="856"/>
    </row>
    <row r="60" spans="2:5" ht="15">
      <c r="B60" s="65"/>
      <c r="C60" s="119"/>
      <c r="D60" s="3"/>
      <c r="E60" s="3"/>
    </row>
    <row r="61" spans="2:5" ht="15">
      <c r="B61" s="65" t="s">
        <v>22</v>
      </c>
      <c r="C61" s="119"/>
      <c r="D61" s="3"/>
      <c r="E61" s="3"/>
    </row>
    <row r="62" spans="2:5" ht="15">
      <c r="B62" s="65" t="s">
        <v>21</v>
      </c>
      <c r="C62" s="119">
        <v>1603</v>
      </c>
      <c r="D62" s="3"/>
      <c r="E62" s="3"/>
    </row>
    <row r="63" spans="2:5" ht="15">
      <c r="B63" s="66" t="s">
        <v>24</v>
      </c>
      <c r="C63" s="121">
        <f>SUM(C55:C62)</f>
        <v>26555</v>
      </c>
      <c r="D63" s="3"/>
      <c r="E63" s="3"/>
    </row>
    <row r="64" spans="2:5" ht="15">
      <c r="B64" s="66" t="s">
        <v>26</v>
      </c>
      <c r="C64" s="119"/>
      <c r="D64" s="3"/>
      <c r="E64" s="3"/>
    </row>
    <row r="65" spans="2:5" ht="15">
      <c r="B65" s="66" t="s">
        <v>27</v>
      </c>
      <c r="C65" s="372">
        <f>SUM(C63-C64)</f>
        <v>26555</v>
      </c>
      <c r="D65" s="3"/>
      <c r="E65" s="3"/>
    </row>
    <row r="66" spans="2:5" ht="15">
      <c r="B66" s="3"/>
      <c r="C66" s="3"/>
      <c r="D66" s="3"/>
      <c r="E66" s="3"/>
    </row>
    <row r="67" spans="2:5" ht="15">
      <c r="B67" s="41" t="s">
        <v>9</v>
      </c>
      <c r="C67" s="54"/>
      <c r="D67" s="3"/>
      <c r="E67" s="3"/>
    </row>
    <row r="69" ht="1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Lincoln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266</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20.825</v>
      </c>
      <c r="H45" s="607" t="str">
        <f>CONCATENATE("Total ",E1," Mill Rate")</f>
        <v>Total 2015 Mill Rate</v>
      </c>
      <c r="I45" s="629"/>
      <c r="J45" s="630"/>
      <c r="K45" s="557"/>
    </row>
    <row r="46" spans="2:11" ht="15">
      <c r="B46" s="16" t="s">
        <v>109</v>
      </c>
      <c r="C46" s="18"/>
      <c r="D46" s="364">
        <f>C74</f>
        <v>0</v>
      </c>
      <c r="E46" s="21">
        <f>D74</f>
        <v>0</v>
      </c>
      <c r="G46" s="632">
        <f>summ!F32</f>
        <v>23.094</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20.825</v>
      </c>
      <c r="H85" s="607" t="str">
        <f>CONCATENATE("Total ",E1," Mill Rate")</f>
        <v>Total 2015 Mill Rate</v>
      </c>
      <c r="I85" s="629"/>
      <c r="J85" s="630"/>
      <c r="K85" s="557"/>
    </row>
    <row r="86" spans="7:11" ht="15">
      <c r="G86" s="632">
        <f>summ!F32</f>
        <v>23.094</v>
      </c>
      <c r="H86" s="635" t="str">
        <f>CONCATENATE("Total ",E1-1," Mill Rate")</f>
        <v>Total 2014 Mill Rate</v>
      </c>
      <c r="I86" s="636"/>
      <c r="J86" s="637"/>
      <c r="K86" s="557"/>
    </row>
    <row r="88" spans="7:9" ht="15">
      <c r="G88" s="756"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Lincoln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20.825</v>
      </c>
      <c r="H45" s="607" t="str">
        <f>CONCATENATE("Total ",E1," Mill Rate")</f>
        <v>Total 2015 Mill Rate</v>
      </c>
      <c r="I45" s="629"/>
      <c r="J45" s="630"/>
      <c r="K45" s="557"/>
    </row>
    <row r="46" spans="2:11" ht="15">
      <c r="B46" s="16" t="s">
        <v>109</v>
      </c>
      <c r="C46" s="18"/>
      <c r="D46" s="364">
        <f>C74</f>
        <v>0</v>
      </c>
      <c r="E46" s="21">
        <f>D74</f>
        <v>0</v>
      </c>
      <c r="G46" s="632">
        <f>summ!F32</f>
        <v>23.094</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20.825</v>
      </c>
      <c r="H85" s="607" t="str">
        <f>CONCATENATE("Total ",E1," Mill Rate")</f>
        <v>Total 2015 Mill Rate</v>
      </c>
      <c r="I85" s="629"/>
      <c r="J85" s="630"/>
      <c r="K85" s="557"/>
    </row>
    <row r="86" spans="7:11" ht="15">
      <c r="G86" s="632">
        <f>summ!F32</f>
        <v>23.094</v>
      </c>
      <c r="H86" s="635" t="str">
        <f>CONCATENATE("Total ",E1-1," Mill Rate")</f>
        <v>Total 2014 Mill Rate</v>
      </c>
      <c r="I86" s="636"/>
      <c r="J86" s="637"/>
      <c r="K86" s="557"/>
    </row>
    <row r="88" spans="7:9" ht="15">
      <c r="G88" s="758"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Lincoln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20.825</v>
      </c>
      <c r="H45" s="607" t="str">
        <f>CONCATENATE("Total ",E1," Mill Rate")</f>
        <v>Total 2015 Mill Rate</v>
      </c>
      <c r="I45" s="629"/>
      <c r="J45" s="630"/>
      <c r="K45" s="557"/>
    </row>
    <row r="46" spans="2:11" ht="15">
      <c r="B46" s="16" t="s">
        <v>109</v>
      </c>
      <c r="C46" s="18"/>
      <c r="D46" s="364">
        <f>C74</f>
        <v>0</v>
      </c>
      <c r="E46" s="21">
        <f>D74</f>
        <v>0</v>
      </c>
      <c r="G46" s="632">
        <f>summ!F32</f>
        <v>23.094</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588</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20.825</v>
      </c>
      <c r="H85" s="607" t="str">
        <f>CONCATENATE("Total ",E1," Mill Rate")</f>
        <v>Total 2015 Mill Rate</v>
      </c>
      <c r="I85" s="629"/>
      <c r="J85" s="630"/>
      <c r="K85" s="557"/>
    </row>
    <row r="86" spans="7:11" ht="15">
      <c r="G86" s="632">
        <f>summ!F32</f>
        <v>23.094</v>
      </c>
      <c r="H86" s="635" t="str">
        <f>CONCATENATE("Total ",E1-1," Mill Rate")</f>
        <v>Total 2014 Mill Rate</v>
      </c>
      <c r="I86" s="636"/>
      <c r="J86" s="637"/>
      <c r="K86" s="557"/>
    </row>
    <row r="88" spans="7:9" ht="15">
      <c r="G88" s="760"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Lincoln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Lincoln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6">
      <selection activeCell="E57" sqref="E57"/>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246</v>
      </c>
      <c r="B1" s="3"/>
      <c r="C1" s="3"/>
      <c r="D1" s="3"/>
      <c r="E1" s="3"/>
    </row>
    <row r="2" spans="1:5" ht="15">
      <c r="A2" s="57" t="s">
        <v>203</v>
      </c>
      <c r="B2" s="3"/>
      <c r="C2" s="3"/>
      <c r="D2" s="720" t="s">
        <v>942</v>
      </c>
      <c r="E2" s="8"/>
    </row>
    <row r="3" spans="1:5" ht="15">
      <c r="A3" s="57" t="s">
        <v>202</v>
      </c>
      <c r="B3" s="3"/>
      <c r="C3" s="3"/>
      <c r="D3" s="720" t="s">
        <v>943</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4" t="s">
        <v>717</v>
      </c>
      <c r="H7" s="785"/>
    </row>
    <row r="8" spans="1:8" ht="15">
      <c r="A8" s="133" t="s">
        <v>177</v>
      </c>
      <c r="B8" s="137"/>
      <c r="C8" s="137"/>
      <c r="D8" s="137"/>
      <c r="E8" s="137"/>
      <c r="F8" s="3"/>
      <c r="G8" s="786"/>
      <c r="H8" s="785"/>
    </row>
    <row r="9" spans="1:8" ht="15">
      <c r="A9" s="3"/>
      <c r="B9" s="3"/>
      <c r="C9" s="3"/>
      <c r="D9" s="3"/>
      <c r="E9" s="3"/>
      <c r="F9" s="3"/>
      <c r="G9" s="786"/>
      <c r="H9" s="785"/>
    </row>
    <row r="10" spans="1:8" ht="15">
      <c r="A10" s="782" t="s">
        <v>135</v>
      </c>
      <c r="B10" s="783"/>
      <c r="C10" s="783"/>
      <c r="D10" s="783"/>
      <c r="E10" s="783"/>
      <c r="F10" s="3"/>
      <c r="G10" s="786"/>
      <c r="H10" s="785"/>
    </row>
    <row r="11" spans="1:8" ht="15">
      <c r="A11" s="57"/>
      <c r="B11" s="3"/>
      <c r="C11" s="3"/>
      <c r="D11" s="3"/>
      <c r="E11" s="3"/>
      <c r="F11" s="3"/>
      <c r="G11" s="786"/>
      <c r="H11" s="785"/>
    </row>
    <row r="12" spans="1:8" ht="15">
      <c r="A12" s="289" t="s">
        <v>126</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32412</v>
      </c>
      <c r="E16" s="176">
        <v>26966</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26966</v>
      </c>
    </row>
    <row r="27" spans="1:5" ht="1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32412</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25.113</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25.113</v>
      </c>
      <c r="E52" s="3"/>
    </row>
    <row r="53" spans="1:5" ht="15.75" thickTop="1">
      <c r="A53" s="3"/>
      <c r="B53" s="3"/>
      <c r="C53" s="3"/>
      <c r="D53" s="3"/>
      <c r="E53" s="3"/>
    </row>
    <row r="54" spans="1:5" ht="15">
      <c r="A54" s="307" t="str">
        <f>CONCATENATE("Total Tax Levied (",D5-2," budget column)")</f>
        <v>Total Tax Levied (2013 budget column)</v>
      </c>
      <c r="B54" s="308"/>
      <c r="C54" s="9"/>
      <c r="D54" s="247"/>
      <c r="E54" s="176">
        <v>26356</v>
      </c>
    </row>
    <row r="55" spans="1:5" ht="15">
      <c r="A55" s="309" t="str">
        <f>CONCATENATE("Assessed Valuation (",D5-2," budget column)")</f>
        <v>Assessed Valuation (2013 budget column)</v>
      </c>
      <c r="B55" s="310"/>
      <c r="C55" s="255"/>
      <c r="D55" s="17"/>
      <c r="E55" s="176">
        <v>1049491</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5"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9" customFormat="1" ht="15">
      <c r="A83" s="1"/>
      <c r="B83" s="1"/>
      <c r="C83" s="1"/>
      <c r="D83" s="1"/>
      <c r="E83" s="1"/>
      <c r="G83" s="5"/>
    </row>
    <row r="84" spans="1:7" s="69"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
      <c r="A3" s="154"/>
    </row>
    <row r="4" ht="56.25" customHeight="1">
      <c r="A4" s="153" t="s">
        <v>318</v>
      </c>
    </row>
    <row r="5" ht="15">
      <c r="A5" s="69"/>
    </row>
    <row r="6" ht="50.25" customHeight="1">
      <c r="A6" s="153" t="s">
        <v>319</v>
      </c>
    </row>
    <row r="7" ht="16.5" customHeight="1">
      <c r="A7" s="153"/>
    </row>
    <row r="8" ht="50.25" customHeight="1">
      <c r="A8" s="456" t="s">
        <v>678</v>
      </c>
    </row>
    <row r="9" ht="15">
      <c r="A9" s="154"/>
    </row>
    <row r="10" ht="40.5" customHeight="1">
      <c r="A10" s="153" t="s">
        <v>320</v>
      </c>
    </row>
    <row r="11" ht="15">
      <c r="A11" s="69"/>
    </row>
    <row r="12" ht="40.5" customHeight="1">
      <c r="A12" s="153" t="s">
        <v>321</v>
      </c>
    </row>
    <row r="13" ht="15">
      <c r="A13" s="154"/>
    </row>
    <row r="14" ht="71.25" customHeight="1">
      <c r="A14" s="153" t="s">
        <v>322</v>
      </c>
    </row>
    <row r="15" ht="15">
      <c r="A15" s="154"/>
    </row>
    <row r="16" ht="40.5" customHeight="1">
      <c r="A16" s="153" t="s">
        <v>323</v>
      </c>
    </row>
    <row r="17" ht="15">
      <c r="A17" s="69"/>
    </row>
    <row r="18" ht="49.5" customHeight="1">
      <c r="A18" s="153" t="s">
        <v>324</v>
      </c>
    </row>
    <row r="19" ht="15">
      <c r="A19" s="154"/>
    </row>
    <row r="20" ht="52.5" customHeight="1">
      <c r="A20" s="153" t="s">
        <v>325</v>
      </c>
    </row>
    <row r="21" ht="15">
      <c r="A21" s="154"/>
    </row>
    <row r="22" ht="48.75" customHeight="1">
      <c r="A22" s="153" t="s">
        <v>326</v>
      </c>
    </row>
    <row r="23" ht="15">
      <c r="A23" s="154"/>
    </row>
    <row r="24" ht="1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6">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
      <c r="B2" s="817" t="s">
        <v>71</v>
      </c>
      <c r="C2" s="797"/>
      <c r="D2" s="797"/>
      <c r="E2" s="797"/>
      <c r="F2" s="797"/>
      <c r="G2" s="797"/>
      <c r="H2" s="797"/>
      <c r="I2" s="797"/>
    </row>
    <row r="3" spans="2:9" ht="15">
      <c r="B3" s="3"/>
      <c r="C3" s="3"/>
      <c r="D3" s="3"/>
      <c r="E3" s="3"/>
      <c r="F3" s="3"/>
      <c r="G3" s="11" t="s">
        <v>37</v>
      </c>
      <c r="H3" s="11" t="s">
        <v>38</v>
      </c>
      <c r="I3" s="3"/>
    </row>
    <row r="4" spans="2:9" ht="15">
      <c r="B4" s="807" t="s">
        <v>39</v>
      </c>
      <c r="C4" s="807"/>
      <c r="D4" s="807"/>
      <c r="E4" s="807"/>
      <c r="F4" s="807"/>
      <c r="G4" s="807"/>
      <c r="H4" s="807"/>
      <c r="I4" s="807"/>
    </row>
    <row r="5" spans="2:9" ht="15">
      <c r="B5" s="816" t="str">
        <f>inputPrYr!D2</f>
        <v>Lincoln Township</v>
      </c>
      <c r="C5" s="816"/>
      <c r="D5" s="816"/>
      <c r="E5" s="816"/>
      <c r="F5" s="816"/>
      <c r="G5" s="816"/>
      <c r="H5" s="816"/>
      <c r="I5" s="816"/>
    </row>
    <row r="6" spans="2:9" ht="15">
      <c r="B6" s="816" t="str">
        <f>inputPrYr!D3</f>
        <v>Ellsworth County</v>
      </c>
      <c r="C6" s="816"/>
      <c r="D6" s="816"/>
      <c r="E6" s="816"/>
      <c r="F6" s="816"/>
      <c r="G6" s="816"/>
      <c r="H6" s="816"/>
      <c r="I6" s="816"/>
    </row>
    <row r="7" spans="2:9" ht="15">
      <c r="B7" s="807" t="str">
        <f>CONCATENATE("will meet on ",inputBudSum!B8," at ",inputBudSum!B10," at ",inputBudSum!B12," for the purpose of hearing and")</f>
        <v>will meet on August 4, 2014 at 7:30 p.m. at Julie Nienke Residence for the purpose of hearing and</v>
      </c>
      <c r="C7" s="807"/>
      <c r="D7" s="807"/>
      <c r="E7" s="807"/>
      <c r="F7" s="807"/>
      <c r="G7" s="807"/>
      <c r="H7" s="807"/>
      <c r="I7" s="807"/>
    </row>
    <row r="8" spans="2:9" ht="15">
      <c r="B8" s="136" t="s">
        <v>570</v>
      </c>
      <c r="C8" s="134"/>
      <c r="D8" s="134"/>
      <c r="E8" s="134"/>
      <c r="F8" s="134"/>
      <c r="G8" s="134"/>
      <c r="H8" s="134"/>
      <c r="I8" s="134"/>
    </row>
    <row r="9" spans="2:9" ht="15">
      <c r="B9" s="136" t="str">
        <f>CONCATENATE("Detailed budget information is available at ",inputBudSum!B15," and will be available at this hearing.")</f>
        <v>Detailed budget information is available at County Clerk's Office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40</v>
      </c>
      <c r="J15" s="138"/>
    </row>
    <row r="16" spans="2:10" ht="15">
      <c r="B16" s="3"/>
      <c r="C16" s="145"/>
      <c r="D16" s="145" t="s">
        <v>41</v>
      </c>
      <c r="E16" s="145"/>
      <c r="F16" s="145" t="s">
        <v>41</v>
      </c>
      <c r="G16" s="145" t="s">
        <v>185</v>
      </c>
      <c r="H16" s="871"/>
      <c r="I16" s="145" t="s">
        <v>41</v>
      </c>
      <c r="J16" s="138"/>
    </row>
    <row r="17" spans="2:10" ht="15">
      <c r="B17" s="14" t="s">
        <v>262</v>
      </c>
      <c r="C17" s="15" t="s">
        <v>42</v>
      </c>
      <c r="D17" s="15" t="s">
        <v>43</v>
      </c>
      <c r="E17" s="15" t="s">
        <v>42</v>
      </c>
      <c r="F17" s="15" t="s">
        <v>43</v>
      </c>
      <c r="G17" s="15" t="s">
        <v>684</v>
      </c>
      <c r="H17" s="872"/>
      <c r="I17" s="15" t="s">
        <v>43</v>
      </c>
      <c r="J17" s="138"/>
    </row>
    <row r="18" spans="2:10" ht="15">
      <c r="B18" s="74" t="str">
        <f>inputPrYr!B16</f>
        <v>General</v>
      </c>
      <c r="C18" s="52">
        <f>IF(gen!$C$50&lt;&gt;0,gen!$C$50,"  ")</f>
        <v>31356</v>
      </c>
      <c r="D18" s="499">
        <f>IF(inputPrYr!D42&gt;0,inputPrYr!D42,"  ")</f>
        <v>25.113</v>
      </c>
      <c r="E18" s="21">
        <f>IF(gen!$D$50&lt;&gt;0,gen!$D$50,"  ")</f>
        <v>32412</v>
      </c>
      <c r="F18" s="224">
        <f>IF(inputOth!D17&gt;0,inputOth!D17,"  ")</f>
        <v>23.094</v>
      </c>
      <c r="G18" s="21">
        <f>IF(gen!$E$50&lt;&gt;0,gen!$E$50,"  ")</f>
        <v>33531</v>
      </c>
      <c r="H18" s="21">
        <f>IF(gen!$E$57&lt;&gt;0,gen!$E$57," ")</f>
        <v>28067.3</v>
      </c>
      <c r="I18" s="501">
        <f>IF(gen!E57&gt;0,ROUND(H18/$G$37*1000,3)," ")</f>
        <v>20.825</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4" t="str">
        <f>CONCATENATE("Estimated Value Of One Mill For ",I1,"")</f>
        <v>Estimated Value Of One Mill For 2015</v>
      </c>
      <c r="L21" s="869"/>
      <c r="M21" s="869"/>
      <c r="N21" s="870"/>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1348</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23.094</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3058.7000000000007</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t="str">
        <f>IF(road!C64&lt;&gt;0,road!C64,"  ")</f>
        <v>  </v>
      </c>
      <c r="D31" s="455"/>
      <c r="E31" s="500"/>
      <c r="F31" s="455"/>
      <c r="G31" s="500"/>
      <c r="H31" s="500"/>
      <c r="I31" s="455"/>
      <c r="K31" s="489"/>
      <c r="L31" s="489"/>
      <c r="M31" s="489"/>
      <c r="N31" s="489"/>
    </row>
    <row r="32" spans="2:14" ht="15">
      <c r="B32" s="61" t="s">
        <v>265</v>
      </c>
      <c r="C32" s="502">
        <f aca="true" t="shared" si="0" ref="C32:I32">SUM(C18:C31)</f>
        <v>31356</v>
      </c>
      <c r="D32" s="453">
        <f t="shared" si="0"/>
        <v>25.113</v>
      </c>
      <c r="E32" s="502">
        <f t="shared" si="0"/>
        <v>32412</v>
      </c>
      <c r="F32" s="453">
        <f t="shared" si="0"/>
        <v>23.094</v>
      </c>
      <c r="G32" s="502">
        <f t="shared" si="0"/>
        <v>33531</v>
      </c>
      <c r="H32" s="502">
        <f t="shared" si="0"/>
        <v>28067.3</v>
      </c>
      <c r="I32" s="505">
        <f t="shared" si="0"/>
        <v>20.825</v>
      </c>
      <c r="K32" s="864" t="str">
        <f>CONCATENATE("Impact On Keeping The Same Mill Rate As For ",I1-1,"")</f>
        <v>Impact On Keeping The Same Mill Rate As For 2014</v>
      </c>
      <c r="L32" s="865"/>
      <c r="M32" s="865"/>
      <c r="N32" s="866"/>
    </row>
    <row r="33" spans="2:14" ht="15">
      <c r="B33" s="261" t="s">
        <v>44</v>
      </c>
      <c r="C33" s="21">
        <f>transfer!C29</f>
        <v>7747</v>
      </c>
      <c r="D33" s="3"/>
      <c r="E33" s="21">
        <f>transfer!D29</f>
        <v>0</v>
      </c>
      <c r="F33" s="50"/>
      <c r="G33" s="21">
        <f>transfer!E29</f>
        <v>0</v>
      </c>
      <c r="H33" s="3"/>
      <c r="I33" s="3"/>
      <c r="K33" s="482"/>
      <c r="L33" s="476"/>
      <c r="M33" s="476"/>
      <c r="N33" s="483"/>
    </row>
    <row r="34" spans="2:14" ht="15.75" thickBot="1">
      <c r="B34" s="261" t="s">
        <v>45</v>
      </c>
      <c r="C34" s="503">
        <f>C32-C33</f>
        <v>23609</v>
      </c>
      <c r="D34" s="3"/>
      <c r="E34" s="503">
        <f>E32-E33</f>
        <v>32412</v>
      </c>
      <c r="F34" s="3"/>
      <c r="G34" s="503">
        <f>G32-G33</f>
        <v>33531</v>
      </c>
      <c r="H34" s="3"/>
      <c r="I34" s="3"/>
      <c r="K34" s="482" t="str">
        <f>CONCATENATE("",I1," Ad Valorem Tax Revenue:")</f>
        <v>2015 Ad Valorem Tax Revenue:</v>
      </c>
      <c r="L34" s="476"/>
      <c r="M34" s="476"/>
      <c r="N34" s="477">
        <f>H32</f>
        <v>28067.3</v>
      </c>
    </row>
    <row r="35" spans="2:14" ht="15.75" thickTop="1">
      <c r="B35" s="261" t="s">
        <v>46</v>
      </c>
      <c r="C35" s="504">
        <f>inputPrYr!E54</f>
        <v>26356</v>
      </c>
      <c r="D35" s="50"/>
      <c r="E35" s="504">
        <f>inputPrYr!E26</f>
        <v>26966</v>
      </c>
      <c r="F35" s="3"/>
      <c r="G35" s="495" t="s">
        <v>266</v>
      </c>
      <c r="H35" s="3"/>
      <c r="I35" s="3"/>
      <c r="K35" s="482" t="str">
        <f>CONCATENATE("",I1-1," Ad Valorem Tax Revenue:")</f>
        <v>2014 Ad Valorem Tax Revenue:</v>
      </c>
      <c r="L35" s="476"/>
      <c r="M35" s="476"/>
      <c r="N35" s="490">
        <f>ROUND(G37*N27/1000,0)</f>
        <v>31126</v>
      </c>
    </row>
    <row r="36" spans="2:14" ht="15">
      <c r="B36" s="261" t="s">
        <v>47</v>
      </c>
      <c r="C36" s="44"/>
      <c r="D36" s="50"/>
      <c r="E36" s="44"/>
      <c r="F36" s="50"/>
      <c r="G36" s="3"/>
      <c r="H36" s="3"/>
      <c r="I36" s="3"/>
      <c r="K36" s="487" t="s">
        <v>682</v>
      </c>
      <c r="L36" s="488"/>
      <c r="M36" s="488"/>
      <c r="N36" s="480">
        <f>N34-N35</f>
        <v>-3058.7000000000007</v>
      </c>
    </row>
    <row r="37" spans="2:14" ht="15">
      <c r="B37" s="261" t="s">
        <v>48</v>
      </c>
      <c r="C37" s="21">
        <f>inputPrYr!E55</f>
        <v>1049491</v>
      </c>
      <c r="D37" s="3"/>
      <c r="E37" s="21">
        <f>inputOth!E29</f>
        <v>1167682</v>
      </c>
      <c r="F37" s="3"/>
      <c r="G37" s="21">
        <f>inputOth!E7</f>
        <v>1347781</v>
      </c>
      <c r="H37" s="3"/>
      <c r="I37" s="3"/>
      <c r="K37" s="481"/>
      <c r="L37" s="481"/>
      <c r="M37" s="481"/>
      <c r="N37" s="489"/>
    </row>
    <row r="38" spans="2:14" ht="15">
      <c r="B38" s="11" t="s">
        <v>49</v>
      </c>
      <c r="C38" s="3"/>
      <c r="D38" s="3"/>
      <c r="E38" s="3"/>
      <c r="F38" s="3"/>
      <c r="G38" s="3"/>
      <c r="H38" s="3"/>
      <c r="I38" s="3"/>
      <c r="K38" s="864" t="s">
        <v>683</v>
      </c>
      <c r="L38" s="867"/>
      <c r="M38" s="867"/>
      <c r="N38" s="868"/>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20.825</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3" t="str">
        <f>inputBudSum!B4</f>
        <v>Lincoln Township</v>
      </c>
      <c r="C46" s="863"/>
      <c r="D46" s="3"/>
      <c r="E46" s="3"/>
      <c r="F46" s="3"/>
      <c r="G46" s="3"/>
      <c r="H46" s="3"/>
      <c r="I46" s="3"/>
    </row>
    <row r="47" spans="2:9" ht="15">
      <c r="B47" s="861" t="str">
        <f>inputBudSum!B6</f>
        <v>Julie Nienke, Treasurer</v>
      </c>
      <c r="C47" s="862"/>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Lincoln Township</v>
      </c>
      <c r="B1" s="3"/>
      <c r="C1" s="3"/>
      <c r="D1" s="3"/>
      <c r="E1" s="3"/>
      <c r="F1" s="3">
        <f>inputPrYr!D5</f>
        <v>2015</v>
      </c>
    </row>
    <row r="2" spans="1:6" ht="15">
      <c r="A2" s="3"/>
      <c r="B2" s="3"/>
      <c r="C2" s="3"/>
      <c r="D2" s="3"/>
      <c r="E2" s="3"/>
      <c r="F2" s="3"/>
    </row>
    <row r="3" spans="1:6" ht="15">
      <c r="A3" s="3"/>
      <c r="B3" s="798" t="str">
        <f>CONCATENATE("",F1," Neighborhood Revitalization Rebate")</f>
        <v>2015 Neighborhood Revitalization Rebate</v>
      </c>
      <c r="C3" s="806"/>
      <c r="D3" s="806"/>
      <c r="E3" s="806"/>
      <c r="F3" s="3"/>
    </row>
    <row r="4" spans="1:6" ht="1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
      <c r="A6" s="3"/>
      <c r="B6" s="61" t="str">
        <f>inputPrYr!B16</f>
        <v>General</v>
      </c>
      <c r="C6" s="119"/>
      <c r="D6" s="120">
        <f aca="true" t="shared" si="0" ref="D6:D15">IF(C6&gt;0,C6/$D$21,"")</f>
      </c>
      <c r="E6" s="121">
        <f aca="true" t="shared" si="1" ref="E6:E15">IF(C6&gt;0,ROUND(D6*$D$25,0),"")</f>
      </c>
      <c r="F6" s="118"/>
    </row>
    <row r="7" spans="1:6" ht="15">
      <c r="A7" s="3"/>
      <c r="B7" s="61" t="str">
        <f>inputPrYr!B17</f>
        <v>Debt Service</v>
      </c>
      <c r="C7" s="119"/>
      <c r="D7" s="120">
        <f t="shared" si="0"/>
      </c>
      <c r="E7" s="121">
        <f t="shared" si="1"/>
      </c>
      <c r="F7" s="118"/>
    </row>
    <row r="8" spans="1:6" ht="15">
      <c r="A8" s="3"/>
      <c r="B8" s="61" t="str">
        <f>inputPrYr!B18</f>
        <v>Library</v>
      </c>
      <c r="C8" s="119"/>
      <c r="D8" s="120">
        <f>IF(C8&gt;0,C8/$D$21,"")</f>
      </c>
      <c r="E8" s="121">
        <f>IF(C8&gt;0,ROUND(D8*$D$25,0),"")</f>
      </c>
      <c r="F8" s="118"/>
    </row>
    <row r="9" spans="1:6" ht="15">
      <c r="A9" s="3"/>
      <c r="B9" s="61" t="str">
        <f>inputPrYr!B19</f>
        <v>Road</v>
      </c>
      <c r="C9" s="119"/>
      <c r="D9" s="120">
        <f t="shared" si="0"/>
      </c>
      <c r="E9" s="121">
        <f t="shared" si="1"/>
      </c>
      <c r="F9" s="118"/>
    </row>
    <row r="10" spans="1:6" ht="15">
      <c r="A10" s="3"/>
      <c r="B10" s="61">
        <f>inputPrYr!B20</f>
        <v>0</v>
      </c>
      <c r="C10" s="119"/>
      <c r="D10" s="120">
        <f t="shared" si="0"/>
      </c>
      <c r="E10" s="121">
        <f t="shared" si="1"/>
      </c>
      <c r="F10" s="118"/>
    </row>
    <row r="11" spans="1:6" ht="15">
      <c r="A11" s="3"/>
      <c r="B11" s="61">
        <f>inputPrYr!B21</f>
        <v>0</v>
      </c>
      <c r="C11" s="119"/>
      <c r="D11" s="120">
        <f t="shared" si="0"/>
      </c>
      <c r="E11" s="121">
        <f t="shared" si="1"/>
      </c>
      <c r="F11" s="118"/>
    </row>
    <row r="12" spans="1:6" ht="15">
      <c r="A12" s="3"/>
      <c r="B12" s="61">
        <f>inputPrYr!B22</f>
        <v>0</v>
      </c>
      <c r="C12" s="119"/>
      <c r="D12" s="120">
        <f t="shared" si="0"/>
      </c>
      <c r="E12" s="121">
        <f t="shared" si="1"/>
      </c>
      <c r="F12" s="118"/>
    </row>
    <row r="13" spans="1:6" ht="15">
      <c r="A13" s="3"/>
      <c r="B13" s="61">
        <f>inputPrYr!B23</f>
        <v>0</v>
      </c>
      <c r="C13" s="122"/>
      <c r="D13" s="120">
        <f t="shared" si="0"/>
      </c>
      <c r="E13" s="121">
        <f t="shared" si="1"/>
      </c>
      <c r="F13" s="118"/>
    </row>
    <row r="14" spans="1:6" ht="15">
      <c r="A14" s="3"/>
      <c r="B14" s="61">
        <f>inputPrYr!B24</f>
        <v>0</v>
      </c>
      <c r="C14" s="122"/>
      <c r="D14" s="120">
        <f t="shared" si="0"/>
      </c>
      <c r="E14" s="121">
        <f t="shared" si="1"/>
      </c>
      <c r="F14" s="118"/>
    </row>
    <row r="15" spans="1:6" ht="15">
      <c r="A15" s="3"/>
      <c r="B15" s="61">
        <f>inputPrYr!B25</f>
        <v>0</v>
      </c>
      <c r="C15" s="122"/>
      <c r="D15" s="120">
        <f t="shared" si="0"/>
      </c>
      <c r="E15" s="121">
        <f t="shared" si="1"/>
      </c>
      <c r="F15" s="118"/>
    </row>
    <row r="16" spans="1:6" ht="15.75" thickBot="1">
      <c r="A16" s="3"/>
      <c r="B16" s="62" t="s">
        <v>188</v>
      </c>
      <c r="C16" s="123">
        <f>SUM(C6:C15)</f>
        <v>0</v>
      </c>
      <c r="D16" s="124">
        <f>SUM(D6:D15)</f>
        <v>0</v>
      </c>
      <c r="E16" s="123">
        <f>SUM(E6:E15)</f>
        <v>0</v>
      </c>
      <c r="F16" s="118"/>
    </row>
    <row r="17" spans="1:6" ht="15.75" thickTop="1">
      <c r="A17" s="3"/>
      <c r="B17" s="3"/>
      <c r="C17" s="3"/>
      <c r="D17" s="3"/>
      <c r="E17" s="3"/>
      <c r="F17" s="118"/>
    </row>
    <row r="18" spans="1:6" ht="15">
      <c r="A18" s="3"/>
      <c r="B18" s="3"/>
      <c r="C18" s="3"/>
      <c r="D18" s="3"/>
      <c r="E18" s="3"/>
      <c r="F18" s="118"/>
    </row>
    <row r="19" spans="1:6" ht="15">
      <c r="A19" s="875" t="str">
        <f>CONCATENATE("",F1-1," July 1 Valuation:")</f>
        <v>2014 July 1 Valuation:</v>
      </c>
      <c r="B19" s="874"/>
      <c r="C19" s="875"/>
      <c r="D19" s="125">
        <f>inputOth!E7</f>
        <v>1347781</v>
      </c>
      <c r="E19" s="3"/>
      <c r="F19" s="118"/>
    </row>
    <row r="20" spans="1:6" ht="15">
      <c r="A20" s="3"/>
      <c r="B20" s="3"/>
      <c r="C20" s="3"/>
      <c r="D20" s="3"/>
      <c r="E20" s="3"/>
      <c r="F20" s="118"/>
    </row>
    <row r="21" spans="1:6" ht="15">
      <c r="A21" s="3"/>
      <c r="B21" s="875" t="s">
        <v>338</v>
      </c>
      <c r="C21" s="875"/>
      <c r="D21" s="126">
        <f>IF(D19&gt;0,(D19*0.001),"")</f>
        <v>1347.781</v>
      </c>
      <c r="E21" s="3"/>
      <c r="F21" s="118"/>
    </row>
    <row r="22" spans="1:6" ht="15">
      <c r="A22" s="3"/>
      <c r="B22" s="37"/>
      <c r="C22" s="37"/>
      <c r="D22" s="127"/>
      <c r="E22" s="3"/>
      <c r="F22" s="118"/>
    </row>
    <row r="23" spans="1:6" ht="15">
      <c r="A23" s="873" t="s">
        <v>340</v>
      </c>
      <c r="B23" s="797"/>
      <c r="C23" s="797"/>
      <c r="D23" s="128">
        <f>inputOth!E13</f>
        <v>0</v>
      </c>
      <c r="E23" s="129"/>
      <c r="F23" s="129"/>
    </row>
    <row r="24" spans="1:6" ht="15">
      <c r="A24" s="129"/>
      <c r="B24" s="129"/>
      <c r="C24" s="129"/>
      <c r="D24" s="130"/>
      <c r="E24" s="129"/>
      <c r="F24" s="129"/>
    </row>
    <row r="25" spans="1:6" ht="15">
      <c r="A25" s="129"/>
      <c r="B25" s="873" t="s">
        <v>341</v>
      </c>
      <c r="C25" s="874"/>
      <c r="D25" s="131">
        <f>IF(D23&gt;0,(D23*0.001),"")</f>
      </c>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
      <c r="A30" s="351" t="s">
        <v>571</v>
      </c>
      <c r="B30" s="129"/>
      <c r="C30" s="129"/>
      <c r="D30" s="129"/>
      <c r="E30" s="129"/>
      <c r="F30" s="129"/>
    </row>
    <row r="31" spans="1:6" ht="15">
      <c r="A31" s="351"/>
      <c r="B31" s="129"/>
      <c r="C31" s="129"/>
      <c r="D31" s="129"/>
      <c r="E31" s="129"/>
      <c r="F31" s="129"/>
    </row>
    <row r="32" spans="1:6" ht="15">
      <c r="A32" s="351"/>
      <c r="B32" s="129"/>
      <c r="C32" s="129"/>
      <c r="D32" s="129"/>
      <c r="E32" s="129"/>
      <c r="F32" s="129"/>
    </row>
    <row r="33" spans="1:6" ht="15">
      <c r="A33" s="351"/>
      <c r="B33" s="129"/>
      <c r="C33" s="129"/>
      <c r="D33" s="129"/>
      <c r="E33" s="129"/>
      <c r="F33" s="129"/>
    </row>
    <row r="34" spans="1:6" ht="15">
      <c r="A34" s="351"/>
      <c r="B34" s="129"/>
      <c r="C34" s="129"/>
      <c r="D34" s="129"/>
      <c r="E34" s="129"/>
      <c r="F34" s="129"/>
    </row>
    <row r="35" spans="1:6" ht="15">
      <c r="A35" s="351"/>
      <c r="B35" s="129"/>
      <c r="C35" s="129"/>
      <c r="D35" s="129"/>
      <c r="E35" s="129"/>
      <c r="F35" s="129"/>
    </row>
    <row r="36" spans="1:6" ht="15">
      <c r="A36" s="351"/>
      <c r="B36" s="129"/>
      <c r="C36" s="129"/>
      <c r="D36" s="129"/>
      <c r="E36" s="129"/>
      <c r="F36" s="129"/>
    </row>
    <row r="37" spans="1:6" ht="15">
      <c r="A37" s="129"/>
      <c r="B37" s="129"/>
      <c r="C37" s="129"/>
      <c r="D37" s="129"/>
      <c r="E37" s="129"/>
      <c r="F37" s="129"/>
    </row>
    <row r="38" spans="1:6" ht="15">
      <c r="A38" s="129"/>
      <c r="B38" s="111" t="s">
        <v>9</v>
      </c>
      <c r="C38" s="54"/>
      <c r="D38" s="129"/>
      <c r="E38" s="129"/>
      <c r="F38" s="129"/>
    </row>
    <row r="39" spans="1:6" ht="1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61"/>
      <c r="D2" s="761"/>
      <c r="E2" s="761"/>
      <c r="F2" s="761"/>
      <c r="G2" s="761"/>
      <c r="H2" s="761"/>
      <c r="I2" s="765">
        <f>inputPrYr!D5</f>
        <v>2015</v>
      </c>
    </row>
    <row r="3" spans="3:9" ht="15.75" thickBot="1">
      <c r="C3" s="761"/>
      <c r="D3" s="761"/>
      <c r="E3" s="761"/>
      <c r="F3" s="761"/>
      <c r="G3" s="761"/>
      <c r="H3" s="761"/>
      <c r="I3" s="761"/>
    </row>
    <row r="4" spans="3:9" ht="18" thickBot="1">
      <c r="C4" s="879" t="s">
        <v>913</v>
      </c>
      <c r="D4" s="880"/>
      <c r="E4" s="880"/>
      <c r="F4" s="880"/>
      <c r="G4" s="880"/>
      <c r="H4" s="880"/>
      <c r="I4" s="881"/>
    </row>
    <row r="5" spans="3:9" ht="15.75" thickBot="1">
      <c r="C5" s="762"/>
      <c r="D5" s="762"/>
      <c r="E5" s="763"/>
      <c r="F5" s="764"/>
      <c r="G5" s="762"/>
      <c r="H5" s="762"/>
      <c r="I5" s="762"/>
    </row>
    <row r="6" spans="3:9" ht="15">
      <c r="C6" s="882" t="str">
        <f>CONCATENATE("Notice of Vote - ",inputPrYr!D2)</f>
        <v>Notice of Vote - Lincoln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61"/>
      <c r="D2" s="761"/>
      <c r="E2" s="761"/>
      <c r="F2" s="761"/>
      <c r="G2" s="761"/>
      <c r="H2" s="765">
        <f>inputPrYr!D5</f>
        <v>2015</v>
      </c>
    </row>
    <row r="3" spans="3:8" ht="15.75" thickBot="1">
      <c r="C3" s="761"/>
      <c r="D3" s="761"/>
      <c r="E3" s="761"/>
      <c r="F3" s="761"/>
      <c r="G3" s="761"/>
      <c r="H3" s="761"/>
    </row>
    <row r="4" spans="3:8" ht="18" thickBot="1">
      <c r="C4" s="885" t="s">
        <v>914</v>
      </c>
      <c r="D4" s="886"/>
      <c r="E4" s="886"/>
      <c r="F4" s="886"/>
      <c r="G4" s="886"/>
      <c r="H4" s="887"/>
    </row>
    <row r="5" spans="3:8" ht="15.75" thickBot="1">
      <c r="C5" s="766"/>
      <c r="D5" s="766"/>
      <c r="E5" s="766"/>
      <c r="F5" s="766"/>
      <c r="G5" s="766"/>
      <c r="H5" s="766"/>
    </row>
    <row r="6" spans="3:8" ht="15">
      <c r="C6" s="882" t="str">
        <f>CONCATENATE("Notice of Vote - ",inputPrYr!D2)</f>
        <v>Notice of Vote - Lincoln Township</v>
      </c>
      <c r="D6" s="883"/>
      <c r="E6" s="883"/>
      <c r="F6" s="883"/>
      <c r="G6" s="883"/>
      <c r="H6" s="884"/>
    </row>
    <row r="7" spans="3:8" ht="15">
      <c r="C7" s="888" t="s">
        <v>915</v>
      </c>
      <c r="D7" s="889"/>
      <c r="E7" s="889"/>
      <c r="F7" s="889"/>
      <c r="G7" s="889"/>
      <c r="H7" s="890"/>
    </row>
    <row r="8" spans="3:8" ht="15">
      <c r="C8" s="888" t="s">
        <v>916</v>
      </c>
      <c r="D8" s="889"/>
      <c r="E8" s="889"/>
      <c r="F8" s="889"/>
      <c r="G8" s="889"/>
      <c r="H8" s="890"/>
    </row>
    <row r="9" spans="3:8" ht="15">
      <c r="C9" s="769" t="str">
        <f>CONCATENATE(H2-1," Budget")</f>
        <v>2014 Budget</v>
      </c>
      <c r="D9" s="773" t="s">
        <v>2</v>
      </c>
      <c r="E9" s="775">
        <f>inputPrYr!E26</f>
        <v>26966</v>
      </c>
      <c r="F9" s="767"/>
      <c r="G9" s="767"/>
      <c r="H9" s="768"/>
    </row>
    <row r="10" spans="3:8" ht="15">
      <c r="C10" s="769" t="str">
        <f>CONCATENATE(H2," Budget")</f>
        <v>2015 Budget</v>
      </c>
      <c r="D10" s="773" t="s">
        <v>2</v>
      </c>
      <c r="E10" s="776">
        <f>cert!F35</f>
        <v>28067.3</v>
      </c>
      <c r="F10" s="767"/>
      <c r="G10" s="767"/>
      <c r="H10" s="768"/>
    </row>
    <row r="11" spans="3:8" ht="15">
      <c r="C11" s="769"/>
      <c r="D11" s="767"/>
      <c r="E11" s="767" t="s">
        <v>917</v>
      </c>
      <c r="F11" s="777"/>
      <c r="G11" s="772" t="s">
        <v>918</v>
      </c>
      <c r="H11" s="778"/>
    </row>
    <row r="12" spans="3:8" ht="15.7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4" t="s">
        <v>354</v>
      </c>
      <c r="B3" s="334"/>
      <c r="C3" s="334"/>
      <c r="D3" s="334"/>
      <c r="E3" s="334"/>
      <c r="F3" s="334"/>
      <c r="G3" s="334"/>
      <c r="H3" s="334"/>
      <c r="I3" s="334"/>
      <c r="J3" s="334"/>
      <c r="K3" s="334"/>
      <c r="L3" s="334"/>
    </row>
    <row r="5" ht="15">
      <c r="A5" s="333" t="s">
        <v>355</v>
      </c>
    </row>
    <row r="6" ht="15">
      <c r="A6" s="333" t="str">
        <f>CONCATENATE(inputPrYr!D5-2," 'total expenditures' exceed your ",inputPrYr!D5-2," 'budget authority.'")</f>
        <v>2013 'total expenditures' exceed your 2013 'budget authority.'</v>
      </c>
    </row>
    <row r="7" ht="15">
      <c r="A7" s="333"/>
    </row>
    <row r="8" ht="15">
      <c r="A8" s="333" t="s">
        <v>356</v>
      </c>
    </row>
    <row r="9" ht="15">
      <c r="A9" s="333" t="s">
        <v>357</v>
      </c>
    </row>
    <row r="10" ht="15">
      <c r="A10" s="333" t="s">
        <v>358</v>
      </c>
    </row>
    <row r="11" ht="15">
      <c r="A11" s="333"/>
    </row>
    <row r="12" ht="15">
      <c r="A12" s="333"/>
    </row>
    <row r="13" ht="15">
      <c r="A13" s="332" t="s">
        <v>359</v>
      </c>
    </row>
    <row r="15" ht="15">
      <c r="A15" s="333" t="s">
        <v>360</v>
      </c>
    </row>
    <row r="16" ht="15">
      <c r="A16" s="333" t="str">
        <f>CONCATENATE("(i.e. an audit has not been completed, or the ",inputPrYr!D5," adopted")</f>
        <v>(i.e. an audit has not been completed, or the 2015 adopted</v>
      </c>
    </row>
    <row r="17" ht="15">
      <c r="A17" s="333" t="s">
        <v>361</v>
      </c>
    </row>
    <row r="18" ht="15">
      <c r="A18" s="333" t="s">
        <v>362</v>
      </c>
    </row>
    <row r="19" ht="15">
      <c r="A19" s="333" t="s">
        <v>363</v>
      </c>
    </row>
    <row r="21" ht="15">
      <c r="A21" s="332" t="s">
        <v>364</v>
      </c>
    </row>
    <row r="22" ht="15">
      <c r="A22" s="332"/>
    </row>
    <row r="23" ht="15">
      <c r="A23" s="333" t="s">
        <v>365</v>
      </c>
    </row>
    <row r="24" ht="15">
      <c r="A24" s="333" t="s">
        <v>366</v>
      </c>
    </row>
    <row r="25" ht="15">
      <c r="A25" s="333" t="str">
        <f>CONCATENATE("particular fund.  If your ",inputPrYr!D5-2," budget was amended, did you")</f>
        <v>particular fund.  If your 2013 budget was amended, did you</v>
      </c>
    </row>
    <row r="26" ht="15">
      <c r="A26" s="333" t="s">
        <v>367</v>
      </c>
    </row>
    <row r="27" ht="15">
      <c r="A27" s="333"/>
    </row>
    <row r="28" ht="15">
      <c r="A28" s="333" t="str">
        <f>CONCATENATE("Next, look to see if any of your ",inputPrYr!D5-2," expenditures can be")</f>
        <v>Next, look to see if any of your 2013 expenditures can be</v>
      </c>
    </row>
    <row r="29" ht="15">
      <c r="A29" s="333" t="s">
        <v>368</v>
      </c>
    </row>
    <row r="30" ht="15">
      <c r="A30" s="333" t="s">
        <v>369</v>
      </c>
    </row>
    <row r="31" ht="15">
      <c r="A31" s="333" t="s">
        <v>370</v>
      </c>
    </row>
    <row r="32" ht="15">
      <c r="A32" s="333"/>
    </row>
    <row r="33" ht="15">
      <c r="A33" s="333" t="str">
        <f>CONCATENATE("Additionally, do your ",inputPrYr!D5-2," receipts contain a reimbursement")</f>
        <v>Additionally, do your 2013 receipts contain a reimbursement</v>
      </c>
    </row>
    <row r="34" ht="15">
      <c r="A34" s="333" t="s">
        <v>371</v>
      </c>
    </row>
    <row r="35" ht="15">
      <c r="A35" s="333" t="s">
        <v>372</v>
      </c>
    </row>
    <row r="36" ht="15">
      <c r="A36" s="333"/>
    </row>
    <row r="37" ht="15">
      <c r="A37" s="333" t="s">
        <v>373</v>
      </c>
    </row>
    <row r="38" ht="15">
      <c r="A38" s="333" t="s">
        <v>559</v>
      </c>
    </row>
    <row r="39" ht="15">
      <c r="A39" s="333" t="s">
        <v>560</v>
      </c>
    </row>
    <row r="40" ht="15">
      <c r="A40" s="333" t="s">
        <v>374</v>
      </c>
    </row>
    <row r="41" ht="15">
      <c r="A41" s="333" t="s">
        <v>375</v>
      </c>
    </row>
    <row r="42" ht="15">
      <c r="A42" s="333" t="s">
        <v>376</v>
      </c>
    </row>
    <row r="43" ht="15">
      <c r="A43" s="333" t="s">
        <v>377</v>
      </c>
    </row>
    <row r="44" ht="15">
      <c r="A44" s="333" t="s">
        <v>378</v>
      </c>
    </row>
    <row r="45" ht="15">
      <c r="A45" s="333"/>
    </row>
    <row r="46" ht="15">
      <c r="A46" s="333" t="s">
        <v>379</v>
      </c>
    </row>
    <row r="47" ht="15">
      <c r="A47" s="333" t="s">
        <v>380</v>
      </c>
    </row>
    <row r="48" ht="15">
      <c r="A48" s="333" t="s">
        <v>381</v>
      </c>
    </row>
    <row r="49" ht="15">
      <c r="A49" s="333"/>
    </row>
    <row r="50" ht="15">
      <c r="A50" s="333" t="s">
        <v>382</v>
      </c>
    </row>
    <row r="51" ht="15">
      <c r="A51" s="333" t="s">
        <v>383</v>
      </c>
    </row>
    <row r="52" ht="15">
      <c r="A52" s="333" t="s">
        <v>384</v>
      </c>
    </row>
    <row r="53" ht="15">
      <c r="A53" s="333"/>
    </row>
    <row r="54" ht="15">
      <c r="A54" s="332" t="s">
        <v>385</v>
      </c>
    </row>
    <row r="55" ht="15">
      <c r="A55" s="333"/>
    </row>
    <row r="56" ht="15">
      <c r="A56" s="333" t="s">
        <v>386</v>
      </c>
    </row>
    <row r="57" ht="15">
      <c r="A57" s="333" t="s">
        <v>387</v>
      </c>
    </row>
    <row r="58" ht="15">
      <c r="A58" s="333" t="s">
        <v>388</v>
      </c>
    </row>
    <row r="59" ht="15">
      <c r="A59" s="333" t="s">
        <v>389</v>
      </c>
    </row>
    <row r="60" ht="15">
      <c r="A60" s="333" t="s">
        <v>390</v>
      </c>
    </row>
    <row r="61" ht="15">
      <c r="A61" s="333" t="s">
        <v>391</v>
      </c>
    </row>
    <row r="62" ht="15">
      <c r="A62" s="333" t="s">
        <v>392</v>
      </c>
    </row>
    <row r="63" ht="15">
      <c r="A63" s="333" t="s">
        <v>393</v>
      </c>
    </row>
    <row r="64" ht="15">
      <c r="A64" s="333" t="s">
        <v>394</v>
      </c>
    </row>
    <row r="65" ht="15">
      <c r="A65" s="333" t="s">
        <v>395</v>
      </c>
    </row>
    <row r="66" ht="15">
      <c r="A66" s="333" t="s">
        <v>396</v>
      </c>
    </row>
    <row r="67" ht="15">
      <c r="A67" s="333" t="s">
        <v>397</v>
      </c>
    </row>
    <row r="68" ht="15">
      <c r="A68" s="333" t="s">
        <v>398</v>
      </c>
    </row>
    <row r="69" ht="15">
      <c r="A69" s="333"/>
    </row>
    <row r="70" ht="15">
      <c r="A70" s="333" t="s">
        <v>399</v>
      </c>
    </row>
    <row r="71" ht="15">
      <c r="A71" s="333" t="s">
        <v>400</v>
      </c>
    </row>
    <row r="72" ht="15">
      <c r="A72" s="333" t="s">
        <v>401</v>
      </c>
    </row>
    <row r="73" ht="15">
      <c r="A73" s="333"/>
    </row>
    <row r="74" ht="15">
      <c r="A74" s="332" t="str">
        <f>CONCATENATE("What if the ",inputPrYr!D5-2," financial records have been closed?")</f>
        <v>What if the 2013 financial records have been closed?</v>
      </c>
    </row>
    <row r="76" ht="15">
      <c r="A76" s="333" t="s">
        <v>402</v>
      </c>
    </row>
    <row r="77" ht="15">
      <c r="A77" s="333" t="str">
        <f>CONCATENATE("(i.e. an audit for ",inputPrYr!D5-2," has been completed, or the ",inputPrYr!D5)</f>
        <v>(i.e. an audit for 2013 has been completed, or the 2015</v>
      </c>
    </row>
    <row r="78" ht="15">
      <c r="A78" s="333" t="s">
        <v>403</v>
      </c>
    </row>
    <row r="79" ht="15">
      <c r="A79" s="333" t="s">
        <v>404</v>
      </c>
    </row>
    <row r="80" ht="15">
      <c r="A80" s="333"/>
    </row>
    <row r="81" ht="15">
      <c r="A81" s="333" t="s">
        <v>405</v>
      </c>
    </row>
    <row r="82" ht="15">
      <c r="A82" s="333" t="s">
        <v>406</v>
      </c>
    </row>
    <row r="83" ht="15">
      <c r="A83" s="333" t="s">
        <v>407</v>
      </c>
    </row>
    <row r="84" ht="15">
      <c r="A84" s="333"/>
    </row>
    <row r="85" ht="1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4" t="s">
        <v>409</v>
      </c>
      <c r="B3" s="334"/>
      <c r="C3" s="334"/>
      <c r="D3" s="334"/>
      <c r="E3" s="334"/>
      <c r="F3" s="334"/>
      <c r="G3" s="334"/>
      <c r="H3" s="331"/>
      <c r="I3" s="331"/>
      <c r="J3" s="331"/>
    </row>
    <row r="5" ht="15">
      <c r="A5" s="333" t="s">
        <v>410</v>
      </c>
    </row>
    <row r="6" ht="15">
      <c r="A6" t="str">
        <f>CONCATENATE(inputPrYr!D5-2," expenditures show that you finished the year with a ")</f>
        <v>2013 expenditures show that you finished the year with a </v>
      </c>
    </row>
    <row r="7" ht="15">
      <c r="A7" t="s">
        <v>411</v>
      </c>
    </row>
    <row r="9" ht="15">
      <c r="A9" t="s">
        <v>412</v>
      </c>
    </row>
    <row r="10" ht="15">
      <c r="A10" t="s">
        <v>413</v>
      </c>
    </row>
    <row r="11" ht="15">
      <c r="A11" t="s">
        <v>414</v>
      </c>
    </row>
    <row r="13" ht="15">
      <c r="A13" s="332" t="s">
        <v>415</v>
      </c>
    </row>
    <row r="14" ht="15">
      <c r="A14" s="332"/>
    </row>
    <row r="15" ht="15">
      <c r="A15" s="333" t="s">
        <v>416</v>
      </c>
    </row>
    <row r="16" ht="15">
      <c r="A16" s="333" t="s">
        <v>417</v>
      </c>
    </row>
    <row r="17" ht="15">
      <c r="A17" s="333" t="s">
        <v>418</v>
      </c>
    </row>
    <row r="18" ht="15">
      <c r="A18" s="333"/>
    </row>
    <row r="19" ht="15">
      <c r="A19" s="332" t="s">
        <v>419</v>
      </c>
    </row>
    <row r="20" ht="15">
      <c r="A20" s="332"/>
    </row>
    <row r="21" ht="15">
      <c r="A21" s="333" t="s">
        <v>420</v>
      </c>
    </row>
    <row r="22" ht="15">
      <c r="A22" s="333" t="s">
        <v>421</v>
      </c>
    </row>
    <row r="23" ht="15">
      <c r="A23" s="333" t="s">
        <v>422</v>
      </c>
    </row>
    <row r="24" ht="15">
      <c r="A24" s="333"/>
    </row>
    <row r="25" ht="15">
      <c r="A25" s="332" t="s">
        <v>423</v>
      </c>
    </row>
    <row r="26" ht="15">
      <c r="A26" s="332"/>
    </row>
    <row r="27" ht="15">
      <c r="A27" s="333" t="s">
        <v>424</v>
      </c>
    </row>
    <row r="28" ht="15">
      <c r="A28" s="333" t="s">
        <v>425</v>
      </c>
    </row>
    <row r="29" ht="15">
      <c r="A29" s="333" t="s">
        <v>426</v>
      </c>
    </row>
    <row r="30" ht="15">
      <c r="A30" s="333"/>
    </row>
    <row r="31" ht="15">
      <c r="A31" s="332" t="s">
        <v>427</v>
      </c>
    </row>
    <row r="32" ht="15">
      <c r="A32" s="332"/>
    </row>
    <row r="33" spans="1:8" ht="15">
      <c r="A33" s="333" t="str">
        <f>CONCATENATE("If your financial records for ",inputPrYr!D5-2," are not closed")</f>
        <v>If your financial records for 2013 are not closed</v>
      </c>
      <c r="B33" s="333"/>
      <c r="C33" s="333"/>
      <c r="D33" s="333"/>
      <c r="E33" s="333"/>
      <c r="F33" s="333"/>
      <c r="G33" s="333"/>
      <c r="H33" s="333"/>
    </row>
    <row r="34" spans="1:8" ht="15">
      <c r="A34" s="333" t="str">
        <f>CONCATENATE("(i.e. an audit has not been completed, or the ",inputPrYr!D5," adopted ")</f>
        <v>(i.e. an audit has not been completed, or the 2015 adopted </v>
      </c>
      <c r="B34" s="333"/>
      <c r="C34" s="333"/>
      <c r="D34" s="333"/>
      <c r="E34" s="333"/>
      <c r="F34" s="333"/>
      <c r="G34" s="333"/>
      <c r="H34" s="333"/>
    </row>
    <row r="35" spans="1:8" ht="15">
      <c r="A35" s="333" t="s">
        <v>428</v>
      </c>
      <c r="B35" s="333"/>
      <c r="C35" s="333"/>
      <c r="D35" s="333"/>
      <c r="E35" s="333"/>
      <c r="F35" s="333"/>
      <c r="G35" s="333"/>
      <c r="H35" s="333"/>
    </row>
    <row r="36" spans="1:8" ht="15">
      <c r="A36" s="333" t="s">
        <v>429</v>
      </c>
      <c r="B36" s="333"/>
      <c r="C36" s="333"/>
      <c r="D36" s="333"/>
      <c r="E36" s="333"/>
      <c r="F36" s="333"/>
      <c r="G36" s="333"/>
      <c r="H36" s="333"/>
    </row>
    <row r="37" spans="1:8" ht="15">
      <c r="A37" s="333" t="s">
        <v>430</v>
      </c>
      <c r="B37" s="333"/>
      <c r="C37" s="333"/>
      <c r="D37" s="333"/>
      <c r="E37" s="333"/>
      <c r="F37" s="333"/>
      <c r="G37" s="333"/>
      <c r="H37" s="333"/>
    </row>
    <row r="38" spans="1:8" ht="15">
      <c r="A38" s="333" t="s">
        <v>431</v>
      </c>
      <c r="B38" s="333"/>
      <c r="C38" s="333"/>
      <c r="D38" s="333"/>
      <c r="E38" s="333"/>
      <c r="F38" s="333"/>
      <c r="G38" s="333"/>
      <c r="H38" s="333"/>
    </row>
    <row r="39" spans="1:8" ht="15">
      <c r="A39" s="333" t="s">
        <v>432</v>
      </c>
      <c r="B39" s="333"/>
      <c r="C39" s="333"/>
      <c r="D39" s="333"/>
      <c r="E39" s="333"/>
      <c r="F39" s="333"/>
      <c r="G39" s="333"/>
      <c r="H39" s="333"/>
    </row>
    <row r="40" spans="1:8" ht="15">
      <c r="A40" s="333"/>
      <c r="B40" s="333"/>
      <c r="C40" s="333"/>
      <c r="D40" s="333"/>
      <c r="E40" s="333"/>
      <c r="F40" s="333"/>
      <c r="G40" s="333"/>
      <c r="H40" s="333"/>
    </row>
    <row r="41" spans="1:8" ht="15">
      <c r="A41" s="333" t="s">
        <v>433</v>
      </c>
      <c r="B41" s="333"/>
      <c r="C41" s="333"/>
      <c r="D41" s="333"/>
      <c r="E41" s="333"/>
      <c r="F41" s="333"/>
      <c r="G41" s="333"/>
      <c r="H41" s="333"/>
    </row>
    <row r="42" spans="1:8" ht="15">
      <c r="A42" s="333" t="s">
        <v>434</v>
      </c>
      <c r="B42" s="333"/>
      <c r="C42" s="333"/>
      <c r="D42" s="333"/>
      <c r="E42" s="333"/>
      <c r="F42" s="333"/>
      <c r="G42" s="333"/>
      <c r="H42" s="333"/>
    </row>
    <row r="43" spans="1:8" ht="15">
      <c r="A43" s="333" t="s">
        <v>435</v>
      </c>
      <c r="B43" s="333"/>
      <c r="C43" s="333"/>
      <c r="D43" s="333"/>
      <c r="E43" s="333"/>
      <c r="F43" s="333"/>
      <c r="G43" s="333"/>
      <c r="H43" s="333"/>
    </row>
    <row r="44" spans="1:8" ht="15">
      <c r="A44" s="333" t="s">
        <v>436</v>
      </c>
      <c r="B44" s="333"/>
      <c r="C44" s="333"/>
      <c r="D44" s="333"/>
      <c r="E44" s="333"/>
      <c r="F44" s="333"/>
      <c r="G44" s="333"/>
      <c r="H44" s="333"/>
    </row>
    <row r="45" spans="1:8" ht="15">
      <c r="A45" s="333"/>
      <c r="B45" s="333"/>
      <c r="C45" s="333"/>
      <c r="D45" s="333"/>
      <c r="E45" s="333"/>
      <c r="F45" s="333"/>
      <c r="G45" s="333"/>
      <c r="H45" s="333"/>
    </row>
    <row r="46" spans="1:8" ht="15">
      <c r="A46" s="333" t="s">
        <v>437</v>
      </c>
      <c r="B46" s="333"/>
      <c r="C46" s="333"/>
      <c r="D46" s="333"/>
      <c r="E46" s="333"/>
      <c r="F46" s="333"/>
      <c r="G46" s="333"/>
      <c r="H46" s="333"/>
    </row>
    <row r="47" spans="1:8" ht="15">
      <c r="A47" s="333" t="s">
        <v>438</v>
      </c>
      <c r="B47" s="333"/>
      <c r="C47" s="333"/>
      <c r="D47" s="333"/>
      <c r="E47" s="333"/>
      <c r="F47" s="333"/>
      <c r="G47" s="333"/>
      <c r="H47" s="333"/>
    </row>
    <row r="48" spans="1:8" ht="15">
      <c r="A48" s="333" t="s">
        <v>439</v>
      </c>
      <c r="B48" s="333"/>
      <c r="C48" s="333"/>
      <c r="D48" s="333"/>
      <c r="E48" s="333"/>
      <c r="F48" s="333"/>
      <c r="G48" s="333"/>
      <c r="H48" s="333"/>
    </row>
    <row r="49" spans="1:8" ht="15">
      <c r="A49" s="333" t="s">
        <v>440</v>
      </c>
      <c r="B49" s="333"/>
      <c r="C49" s="333"/>
      <c r="D49" s="333"/>
      <c r="E49" s="333"/>
      <c r="F49" s="333"/>
      <c r="G49" s="333"/>
      <c r="H49" s="333"/>
    </row>
    <row r="50" spans="1:8" ht="15">
      <c r="A50" s="333" t="s">
        <v>441</v>
      </c>
      <c r="B50" s="333"/>
      <c r="C50" s="333"/>
      <c r="D50" s="333"/>
      <c r="E50" s="333"/>
      <c r="F50" s="333"/>
      <c r="G50" s="333"/>
      <c r="H50" s="333"/>
    </row>
    <row r="51" spans="1:8" ht="15">
      <c r="A51" s="333"/>
      <c r="B51" s="333"/>
      <c r="C51" s="333"/>
      <c r="D51" s="333"/>
      <c r="E51" s="333"/>
      <c r="F51" s="333"/>
      <c r="G51" s="333"/>
      <c r="H51" s="333"/>
    </row>
    <row r="52" spans="1:8" ht="15">
      <c r="A52" s="332" t="s">
        <v>442</v>
      </c>
      <c r="B52" s="332"/>
      <c r="C52" s="332"/>
      <c r="D52" s="332"/>
      <c r="E52" s="332"/>
      <c r="F52" s="332"/>
      <c r="G52" s="332"/>
      <c r="H52" s="333"/>
    </row>
    <row r="53" spans="1:8" ht="15">
      <c r="A53" s="332" t="s">
        <v>443</v>
      </c>
      <c r="B53" s="332"/>
      <c r="C53" s="332"/>
      <c r="D53" s="332"/>
      <c r="E53" s="332"/>
      <c r="F53" s="332"/>
      <c r="G53" s="332"/>
      <c r="H53" s="333"/>
    </row>
    <row r="54" spans="1:8" ht="15">
      <c r="A54" s="333"/>
      <c r="B54" s="333"/>
      <c r="C54" s="333"/>
      <c r="D54" s="333"/>
      <c r="E54" s="333"/>
      <c r="F54" s="333"/>
      <c r="G54" s="333"/>
      <c r="H54" s="333"/>
    </row>
    <row r="55" spans="1:8" ht="15">
      <c r="A55" s="333" t="s">
        <v>444</v>
      </c>
      <c r="B55" s="333"/>
      <c r="C55" s="333"/>
      <c r="D55" s="333"/>
      <c r="E55" s="333"/>
      <c r="F55" s="333"/>
      <c r="G55" s="333"/>
      <c r="H55" s="333"/>
    </row>
    <row r="56" spans="1:8" ht="15">
      <c r="A56" s="333" t="s">
        <v>445</v>
      </c>
      <c r="B56" s="333"/>
      <c r="C56" s="333"/>
      <c r="D56" s="333"/>
      <c r="E56" s="333"/>
      <c r="F56" s="333"/>
      <c r="G56" s="333"/>
      <c r="H56" s="333"/>
    </row>
    <row r="57" spans="1:8" ht="15">
      <c r="A57" s="333" t="s">
        <v>446</v>
      </c>
      <c r="B57" s="333"/>
      <c r="C57" s="333"/>
      <c r="D57" s="333"/>
      <c r="E57" s="333"/>
      <c r="F57" s="333"/>
      <c r="G57" s="333"/>
      <c r="H57" s="333"/>
    </row>
    <row r="58" spans="1:8" ht="15">
      <c r="A58" s="333" t="s">
        <v>447</v>
      </c>
      <c r="B58" s="333"/>
      <c r="C58" s="333"/>
      <c r="D58" s="333"/>
      <c r="E58" s="333"/>
      <c r="F58" s="333"/>
      <c r="G58" s="333"/>
      <c r="H58" s="333"/>
    </row>
    <row r="59" spans="1:8" ht="15">
      <c r="A59" s="333"/>
      <c r="B59" s="333"/>
      <c r="C59" s="333"/>
      <c r="D59" s="333"/>
      <c r="E59" s="333"/>
      <c r="F59" s="333"/>
      <c r="G59" s="333"/>
      <c r="H59" s="333"/>
    </row>
    <row r="60" spans="1:8" ht="15">
      <c r="A60" s="333" t="s">
        <v>448</v>
      </c>
      <c r="B60" s="333"/>
      <c r="C60" s="333"/>
      <c r="D60" s="333"/>
      <c r="E60" s="333"/>
      <c r="F60" s="333"/>
      <c r="G60" s="333"/>
      <c r="H60" s="333"/>
    </row>
    <row r="61" spans="1:8" ht="15">
      <c r="A61" s="333" t="s">
        <v>449</v>
      </c>
      <c r="B61" s="333"/>
      <c r="C61" s="333"/>
      <c r="D61" s="333"/>
      <c r="E61" s="333"/>
      <c r="F61" s="333"/>
      <c r="G61" s="333"/>
      <c r="H61" s="333"/>
    </row>
    <row r="62" spans="1:8" ht="15">
      <c r="A62" s="333" t="s">
        <v>450</v>
      </c>
      <c r="B62" s="333"/>
      <c r="C62" s="333"/>
      <c r="D62" s="333"/>
      <c r="E62" s="333"/>
      <c r="F62" s="333"/>
      <c r="G62" s="333"/>
      <c r="H62" s="333"/>
    </row>
    <row r="63" spans="1:8" ht="15">
      <c r="A63" s="333" t="s">
        <v>451</v>
      </c>
      <c r="B63" s="333"/>
      <c r="C63" s="333"/>
      <c r="D63" s="333"/>
      <c r="E63" s="333"/>
      <c r="F63" s="333"/>
      <c r="G63" s="333"/>
      <c r="H63" s="333"/>
    </row>
    <row r="64" spans="1:8" ht="15">
      <c r="A64" s="333" t="s">
        <v>452</v>
      </c>
      <c r="B64" s="333"/>
      <c r="C64" s="333"/>
      <c r="D64" s="333"/>
      <c r="E64" s="333"/>
      <c r="F64" s="333"/>
      <c r="G64" s="333"/>
      <c r="H64" s="333"/>
    </row>
    <row r="65" spans="1:8" ht="15">
      <c r="A65" s="333" t="s">
        <v>453</v>
      </c>
      <c r="B65" s="333"/>
      <c r="C65" s="333"/>
      <c r="D65" s="333"/>
      <c r="E65" s="333"/>
      <c r="F65" s="333"/>
      <c r="G65" s="333"/>
      <c r="H65" s="333"/>
    </row>
    <row r="66" spans="1:8" ht="15">
      <c r="A66" s="333"/>
      <c r="B66" s="333"/>
      <c r="C66" s="333"/>
      <c r="D66" s="333"/>
      <c r="E66" s="333"/>
      <c r="F66" s="333"/>
      <c r="G66" s="333"/>
      <c r="H66" s="333"/>
    </row>
    <row r="67" spans="1:8" ht="15">
      <c r="A67" s="333" t="s">
        <v>454</v>
      </c>
      <c r="B67" s="333"/>
      <c r="C67" s="333"/>
      <c r="D67" s="333"/>
      <c r="E67" s="333"/>
      <c r="F67" s="333"/>
      <c r="G67" s="333"/>
      <c r="H67" s="333"/>
    </row>
    <row r="68" spans="1:8" ht="15">
      <c r="A68" s="333" t="s">
        <v>455</v>
      </c>
      <c r="B68" s="333"/>
      <c r="C68" s="333"/>
      <c r="D68" s="333"/>
      <c r="E68" s="333"/>
      <c r="F68" s="333"/>
      <c r="G68" s="333"/>
      <c r="H68" s="333"/>
    </row>
    <row r="69" spans="1:8" ht="15">
      <c r="A69" s="333" t="s">
        <v>456</v>
      </c>
      <c r="B69" s="333"/>
      <c r="C69" s="333"/>
      <c r="D69" s="333"/>
      <c r="E69" s="333"/>
      <c r="F69" s="333"/>
      <c r="G69" s="333"/>
      <c r="H69" s="333"/>
    </row>
    <row r="70" spans="1:8" ht="15">
      <c r="A70" s="333" t="s">
        <v>457</v>
      </c>
      <c r="B70" s="333"/>
      <c r="C70" s="333"/>
      <c r="D70" s="333"/>
      <c r="E70" s="333"/>
      <c r="F70" s="333"/>
      <c r="G70" s="333"/>
      <c r="H70" s="333"/>
    </row>
    <row r="71" spans="1:8" ht="15">
      <c r="A71" s="333" t="s">
        <v>458</v>
      </c>
      <c r="B71" s="333"/>
      <c r="C71" s="333"/>
      <c r="D71" s="333"/>
      <c r="E71" s="333"/>
      <c r="F71" s="333"/>
      <c r="G71" s="333"/>
      <c r="H71" s="333"/>
    </row>
    <row r="72" spans="1:8" ht="15">
      <c r="A72" s="333" t="s">
        <v>459</v>
      </c>
      <c r="B72" s="333"/>
      <c r="C72" s="333"/>
      <c r="D72" s="333"/>
      <c r="E72" s="333"/>
      <c r="F72" s="333"/>
      <c r="G72" s="333"/>
      <c r="H72" s="333"/>
    </row>
    <row r="73" spans="1:8" ht="15">
      <c r="A73" s="333" t="s">
        <v>460</v>
      </c>
      <c r="B73" s="333"/>
      <c r="C73" s="333"/>
      <c r="D73" s="333"/>
      <c r="E73" s="333"/>
      <c r="F73" s="333"/>
      <c r="G73" s="333"/>
      <c r="H73" s="333"/>
    </row>
    <row r="74" spans="1:8" ht="15">
      <c r="A74" s="333"/>
      <c r="B74" s="333"/>
      <c r="C74" s="333"/>
      <c r="D74" s="333"/>
      <c r="E74" s="333"/>
      <c r="F74" s="333"/>
      <c r="G74" s="333"/>
      <c r="H74" s="333"/>
    </row>
    <row r="75" spans="1:8" ht="15">
      <c r="A75" s="333" t="s">
        <v>461</v>
      </c>
      <c r="B75" s="333"/>
      <c r="C75" s="333"/>
      <c r="D75" s="333"/>
      <c r="E75" s="333"/>
      <c r="F75" s="333"/>
      <c r="G75" s="333"/>
      <c r="H75" s="333"/>
    </row>
    <row r="76" spans="1:8" ht="15">
      <c r="A76" s="333" t="s">
        <v>462</v>
      </c>
      <c r="B76" s="333"/>
      <c r="C76" s="333"/>
      <c r="D76" s="333"/>
      <c r="E76" s="333"/>
      <c r="F76" s="333"/>
      <c r="G76" s="333"/>
      <c r="H76" s="333"/>
    </row>
    <row r="77" spans="1:8" ht="15">
      <c r="A77" s="333" t="s">
        <v>463</v>
      </c>
      <c r="B77" s="333"/>
      <c r="C77" s="333"/>
      <c r="D77" s="333"/>
      <c r="E77" s="333"/>
      <c r="F77" s="333"/>
      <c r="G77" s="333"/>
      <c r="H77" s="333"/>
    </row>
    <row r="78" spans="1:8" ht="15">
      <c r="A78" s="333"/>
      <c r="B78" s="333"/>
      <c r="C78" s="333"/>
      <c r="D78" s="333"/>
      <c r="E78" s="333"/>
      <c r="F78" s="333"/>
      <c r="G78" s="333"/>
      <c r="H78" s="333"/>
    </row>
    <row r="79" ht="15">
      <c r="A79" s="333" t="s">
        <v>408</v>
      </c>
    </row>
    <row r="80" ht="15">
      <c r="A80" s="332"/>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2"/>
    </row>
    <row r="108" ht="15">
      <c r="A108" s="332"/>
    </row>
    <row r="109" ht="1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4" t="s">
        <v>464</v>
      </c>
      <c r="B3" s="334"/>
      <c r="C3" s="334"/>
      <c r="D3" s="334"/>
      <c r="E3" s="334"/>
      <c r="F3" s="334"/>
      <c r="G3" s="334"/>
      <c r="H3" s="334"/>
      <c r="I3" s="334"/>
      <c r="J3" s="334"/>
      <c r="K3" s="334"/>
      <c r="L3" s="334"/>
    </row>
    <row r="4" spans="1:12" ht="15">
      <c r="A4" s="334"/>
      <c r="B4" s="334"/>
      <c r="C4" s="334"/>
      <c r="D4" s="334"/>
      <c r="E4" s="334"/>
      <c r="F4" s="334"/>
      <c r="G4" s="334"/>
      <c r="H4" s="334"/>
      <c r="I4" s="334"/>
      <c r="J4" s="334"/>
      <c r="K4" s="334"/>
      <c r="L4" s="334"/>
    </row>
    <row r="5" spans="1:12" ht="15">
      <c r="A5" s="333" t="s">
        <v>355</v>
      </c>
      <c r="I5" s="334"/>
      <c r="J5" s="334"/>
      <c r="K5" s="334"/>
      <c r="L5" s="334"/>
    </row>
    <row r="6" spans="1:12" ht="15">
      <c r="A6" s="333" t="str">
        <f>CONCATENATE("estimated ",inputPrYr!D5-1," 'total expenditures' exceed your ",inputPrYr!D5-1,"")</f>
        <v>estimated 2014 'total expenditures' exceed your 2014</v>
      </c>
      <c r="I6" s="334"/>
      <c r="J6" s="334"/>
      <c r="K6" s="334"/>
      <c r="L6" s="334"/>
    </row>
    <row r="7" spans="1:12" ht="15">
      <c r="A7" s="345" t="s">
        <v>465</v>
      </c>
      <c r="I7" s="334"/>
      <c r="J7" s="334"/>
      <c r="K7" s="334"/>
      <c r="L7" s="334"/>
    </row>
    <row r="8" spans="1:12" ht="15">
      <c r="A8" s="333"/>
      <c r="I8" s="334"/>
      <c r="J8" s="334"/>
      <c r="K8" s="334"/>
      <c r="L8" s="334"/>
    </row>
    <row r="9" spans="1:12" ht="15">
      <c r="A9" s="333" t="s">
        <v>466</v>
      </c>
      <c r="I9" s="334"/>
      <c r="J9" s="334"/>
      <c r="K9" s="334"/>
      <c r="L9" s="334"/>
    </row>
    <row r="10" spans="1:12" ht="15">
      <c r="A10" s="333" t="s">
        <v>467</v>
      </c>
      <c r="I10" s="334"/>
      <c r="J10" s="334"/>
      <c r="K10" s="334"/>
      <c r="L10" s="334"/>
    </row>
    <row r="11" spans="1:12" ht="15">
      <c r="A11" s="333" t="s">
        <v>468</v>
      </c>
      <c r="I11" s="334"/>
      <c r="J11" s="334"/>
      <c r="K11" s="334"/>
      <c r="L11" s="334"/>
    </row>
    <row r="12" spans="1:12" ht="15">
      <c r="A12" s="333" t="s">
        <v>469</v>
      </c>
      <c r="I12" s="334"/>
      <c r="J12" s="334"/>
      <c r="K12" s="334"/>
      <c r="L12" s="334"/>
    </row>
    <row r="13" spans="1:12" ht="15">
      <c r="A13" s="333" t="s">
        <v>470</v>
      </c>
      <c r="I13" s="334"/>
      <c r="J13" s="334"/>
      <c r="K13" s="334"/>
      <c r="L13" s="334"/>
    </row>
    <row r="14" spans="1:12" ht="15">
      <c r="A14" s="334"/>
      <c r="B14" s="334"/>
      <c r="C14" s="334"/>
      <c r="D14" s="334"/>
      <c r="E14" s="334"/>
      <c r="F14" s="334"/>
      <c r="G14" s="334"/>
      <c r="H14" s="334"/>
      <c r="I14" s="334"/>
      <c r="J14" s="334"/>
      <c r="K14" s="334"/>
      <c r="L14" s="334"/>
    </row>
    <row r="15" ht="15">
      <c r="A15" s="332" t="s">
        <v>471</v>
      </c>
    </row>
    <row r="16" ht="15">
      <c r="A16" s="332" t="s">
        <v>472</v>
      </c>
    </row>
    <row r="17" ht="15">
      <c r="A17" s="332"/>
    </row>
    <row r="18" spans="1:7" ht="15">
      <c r="A18" s="333" t="s">
        <v>473</v>
      </c>
      <c r="B18" s="333"/>
      <c r="C18" s="333"/>
      <c r="D18" s="333"/>
      <c r="E18" s="333"/>
      <c r="F18" s="333"/>
      <c r="G18" s="333"/>
    </row>
    <row r="19" spans="1:7" ht="15">
      <c r="A19" s="333" t="str">
        <f>CONCATENATE("your ",inputPrYr!D5-1," numbers to see what steps might be necessary to")</f>
        <v>your 2014 numbers to see what steps might be necessary to</v>
      </c>
      <c r="B19" s="333"/>
      <c r="C19" s="333"/>
      <c r="D19" s="333"/>
      <c r="E19" s="333"/>
      <c r="F19" s="333"/>
      <c r="G19" s="333"/>
    </row>
    <row r="20" spans="1:7" ht="15">
      <c r="A20" s="333" t="s">
        <v>474</v>
      </c>
      <c r="B20" s="333"/>
      <c r="C20" s="333"/>
      <c r="D20" s="333"/>
      <c r="E20" s="333"/>
      <c r="F20" s="333"/>
      <c r="G20" s="333"/>
    </row>
    <row r="21" spans="1:7" ht="15">
      <c r="A21" s="333" t="s">
        <v>475</v>
      </c>
      <c r="B21" s="333"/>
      <c r="C21" s="333"/>
      <c r="D21" s="333"/>
      <c r="E21" s="333"/>
      <c r="F21" s="333"/>
      <c r="G21" s="333"/>
    </row>
    <row r="22" ht="15">
      <c r="A22" s="333"/>
    </row>
    <row r="23" ht="15">
      <c r="A23" s="332" t="s">
        <v>476</v>
      </c>
    </row>
    <row r="24" ht="15">
      <c r="A24" s="332"/>
    </row>
    <row r="25" ht="15">
      <c r="A25" s="333" t="s">
        <v>477</v>
      </c>
    </row>
    <row r="26" spans="1:6" ht="15">
      <c r="A26" s="333" t="s">
        <v>478</v>
      </c>
      <c r="B26" s="333"/>
      <c r="C26" s="333"/>
      <c r="D26" s="333"/>
      <c r="E26" s="333"/>
      <c r="F26" s="333"/>
    </row>
    <row r="27" spans="1:6" ht="15">
      <c r="A27" s="333" t="s">
        <v>479</v>
      </c>
      <c r="B27" s="333"/>
      <c r="C27" s="333"/>
      <c r="D27" s="333"/>
      <c r="E27" s="333"/>
      <c r="F27" s="333"/>
    </row>
    <row r="28" spans="1:6" ht="15">
      <c r="A28" s="333" t="s">
        <v>480</v>
      </c>
      <c r="B28" s="333"/>
      <c r="C28" s="333"/>
      <c r="D28" s="333"/>
      <c r="E28" s="333"/>
      <c r="F28" s="333"/>
    </row>
    <row r="29" spans="1:6" ht="15">
      <c r="A29" s="333"/>
      <c r="B29" s="333"/>
      <c r="C29" s="333"/>
      <c r="D29" s="333"/>
      <c r="E29" s="333"/>
      <c r="F29" s="333"/>
    </row>
    <row r="30" spans="1:7" ht="15">
      <c r="A30" s="332" t="s">
        <v>481</v>
      </c>
      <c r="B30" s="332"/>
      <c r="C30" s="332"/>
      <c r="D30" s="332"/>
      <c r="E30" s="332"/>
      <c r="F30" s="332"/>
      <c r="G30" s="332"/>
    </row>
    <row r="31" spans="1:7" ht="15">
      <c r="A31" s="332" t="s">
        <v>482</v>
      </c>
      <c r="B31" s="332"/>
      <c r="C31" s="332"/>
      <c r="D31" s="332"/>
      <c r="E31" s="332"/>
      <c r="F31" s="332"/>
      <c r="G31" s="332"/>
    </row>
    <row r="32" spans="1:6" ht="15">
      <c r="A32" s="333"/>
      <c r="B32" s="333"/>
      <c r="C32" s="333"/>
      <c r="D32" s="333"/>
      <c r="E32" s="333"/>
      <c r="F32" s="333"/>
    </row>
    <row r="33" spans="1:6" ht="15">
      <c r="A33" s="342" t="str">
        <f>CONCATENATE("Well, let's look to see if any of your ",inputPrYr!D5-1," expenditures can")</f>
        <v>Well, let's look to see if any of your 2014 expenditures can</v>
      </c>
      <c r="B33" s="333"/>
      <c r="C33" s="333"/>
      <c r="D33" s="333"/>
      <c r="E33" s="333"/>
      <c r="F33" s="333"/>
    </row>
    <row r="34" spans="1:6" ht="15">
      <c r="A34" s="342" t="s">
        <v>483</v>
      </c>
      <c r="B34" s="333"/>
      <c r="C34" s="333"/>
      <c r="D34" s="333"/>
      <c r="E34" s="333"/>
      <c r="F34" s="333"/>
    </row>
    <row r="35" spans="1:6" ht="15">
      <c r="A35" s="342" t="s">
        <v>369</v>
      </c>
      <c r="B35" s="333"/>
      <c r="C35" s="333"/>
      <c r="D35" s="333"/>
      <c r="E35" s="333"/>
      <c r="F35" s="333"/>
    </row>
    <row r="36" spans="1:6" ht="15">
      <c r="A36" s="342" t="s">
        <v>370</v>
      </c>
      <c r="B36" s="333"/>
      <c r="C36" s="333"/>
      <c r="D36" s="333"/>
      <c r="E36" s="333"/>
      <c r="F36" s="333"/>
    </row>
    <row r="37" spans="1:6" ht="15">
      <c r="A37" s="342"/>
      <c r="B37" s="333"/>
      <c r="C37" s="333"/>
      <c r="D37" s="333"/>
      <c r="E37" s="333"/>
      <c r="F37" s="333"/>
    </row>
    <row r="38" spans="1:6" ht="15">
      <c r="A38" s="342" t="str">
        <f>CONCATENATE("Additionally, do your ",inputPrYr!D5-1," receipts contain a reimbursement")</f>
        <v>Additionally, do your 2014 receipts contain a reimbursement</v>
      </c>
      <c r="B38" s="333"/>
      <c r="C38" s="333"/>
      <c r="D38" s="333"/>
      <c r="E38" s="333"/>
      <c r="F38" s="333"/>
    </row>
    <row r="39" spans="1:6" ht="15">
      <c r="A39" s="342" t="s">
        <v>371</v>
      </c>
      <c r="B39" s="333"/>
      <c r="C39" s="333"/>
      <c r="D39" s="333"/>
      <c r="E39" s="333"/>
      <c r="F39" s="333"/>
    </row>
    <row r="40" spans="1:6" ht="15">
      <c r="A40" s="342" t="s">
        <v>372</v>
      </c>
      <c r="B40" s="333"/>
      <c r="C40" s="333"/>
      <c r="D40" s="333"/>
      <c r="E40" s="333"/>
      <c r="F40" s="333"/>
    </row>
    <row r="41" spans="1:6" ht="15">
      <c r="A41" s="342"/>
      <c r="B41" s="333"/>
      <c r="C41" s="333"/>
      <c r="D41" s="333"/>
      <c r="E41" s="333"/>
      <c r="F41" s="333"/>
    </row>
    <row r="42" spans="1:6" ht="15">
      <c r="A42" s="342" t="s">
        <v>373</v>
      </c>
      <c r="B42" s="333"/>
      <c r="C42" s="333"/>
      <c r="D42" s="333"/>
      <c r="E42" s="333"/>
      <c r="F42" s="333"/>
    </row>
    <row r="43" spans="1:6" ht="15">
      <c r="A43" s="342" t="s">
        <v>559</v>
      </c>
      <c r="B43" s="333"/>
      <c r="C43" s="333"/>
      <c r="D43" s="333"/>
      <c r="E43" s="333"/>
      <c r="F43" s="333"/>
    </row>
    <row r="44" spans="1:6" ht="15">
      <c r="A44" s="342" t="s">
        <v>560</v>
      </c>
      <c r="B44" s="333"/>
      <c r="C44" s="333"/>
      <c r="D44" s="333"/>
      <c r="E44" s="333"/>
      <c r="F44" s="333"/>
    </row>
    <row r="45" spans="1:6" ht="15">
      <c r="A45" s="342" t="s">
        <v>484</v>
      </c>
      <c r="B45" s="333"/>
      <c r="C45" s="333"/>
      <c r="D45" s="333"/>
      <c r="E45" s="333"/>
      <c r="F45" s="333"/>
    </row>
    <row r="46" spans="1:6" ht="15">
      <c r="A46" s="342" t="s">
        <v>375</v>
      </c>
      <c r="B46" s="333"/>
      <c r="C46" s="333"/>
      <c r="D46" s="333"/>
      <c r="E46" s="333"/>
      <c r="F46" s="333"/>
    </row>
    <row r="47" spans="1:6" ht="15">
      <c r="A47" s="342" t="s">
        <v>485</v>
      </c>
      <c r="B47" s="333"/>
      <c r="C47" s="333"/>
      <c r="D47" s="333"/>
      <c r="E47" s="333"/>
      <c r="F47" s="333"/>
    </row>
    <row r="48" spans="1:6" ht="15">
      <c r="A48" s="342" t="s">
        <v>486</v>
      </c>
      <c r="B48" s="333"/>
      <c r="C48" s="333"/>
      <c r="D48" s="333"/>
      <c r="E48" s="333"/>
      <c r="F48" s="333"/>
    </row>
    <row r="49" spans="1:6" ht="15">
      <c r="A49" s="342" t="s">
        <v>378</v>
      </c>
      <c r="B49" s="333"/>
      <c r="C49" s="333"/>
      <c r="D49" s="333"/>
      <c r="E49" s="333"/>
      <c r="F49" s="333"/>
    </row>
    <row r="50" spans="1:6" ht="15">
      <c r="A50" s="342"/>
      <c r="B50" s="333"/>
      <c r="C50" s="333"/>
      <c r="D50" s="333"/>
      <c r="E50" s="333"/>
      <c r="F50" s="333"/>
    </row>
    <row r="51" spans="1:6" ht="15">
      <c r="A51" s="342" t="s">
        <v>379</v>
      </c>
      <c r="B51" s="333"/>
      <c r="C51" s="333"/>
      <c r="D51" s="333"/>
      <c r="E51" s="333"/>
      <c r="F51" s="333"/>
    </row>
    <row r="52" spans="1:6" ht="15">
      <c r="A52" s="342" t="s">
        <v>380</v>
      </c>
      <c r="B52" s="333"/>
      <c r="C52" s="333"/>
      <c r="D52" s="333"/>
      <c r="E52" s="333"/>
      <c r="F52" s="333"/>
    </row>
    <row r="53" spans="1:6" ht="15">
      <c r="A53" s="342" t="s">
        <v>381</v>
      </c>
      <c r="B53" s="333"/>
      <c r="C53" s="333"/>
      <c r="D53" s="333"/>
      <c r="E53" s="333"/>
      <c r="F53" s="333"/>
    </row>
    <row r="54" spans="1:6" ht="15">
      <c r="A54" s="342"/>
      <c r="B54" s="333"/>
      <c r="C54" s="333"/>
      <c r="D54" s="333"/>
      <c r="E54" s="333"/>
      <c r="F54" s="333"/>
    </row>
    <row r="55" spans="1:6" ht="15">
      <c r="A55" s="342" t="s">
        <v>487</v>
      </c>
      <c r="B55" s="333"/>
      <c r="C55" s="333"/>
      <c r="D55" s="333"/>
      <c r="E55" s="333"/>
      <c r="F55" s="333"/>
    </row>
    <row r="56" spans="1:6" ht="15">
      <c r="A56" s="342" t="s">
        <v>488</v>
      </c>
      <c r="B56" s="333"/>
      <c r="C56" s="333"/>
      <c r="D56" s="333"/>
      <c r="E56" s="333"/>
      <c r="F56" s="333"/>
    </row>
    <row r="57" spans="1:6" ht="15">
      <c r="A57" s="342" t="s">
        <v>489</v>
      </c>
      <c r="B57" s="333"/>
      <c r="C57" s="333"/>
      <c r="D57" s="333"/>
      <c r="E57" s="333"/>
      <c r="F57" s="333"/>
    </row>
    <row r="58" spans="1:6" ht="15">
      <c r="A58" s="342" t="s">
        <v>490</v>
      </c>
      <c r="B58" s="333"/>
      <c r="C58" s="333"/>
      <c r="D58" s="333"/>
      <c r="E58" s="333"/>
      <c r="F58" s="333"/>
    </row>
    <row r="59" spans="1:6" ht="15">
      <c r="A59" s="342" t="s">
        <v>491</v>
      </c>
      <c r="B59" s="333"/>
      <c r="C59" s="333"/>
      <c r="D59" s="333"/>
      <c r="E59" s="333"/>
      <c r="F59" s="333"/>
    </row>
    <row r="60" spans="1:6" ht="15">
      <c r="A60" s="342"/>
      <c r="B60" s="333"/>
      <c r="C60" s="333"/>
      <c r="D60" s="333"/>
      <c r="E60" s="333"/>
      <c r="F60" s="333"/>
    </row>
    <row r="61" spans="1:6" ht="15">
      <c r="A61" s="343" t="s">
        <v>492</v>
      </c>
      <c r="B61" s="333"/>
      <c r="C61" s="333"/>
      <c r="D61" s="333"/>
      <c r="E61" s="333"/>
      <c r="F61" s="333"/>
    </row>
    <row r="62" spans="1:6" ht="15">
      <c r="A62" s="343" t="s">
        <v>493</v>
      </c>
      <c r="B62" s="333"/>
      <c r="C62" s="333"/>
      <c r="D62" s="333"/>
      <c r="E62" s="333"/>
      <c r="F62" s="333"/>
    </row>
    <row r="63" spans="1:6" ht="15">
      <c r="A63" s="343" t="s">
        <v>494</v>
      </c>
      <c r="B63" s="333"/>
      <c r="C63" s="333"/>
      <c r="D63" s="333"/>
      <c r="E63" s="333"/>
      <c r="F63" s="333"/>
    </row>
    <row r="64" ht="15">
      <c r="A64" s="343" t="s">
        <v>495</v>
      </c>
    </row>
    <row r="65" ht="15">
      <c r="A65" s="343" t="s">
        <v>496</v>
      </c>
    </row>
    <row r="66" ht="15">
      <c r="A66" s="343" t="s">
        <v>497</v>
      </c>
    </row>
    <row r="68" ht="15">
      <c r="A68" s="333" t="s">
        <v>498</v>
      </c>
    </row>
    <row r="69" ht="15">
      <c r="A69" s="333" t="s">
        <v>499</v>
      </c>
    </row>
    <row r="70" ht="15">
      <c r="A70" s="333" t="s">
        <v>500</v>
      </c>
    </row>
    <row r="71" ht="15">
      <c r="A71" s="333" t="s">
        <v>501</v>
      </c>
    </row>
    <row r="72" ht="15">
      <c r="A72" s="333" t="s">
        <v>502</v>
      </c>
    </row>
    <row r="73" ht="15">
      <c r="A73" s="333" t="s">
        <v>503</v>
      </c>
    </row>
    <row r="75" ht="1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4" t="s">
        <v>504</v>
      </c>
      <c r="B3" s="334"/>
      <c r="C3" s="334"/>
      <c r="D3" s="334"/>
      <c r="E3" s="334"/>
      <c r="F3" s="334"/>
      <c r="G3" s="334"/>
    </row>
    <row r="4" spans="1:7" ht="15">
      <c r="A4" s="334"/>
      <c r="B4" s="334"/>
      <c r="C4" s="334"/>
      <c r="D4" s="334"/>
      <c r="E4" s="334"/>
      <c r="F4" s="334"/>
      <c r="G4" s="334"/>
    </row>
    <row r="5" ht="15">
      <c r="A5" s="333" t="s">
        <v>410</v>
      </c>
    </row>
    <row r="6" ht="15">
      <c r="A6" s="333" t="str">
        <f>CONCATENATE(inputPrYr!D5," estimated expenditures show that at the end of this year")</f>
        <v>2015 estimated expenditures show that at the end of this year</v>
      </c>
    </row>
    <row r="7" ht="15">
      <c r="A7" s="333" t="s">
        <v>505</v>
      </c>
    </row>
    <row r="8" ht="15">
      <c r="A8" s="333" t="s">
        <v>506</v>
      </c>
    </row>
    <row r="10" ht="15">
      <c r="A10" t="s">
        <v>412</v>
      </c>
    </row>
    <row r="11" ht="15">
      <c r="A11" t="s">
        <v>413</v>
      </c>
    </row>
    <row r="12" ht="15">
      <c r="A12" t="s">
        <v>414</v>
      </c>
    </row>
    <row r="13" spans="1:7" ht="15">
      <c r="A13" s="334"/>
      <c r="B13" s="334"/>
      <c r="C13" s="334"/>
      <c r="D13" s="334"/>
      <c r="E13" s="334"/>
      <c r="F13" s="334"/>
      <c r="G13" s="334"/>
    </row>
    <row r="14" ht="15">
      <c r="A14" s="332" t="s">
        <v>507</v>
      </c>
    </row>
    <row r="15" ht="15">
      <c r="A15" s="333"/>
    </row>
    <row r="16" ht="15">
      <c r="A16" s="333" t="s">
        <v>508</v>
      </c>
    </row>
    <row r="17" ht="15">
      <c r="A17" s="333" t="s">
        <v>509</v>
      </c>
    </row>
    <row r="18" ht="15">
      <c r="A18" s="333" t="s">
        <v>510</v>
      </c>
    </row>
    <row r="19" ht="15">
      <c r="A19" s="333"/>
    </row>
    <row r="20" ht="15">
      <c r="A20" s="333" t="s">
        <v>511</v>
      </c>
    </row>
    <row r="21" ht="15">
      <c r="A21" s="333" t="s">
        <v>512</v>
      </c>
    </row>
    <row r="22" ht="15">
      <c r="A22" s="333" t="s">
        <v>513</v>
      </c>
    </row>
    <row r="23" ht="15">
      <c r="A23" s="333" t="s">
        <v>514</v>
      </c>
    </row>
    <row r="24" ht="15">
      <c r="A24" s="333"/>
    </row>
    <row r="25" ht="15">
      <c r="A25" s="332" t="s">
        <v>476</v>
      </c>
    </row>
    <row r="26" ht="15">
      <c r="A26" s="332"/>
    </row>
    <row r="27" ht="15">
      <c r="A27" s="333" t="s">
        <v>477</v>
      </c>
    </row>
    <row r="28" spans="1:6" ht="15">
      <c r="A28" s="333" t="s">
        <v>478</v>
      </c>
      <c r="B28" s="333"/>
      <c r="C28" s="333"/>
      <c r="D28" s="333"/>
      <c r="E28" s="333"/>
      <c r="F28" s="333"/>
    </row>
    <row r="29" spans="1:6" ht="15">
      <c r="A29" s="333" t="s">
        <v>479</v>
      </c>
      <c r="B29" s="333"/>
      <c r="C29" s="333"/>
      <c r="D29" s="333"/>
      <c r="E29" s="333"/>
      <c r="F29" s="333"/>
    </row>
    <row r="30" spans="1:6" ht="15">
      <c r="A30" s="333" t="s">
        <v>480</v>
      </c>
      <c r="B30" s="333"/>
      <c r="C30" s="333"/>
      <c r="D30" s="333"/>
      <c r="E30" s="333"/>
      <c r="F30" s="333"/>
    </row>
    <row r="31" ht="15">
      <c r="A31" s="333"/>
    </row>
    <row r="32" spans="1:7" ht="15">
      <c r="A32" s="332" t="s">
        <v>481</v>
      </c>
      <c r="B32" s="332"/>
      <c r="C32" s="332"/>
      <c r="D32" s="332"/>
      <c r="E32" s="332"/>
      <c r="F32" s="332"/>
      <c r="G32" s="332"/>
    </row>
    <row r="33" spans="1:7" ht="15">
      <c r="A33" s="332" t="s">
        <v>482</v>
      </c>
      <c r="B33" s="332"/>
      <c r="C33" s="332"/>
      <c r="D33" s="332"/>
      <c r="E33" s="332"/>
      <c r="F33" s="332"/>
      <c r="G33" s="332"/>
    </row>
    <row r="34" spans="1:7" ht="15">
      <c r="A34" s="332"/>
      <c r="B34" s="332"/>
      <c r="C34" s="332"/>
      <c r="D34" s="332"/>
      <c r="E34" s="332"/>
      <c r="F34" s="332"/>
      <c r="G34" s="332"/>
    </row>
    <row r="35" spans="1:7" ht="15">
      <c r="A35" s="333" t="s">
        <v>515</v>
      </c>
      <c r="B35" s="333"/>
      <c r="C35" s="333"/>
      <c r="D35" s="333"/>
      <c r="E35" s="333"/>
      <c r="F35" s="333"/>
      <c r="G35" s="333"/>
    </row>
    <row r="36" spans="1:7" ht="15">
      <c r="A36" s="333" t="s">
        <v>516</v>
      </c>
      <c r="B36" s="333"/>
      <c r="C36" s="333"/>
      <c r="D36" s="333"/>
      <c r="E36" s="333"/>
      <c r="F36" s="333"/>
      <c r="G36" s="333"/>
    </row>
    <row r="37" spans="1:7" ht="15">
      <c r="A37" s="333" t="s">
        <v>517</v>
      </c>
      <c r="B37" s="333"/>
      <c r="C37" s="333"/>
      <c r="D37" s="333"/>
      <c r="E37" s="333"/>
      <c r="F37" s="333"/>
      <c r="G37" s="333"/>
    </row>
    <row r="38" spans="1:7" ht="15">
      <c r="A38" s="333" t="s">
        <v>518</v>
      </c>
      <c r="B38" s="333"/>
      <c r="C38" s="333"/>
      <c r="D38" s="333"/>
      <c r="E38" s="333"/>
      <c r="F38" s="333"/>
      <c r="G38" s="333"/>
    </row>
    <row r="39" spans="1:7" ht="15">
      <c r="A39" s="333" t="s">
        <v>519</v>
      </c>
      <c r="B39" s="333"/>
      <c r="C39" s="333"/>
      <c r="D39" s="333"/>
      <c r="E39" s="333"/>
      <c r="F39" s="333"/>
      <c r="G39" s="333"/>
    </row>
    <row r="40" spans="1:7" ht="15">
      <c r="A40" s="332"/>
      <c r="B40" s="332"/>
      <c r="C40" s="332"/>
      <c r="D40" s="332"/>
      <c r="E40" s="332"/>
      <c r="F40" s="332"/>
      <c r="G40" s="332"/>
    </row>
    <row r="41" spans="1:6" ht="15">
      <c r="A41" s="342" t="str">
        <f>CONCATENATE("So, let's look to see if any of your ",inputPrYr!D5-1," expenditures can")</f>
        <v>So, let's look to see if any of your 2014 expenditures can</v>
      </c>
      <c r="B41" s="333"/>
      <c r="C41" s="333"/>
      <c r="D41" s="333"/>
      <c r="E41" s="333"/>
      <c r="F41" s="333"/>
    </row>
    <row r="42" spans="1:6" ht="15">
      <c r="A42" s="342" t="s">
        <v>483</v>
      </c>
      <c r="B42" s="333"/>
      <c r="C42" s="333"/>
      <c r="D42" s="333"/>
      <c r="E42" s="333"/>
      <c r="F42" s="333"/>
    </row>
    <row r="43" spans="1:6" ht="15">
      <c r="A43" s="342" t="s">
        <v>369</v>
      </c>
      <c r="B43" s="333"/>
      <c r="C43" s="333"/>
      <c r="D43" s="333"/>
      <c r="E43" s="333"/>
      <c r="F43" s="333"/>
    </row>
    <row r="44" spans="1:6" ht="15">
      <c r="A44" s="342" t="s">
        <v>370</v>
      </c>
      <c r="B44" s="333"/>
      <c r="C44" s="333"/>
      <c r="D44" s="333"/>
      <c r="E44" s="333"/>
      <c r="F44" s="333"/>
    </row>
    <row r="45" ht="15">
      <c r="A45" s="333"/>
    </row>
    <row r="46" spans="1:6" ht="15">
      <c r="A46" s="342" t="str">
        <f>CONCATENATE("Additionally, do your ",inputPrYr!D5-1," receipts contain a reimbursement")</f>
        <v>Additionally, do your 2014 receipts contain a reimbursement</v>
      </c>
      <c r="B46" s="333"/>
      <c r="C46" s="333"/>
      <c r="D46" s="333"/>
      <c r="E46" s="333"/>
      <c r="F46" s="333"/>
    </row>
    <row r="47" spans="1:6" ht="15">
      <c r="A47" s="342" t="s">
        <v>371</v>
      </c>
      <c r="B47" s="333"/>
      <c r="C47" s="333"/>
      <c r="D47" s="333"/>
      <c r="E47" s="333"/>
      <c r="F47" s="333"/>
    </row>
    <row r="48" spans="1:6" ht="15">
      <c r="A48" s="342" t="s">
        <v>372</v>
      </c>
      <c r="B48" s="333"/>
      <c r="C48" s="333"/>
      <c r="D48" s="333"/>
      <c r="E48" s="333"/>
      <c r="F48" s="333"/>
    </row>
    <row r="49" spans="1:7" ht="15">
      <c r="A49" s="333"/>
      <c r="B49" s="333"/>
      <c r="C49" s="333"/>
      <c r="D49" s="333"/>
      <c r="E49" s="333"/>
      <c r="F49" s="333"/>
      <c r="G49" s="333"/>
    </row>
    <row r="50" spans="1:7" ht="15">
      <c r="A50" s="333" t="s">
        <v>437</v>
      </c>
      <c r="B50" s="333"/>
      <c r="C50" s="333"/>
      <c r="D50" s="333"/>
      <c r="E50" s="333"/>
      <c r="F50" s="333"/>
      <c r="G50" s="333"/>
    </row>
    <row r="51" spans="1:7" ht="15">
      <c r="A51" s="333" t="s">
        <v>438</v>
      </c>
      <c r="B51" s="333"/>
      <c r="C51" s="333"/>
      <c r="D51" s="333"/>
      <c r="E51" s="333"/>
      <c r="F51" s="333"/>
      <c r="G51" s="333"/>
    </row>
    <row r="52" spans="1:7" ht="15">
      <c r="A52" s="333" t="s">
        <v>439</v>
      </c>
      <c r="B52" s="333"/>
      <c r="C52" s="333"/>
      <c r="D52" s="333"/>
      <c r="E52" s="333"/>
      <c r="F52" s="333"/>
      <c r="G52" s="333"/>
    </row>
    <row r="53" spans="1:7" ht="15">
      <c r="A53" s="333" t="s">
        <v>440</v>
      </c>
      <c r="B53" s="333"/>
      <c r="C53" s="333"/>
      <c r="D53" s="333"/>
      <c r="E53" s="333"/>
      <c r="F53" s="333"/>
      <c r="G53" s="333"/>
    </row>
    <row r="54" spans="1:7" ht="15">
      <c r="A54" s="333" t="s">
        <v>441</v>
      </c>
      <c r="B54" s="333"/>
      <c r="C54" s="333"/>
      <c r="D54" s="333"/>
      <c r="E54" s="333"/>
      <c r="F54" s="333"/>
      <c r="G54" s="333"/>
    </row>
    <row r="55" spans="1:7" ht="15">
      <c r="A55" s="333"/>
      <c r="B55" s="333"/>
      <c r="C55" s="333"/>
      <c r="D55" s="333"/>
      <c r="E55" s="333"/>
      <c r="F55" s="333"/>
      <c r="G55" s="333"/>
    </row>
    <row r="56" spans="1:6" ht="15">
      <c r="A56" s="342" t="s">
        <v>379</v>
      </c>
      <c r="B56" s="333"/>
      <c r="C56" s="333"/>
      <c r="D56" s="333"/>
      <c r="E56" s="333"/>
      <c r="F56" s="333"/>
    </row>
    <row r="57" spans="1:6" ht="15">
      <c r="A57" s="342" t="s">
        <v>380</v>
      </c>
      <c r="B57" s="333"/>
      <c r="C57" s="333"/>
      <c r="D57" s="333"/>
      <c r="E57" s="333"/>
      <c r="F57" s="333"/>
    </row>
    <row r="58" spans="1:6" ht="15">
      <c r="A58" s="342" t="s">
        <v>381</v>
      </c>
      <c r="B58" s="333"/>
      <c r="C58" s="333"/>
      <c r="D58" s="333"/>
      <c r="E58" s="333"/>
      <c r="F58" s="333"/>
    </row>
    <row r="59" spans="1:6" ht="15">
      <c r="A59" s="342"/>
      <c r="B59" s="333"/>
      <c r="C59" s="333"/>
      <c r="D59" s="333"/>
      <c r="E59" s="333"/>
      <c r="F59" s="333"/>
    </row>
    <row r="60" spans="1:7" ht="15">
      <c r="A60" s="333" t="s">
        <v>520</v>
      </c>
      <c r="B60" s="333"/>
      <c r="C60" s="333"/>
      <c r="D60" s="333"/>
      <c r="E60" s="333"/>
      <c r="F60" s="333"/>
      <c r="G60" s="333"/>
    </row>
    <row r="61" spans="1:7" ht="15">
      <c r="A61" s="333" t="s">
        <v>521</v>
      </c>
      <c r="B61" s="333"/>
      <c r="C61" s="333"/>
      <c r="D61" s="333"/>
      <c r="E61" s="333"/>
      <c r="F61" s="333"/>
      <c r="G61" s="333"/>
    </row>
    <row r="62" spans="1:7" ht="15">
      <c r="A62" s="333" t="s">
        <v>522</v>
      </c>
      <c r="B62" s="333"/>
      <c r="C62" s="333"/>
      <c r="D62" s="333"/>
      <c r="E62" s="333"/>
      <c r="F62" s="333"/>
      <c r="G62" s="333"/>
    </row>
    <row r="63" spans="1:7" ht="15">
      <c r="A63" s="333" t="s">
        <v>523</v>
      </c>
      <c r="B63" s="333"/>
      <c r="C63" s="333"/>
      <c r="D63" s="333"/>
      <c r="E63" s="333"/>
      <c r="F63" s="333"/>
      <c r="G63" s="333"/>
    </row>
    <row r="64" spans="1:7" ht="15">
      <c r="A64" s="333" t="s">
        <v>524</v>
      </c>
      <c r="B64" s="333"/>
      <c r="C64" s="333"/>
      <c r="D64" s="333"/>
      <c r="E64" s="333"/>
      <c r="F64" s="333"/>
      <c r="G64" s="333"/>
    </row>
    <row r="66" spans="1:6" ht="15">
      <c r="A66" s="342" t="s">
        <v>487</v>
      </c>
      <c r="B66" s="333"/>
      <c r="C66" s="333"/>
      <c r="D66" s="333"/>
      <c r="E66" s="333"/>
      <c r="F66" s="333"/>
    </row>
    <row r="67" spans="1:6" ht="15">
      <c r="A67" s="342" t="s">
        <v>488</v>
      </c>
      <c r="B67" s="333"/>
      <c r="C67" s="333"/>
      <c r="D67" s="333"/>
      <c r="E67" s="333"/>
      <c r="F67" s="333"/>
    </row>
    <row r="68" spans="1:6" ht="15">
      <c r="A68" s="342" t="s">
        <v>489</v>
      </c>
      <c r="B68" s="333"/>
      <c r="C68" s="333"/>
      <c r="D68" s="333"/>
      <c r="E68" s="333"/>
      <c r="F68" s="333"/>
    </row>
    <row r="69" spans="1:6" ht="15">
      <c r="A69" s="342" t="s">
        <v>490</v>
      </c>
      <c r="B69" s="333"/>
      <c r="C69" s="333"/>
      <c r="D69" s="333"/>
      <c r="E69" s="333"/>
      <c r="F69" s="333"/>
    </row>
    <row r="70" spans="1:6" ht="15">
      <c r="A70" s="342" t="s">
        <v>491</v>
      </c>
      <c r="B70" s="333"/>
      <c r="C70" s="333"/>
      <c r="D70" s="333"/>
      <c r="E70" s="333"/>
      <c r="F70" s="333"/>
    </row>
    <row r="71" ht="15">
      <c r="A71" s="333"/>
    </row>
    <row r="72" ht="15">
      <c r="A72" s="333" t="s">
        <v>408</v>
      </c>
    </row>
    <row r="73" ht="15">
      <c r="A73" s="333"/>
    </row>
    <row r="74" ht="15">
      <c r="A74" s="333"/>
    </row>
    <row r="75" ht="15">
      <c r="A75" s="333"/>
    </row>
    <row r="78" ht="15">
      <c r="A78" s="332"/>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4" t="s">
        <v>525</v>
      </c>
      <c r="B3" s="334"/>
      <c r="C3" s="334"/>
      <c r="D3" s="334"/>
      <c r="E3" s="334"/>
      <c r="F3" s="334"/>
      <c r="G3" s="334"/>
    </row>
    <row r="4" spans="1:7" ht="15">
      <c r="A4" s="334" t="s">
        <v>526</v>
      </c>
      <c r="B4" s="334"/>
      <c r="C4" s="334"/>
      <c r="D4" s="334"/>
      <c r="E4" s="334"/>
      <c r="F4" s="334"/>
      <c r="G4" s="334"/>
    </row>
    <row r="5" spans="1:7" ht="15">
      <c r="A5" s="334"/>
      <c r="B5" s="334"/>
      <c r="C5" s="334"/>
      <c r="D5" s="334"/>
      <c r="E5" s="334"/>
      <c r="F5" s="334"/>
      <c r="G5" s="334"/>
    </row>
    <row r="6" spans="1:7" ht="15">
      <c r="A6" s="334"/>
      <c r="B6" s="334"/>
      <c r="C6" s="334"/>
      <c r="D6" s="334"/>
      <c r="E6" s="334"/>
      <c r="F6" s="334"/>
      <c r="G6" s="334"/>
    </row>
    <row r="7" ht="15">
      <c r="A7" s="333" t="s">
        <v>355</v>
      </c>
    </row>
    <row r="8" ht="15">
      <c r="A8" s="333" t="str">
        <f>CONCATENATE("estimated ",inputPrYr!D5," 'total expenditures' exceed your ",inputPrYr!D5,"")</f>
        <v>estimated 2015 'total expenditures' exceed your 2015</v>
      </c>
    </row>
    <row r="9" ht="15">
      <c r="A9" s="345" t="s">
        <v>527</v>
      </c>
    </row>
    <row r="10" ht="15">
      <c r="A10" s="333"/>
    </row>
    <row r="11" ht="15">
      <c r="A11" s="333" t="s">
        <v>528</v>
      </c>
    </row>
    <row r="12" ht="15">
      <c r="A12" s="333" t="s">
        <v>529</v>
      </c>
    </row>
    <row r="13" ht="15">
      <c r="A13" s="333" t="s">
        <v>530</v>
      </c>
    </row>
    <row r="14" ht="15">
      <c r="A14" s="333"/>
    </row>
    <row r="15" ht="15">
      <c r="A15" s="332" t="s">
        <v>531</v>
      </c>
    </row>
    <row r="16" spans="1:7" ht="15">
      <c r="A16" s="334"/>
      <c r="B16" s="334"/>
      <c r="C16" s="334"/>
      <c r="D16" s="334"/>
      <c r="E16" s="334"/>
      <c r="F16" s="334"/>
      <c r="G16" s="334"/>
    </row>
    <row r="17" spans="1:8" ht="15">
      <c r="A17" s="346" t="s">
        <v>532</v>
      </c>
      <c r="B17" s="328"/>
      <c r="C17" s="328"/>
      <c r="D17" s="328"/>
      <c r="E17" s="328"/>
      <c r="F17" s="328"/>
      <c r="G17" s="328"/>
      <c r="H17" s="328"/>
    </row>
    <row r="18" spans="1:7" ht="15">
      <c r="A18" s="333" t="s">
        <v>533</v>
      </c>
      <c r="B18" s="347"/>
      <c r="C18" s="347"/>
      <c r="D18" s="347"/>
      <c r="E18" s="347"/>
      <c r="F18" s="347"/>
      <c r="G18" s="347"/>
    </row>
    <row r="19" ht="15">
      <c r="A19" s="333" t="s">
        <v>534</v>
      </c>
    </row>
    <row r="20" ht="15">
      <c r="A20" s="333" t="s">
        <v>535</v>
      </c>
    </row>
    <row r="22" ht="15">
      <c r="A22" s="332" t="s">
        <v>536</v>
      </c>
    </row>
    <row r="24" ht="15">
      <c r="A24" s="333" t="s">
        <v>537</v>
      </c>
    </row>
    <row r="25" ht="15">
      <c r="A25" s="333" t="s">
        <v>538</v>
      </c>
    </row>
    <row r="26" ht="15">
      <c r="A26" s="333" t="s">
        <v>539</v>
      </c>
    </row>
    <row r="28" ht="15">
      <c r="A28" s="332" t="s">
        <v>540</v>
      </c>
    </row>
    <row r="30" ht="15">
      <c r="A30" t="s">
        <v>541</v>
      </c>
    </row>
    <row r="31" ht="15">
      <c r="A31" t="s">
        <v>542</v>
      </c>
    </row>
    <row r="32" ht="15">
      <c r="A32" t="s">
        <v>543</v>
      </c>
    </row>
    <row r="33" ht="15">
      <c r="A33" s="333" t="s">
        <v>544</v>
      </c>
    </row>
    <row r="35" ht="15">
      <c r="A35" t="s">
        <v>545</v>
      </c>
    </row>
    <row r="36" ht="15">
      <c r="A36" t="s">
        <v>546</v>
      </c>
    </row>
    <row r="37" ht="15">
      <c r="A37" t="s">
        <v>547</v>
      </c>
    </row>
    <row r="38" ht="15">
      <c r="A38" t="s">
        <v>548</v>
      </c>
    </row>
    <row r="40" ht="15">
      <c r="A40" t="s">
        <v>549</v>
      </c>
    </row>
    <row r="41" ht="15">
      <c r="A41" t="s">
        <v>550</v>
      </c>
    </row>
    <row r="42" ht="15">
      <c r="A42" t="s">
        <v>551</v>
      </c>
    </row>
    <row r="43" ht="15">
      <c r="A43" t="s">
        <v>552</v>
      </c>
    </row>
    <row r="44" ht="15">
      <c r="A44" t="s">
        <v>553</v>
      </c>
    </row>
    <row r="45" ht="15">
      <c r="A45" t="s">
        <v>554</v>
      </c>
    </row>
    <row r="47" ht="15">
      <c r="A47" t="s">
        <v>555</v>
      </c>
    </row>
    <row r="48" ht="15">
      <c r="A48" t="s">
        <v>556</v>
      </c>
    </row>
    <row r="49" ht="15">
      <c r="A49" s="333" t="s">
        <v>557</v>
      </c>
    </row>
    <row r="50" ht="15">
      <c r="A50" s="333" t="s">
        <v>558</v>
      </c>
    </row>
    <row r="52" ht="1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
      <selection activeCell="E12" sqref="E12"/>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Lincoln Township</v>
      </c>
      <c r="B1" s="79"/>
      <c r="C1" s="79"/>
      <c r="D1" s="79"/>
      <c r="E1" s="79">
        <f>inputPrYr!D5</f>
        <v>2015</v>
      </c>
    </row>
    <row r="2" spans="1:5" ht="15">
      <c r="A2" s="77" t="str">
        <f>inputPrYr!D3</f>
        <v>Ellsworth County</v>
      </c>
      <c r="B2" s="79"/>
      <c r="C2" s="79"/>
      <c r="D2" s="79"/>
      <c r="E2" s="79"/>
    </row>
    <row r="3" spans="1:5" ht="15">
      <c r="A3" s="79"/>
      <c r="B3" s="79"/>
      <c r="C3" s="79"/>
      <c r="D3" s="79"/>
      <c r="E3" s="79"/>
    </row>
    <row r="4" spans="1:5" ht="15">
      <c r="A4" s="782" t="s">
        <v>135</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1347781</v>
      </c>
    </row>
    <row r="8" spans="1:5" ht="15">
      <c r="A8" s="11" t="str">
        <f>CONCATENATE("New Improvements for ",E1-1,"")</f>
        <v>New Improvements for 2014</v>
      </c>
      <c r="B8" s="8"/>
      <c r="C8" s="8"/>
      <c r="D8" s="8"/>
      <c r="E8" s="721">
        <v>0</v>
      </c>
    </row>
    <row r="9" spans="1:5" ht="15">
      <c r="A9" s="11" t="str">
        <f>CONCATENATE("Personal Property excluding oil, gas, and mobile homes - ",E1-1,"")</f>
        <v>Personal Property excluding oil, gas, and mobile homes - 2014</v>
      </c>
      <c r="B9" s="8"/>
      <c r="C9" s="8"/>
      <c r="D9" s="8"/>
      <c r="E9" s="721">
        <v>24382</v>
      </c>
    </row>
    <row r="10" spans="1:5" ht="15">
      <c r="A10" s="11" t="str">
        <f>CONCATENATE("Property that has changed in use for ",E1-1,"")</f>
        <v>Property that has changed in use for 2014</v>
      </c>
      <c r="B10" s="8"/>
      <c r="C10" s="8"/>
      <c r="D10" s="8"/>
      <c r="E10" s="721">
        <v>28141</v>
      </c>
    </row>
    <row r="11" spans="1:5" ht="15">
      <c r="A11" s="11" t="str">
        <f>CONCATENATE("Personal Property excluding oil, gas, and mobile homes- ",E1-2,"")</f>
        <v>Personal Property excluding oil, gas, and mobile homes- 2013</v>
      </c>
      <c r="B11" s="8"/>
      <c r="C11" s="8"/>
      <c r="D11" s="8"/>
      <c r="E11" s="721">
        <v>18573</v>
      </c>
    </row>
    <row r="12" spans="1:5" ht="15">
      <c r="A12" s="11" t="str">
        <f>CONCATENATE("Gross earnings (intangible) tax estimate for ",E1,"")</f>
        <v>Gross earnings (intangible) tax estimate for 2015</v>
      </c>
      <c r="B12" s="8"/>
      <c r="C12" s="8"/>
      <c r="D12" s="8"/>
      <c r="E12" s="721"/>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262</v>
      </c>
      <c r="B16" s="788"/>
      <c r="C16" s="79"/>
      <c r="D16" s="272" t="s">
        <v>3</v>
      </c>
      <c r="E16" s="271"/>
    </row>
    <row r="17" spans="1:5" ht="15">
      <c r="A17" s="60" t="str">
        <f>inputPrYr!B16</f>
        <v>General</v>
      </c>
      <c r="B17" s="9"/>
      <c r="C17" s="8"/>
      <c r="D17" s="722">
        <v>23.094</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23.094</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1167682</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1576</v>
      </c>
    </row>
    <row r="33" spans="1:5" ht="15">
      <c r="A33" s="278" t="s">
        <v>253</v>
      </c>
      <c r="B33" s="255"/>
      <c r="C33" s="255"/>
      <c r="D33" s="20"/>
      <c r="E33" s="23">
        <v>20</v>
      </c>
    </row>
    <row r="34" spans="1:5" ht="15">
      <c r="A34" s="278" t="s">
        <v>137</v>
      </c>
      <c r="B34" s="255"/>
      <c r="C34" s="255"/>
      <c r="D34" s="20"/>
      <c r="E34" s="23">
        <v>646</v>
      </c>
    </row>
    <row r="35" spans="1:5" ht="15">
      <c r="A35" s="278" t="s">
        <v>138</v>
      </c>
      <c r="B35" s="255"/>
      <c r="C35" s="255"/>
      <c r="D35" s="20"/>
      <c r="E35" s="23"/>
    </row>
    <row r="36" spans="1:5" ht="15">
      <c r="A36" s="278" t="s">
        <v>100</v>
      </c>
      <c r="B36" s="9"/>
      <c r="C36" s="9"/>
      <c r="D36" s="277"/>
      <c r="E36" s="23"/>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
      <c r="A42" s="129"/>
      <c r="B42" s="129"/>
      <c r="C42" s="129"/>
      <c r="D42" s="129"/>
      <c r="E42" s="129"/>
    </row>
    <row r="43" spans="1:5" ht="1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184</v>
      </c>
      <c r="B45" s="283" t="s">
        <v>185</v>
      </c>
      <c r="C45" s="284" t="s">
        <v>186</v>
      </c>
      <c r="D45" s="285"/>
      <c r="E45" s="285"/>
    </row>
    <row r="46" spans="1:5" ht="15">
      <c r="A46" s="286" t="str">
        <f>inputPrYr!B16</f>
        <v>General</v>
      </c>
      <c r="B46" s="25">
        <v>30988</v>
      </c>
      <c r="C46" s="284" t="s">
        <v>187</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
      <c r="A49" s="286" t="str">
        <f>inputPrYr!B19</f>
        <v>Road</v>
      </c>
      <c r="B49" s="25"/>
      <c r="C49" s="129"/>
      <c r="D49" s="129"/>
      <c r="E49" s="129"/>
    </row>
    <row r="50" spans="1:5" ht="15">
      <c r="A50" s="286">
        <f>inputPrYr!B20</f>
        <v>0</v>
      </c>
      <c r="B50" s="25"/>
      <c r="C50" s="129"/>
      <c r="D50" s="129"/>
      <c r="E50" s="129"/>
    </row>
    <row r="51" spans="1:5" ht="15">
      <c r="A51" s="286">
        <f>inputPrYr!B21</f>
        <v>0</v>
      </c>
      <c r="B51" s="25"/>
      <c r="C51" s="129"/>
      <c r="D51" s="129"/>
      <c r="E51" s="129"/>
    </row>
    <row r="52" spans="1:5" ht="15">
      <c r="A52" s="286">
        <f>inputPrYr!B22</f>
        <v>0</v>
      </c>
      <c r="B52" s="25"/>
      <c r="C52" s="129"/>
      <c r="D52" s="129"/>
      <c r="E52" s="129"/>
    </row>
    <row r="53" spans="1:5" ht="15">
      <c r="A53" s="286">
        <f>inputPrYr!B23</f>
        <v>0</v>
      </c>
      <c r="B53" s="25"/>
      <c r="C53" s="129"/>
      <c r="D53" s="129"/>
      <c r="E53" s="129"/>
    </row>
    <row r="54" spans="1:5" ht="15">
      <c r="A54" s="286">
        <f>inputPrYr!B24</f>
        <v>0</v>
      </c>
      <c r="B54" s="25"/>
      <c r="C54" s="129"/>
      <c r="D54" s="129"/>
      <c r="E54" s="129"/>
    </row>
    <row r="55" spans="1:5" ht="15">
      <c r="A55" s="286">
        <f>inputPrYr!B25</f>
        <v>0</v>
      </c>
      <c r="B55" s="25"/>
      <c r="C55" s="129"/>
      <c r="D55" s="129"/>
      <c r="E55" s="129"/>
    </row>
    <row r="56" spans="1:5" ht="15">
      <c r="A56" s="286">
        <f>inputPrYr!B29</f>
        <v>0</v>
      </c>
      <c r="B56" s="25"/>
      <c r="C56" s="129"/>
      <c r="D56" s="129"/>
      <c r="E56" s="129"/>
    </row>
    <row r="57" spans="1:5" ht="1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91" t="s">
        <v>591</v>
      </c>
      <c r="C6" s="892"/>
      <c r="D6" s="892"/>
      <c r="E6" s="892"/>
      <c r="F6" s="892"/>
      <c r="G6" s="892"/>
      <c r="H6" s="892"/>
      <c r="I6" s="892"/>
      <c r="J6" s="892"/>
      <c r="K6" s="892"/>
      <c r="L6" s="380"/>
    </row>
    <row r="7" spans="1:12" ht="40.5" customHeight="1">
      <c r="A7" s="377"/>
      <c r="B7" s="893" t="s">
        <v>592</v>
      </c>
      <c r="C7" s="894"/>
      <c r="D7" s="894"/>
      <c r="E7" s="894"/>
      <c r="F7" s="894"/>
      <c r="G7" s="894"/>
      <c r="H7" s="894"/>
      <c r="I7" s="894"/>
      <c r="J7" s="894"/>
      <c r="K7" s="894"/>
      <c r="L7" s="377"/>
    </row>
    <row r="8" spans="1:12" ht="13.5">
      <c r="A8" s="377"/>
      <c r="B8" s="895" t="s">
        <v>593</v>
      </c>
      <c r="C8" s="895"/>
      <c r="D8" s="895"/>
      <c r="E8" s="895"/>
      <c r="F8" s="895"/>
      <c r="G8" s="895"/>
      <c r="H8" s="895"/>
      <c r="I8" s="895"/>
      <c r="J8" s="895"/>
      <c r="K8" s="895"/>
      <c r="L8" s="377"/>
    </row>
    <row r="9" spans="1:12" ht="13.5">
      <c r="A9" s="377"/>
      <c r="L9" s="377"/>
    </row>
    <row r="10" spans="1:12" ht="13.5">
      <c r="A10" s="377"/>
      <c r="B10" s="895" t="s">
        <v>594</v>
      </c>
      <c r="C10" s="895"/>
      <c r="D10" s="895"/>
      <c r="E10" s="895"/>
      <c r="F10" s="895"/>
      <c r="G10" s="895"/>
      <c r="H10" s="895"/>
      <c r="I10" s="895"/>
      <c r="J10" s="895"/>
      <c r="K10" s="895"/>
      <c r="L10" s="377"/>
    </row>
    <row r="11" spans="1:12" ht="13.5">
      <c r="A11" s="377"/>
      <c r="B11" s="516"/>
      <c r="C11" s="516"/>
      <c r="D11" s="516"/>
      <c r="E11" s="516"/>
      <c r="F11" s="516"/>
      <c r="G11" s="516"/>
      <c r="H11" s="516"/>
      <c r="I11" s="516"/>
      <c r="J11" s="516"/>
      <c r="K11" s="516"/>
      <c r="L11" s="377"/>
    </row>
    <row r="12" spans="1:12" ht="32.25" customHeight="1">
      <c r="A12" s="377"/>
      <c r="B12" s="896" t="s">
        <v>595</v>
      </c>
      <c r="C12" s="896"/>
      <c r="D12" s="896"/>
      <c r="E12" s="896"/>
      <c r="F12" s="896"/>
      <c r="G12" s="896"/>
      <c r="H12" s="896"/>
      <c r="I12" s="896"/>
      <c r="J12" s="896"/>
      <c r="K12" s="896"/>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897">
        <v>312000000</v>
      </c>
      <c r="G23" s="897"/>
      <c r="L23" s="377"/>
    </row>
    <row r="24" spans="1:12" ht="13.5">
      <c r="A24" s="377"/>
      <c r="L24" s="377"/>
    </row>
    <row r="25" spans="1:12" ht="13.5">
      <c r="A25" s="377"/>
      <c r="C25" s="898">
        <f>F23</f>
        <v>312000000</v>
      </c>
      <c r="D25" s="898"/>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9" t="s">
        <v>592</v>
      </c>
      <c r="C30" s="899"/>
      <c r="D30" s="899"/>
      <c r="E30" s="899"/>
      <c r="F30" s="899"/>
      <c r="G30" s="899"/>
      <c r="H30" s="899"/>
      <c r="I30" s="899"/>
      <c r="J30" s="899"/>
      <c r="K30" s="899"/>
      <c r="L30" s="377"/>
    </row>
    <row r="31" spans="1:12" ht="13.5">
      <c r="A31" s="377"/>
      <c r="B31" s="895" t="s">
        <v>604</v>
      </c>
      <c r="C31" s="895"/>
      <c r="D31" s="895"/>
      <c r="E31" s="895"/>
      <c r="F31" s="895"/>
      <c r="G31" s="895"/>
      <c r="H31" s="895"/>
      <c r="I31" s="895"/>
      <c r="J31" s="895"/>
      <c r="K31" s="895"/>
      <c r="L31" s="377"/>
    </row>
    <row r="32" spans="1:12" ht="13.5">
      <c r="A32" s="377"/>
      <c r="L32" s="377"/>
    </row>
    <row r="33" spans="1:12" ht="13.5">
      <c r="A33" s="377"/>
      <c r="B33" s="895" t="s">
        <v>605</v>
      </c>
      <c r="C33" s="895"/>
      <c r="D33" s="895"/>
      <c r="E33" s="895"/>
      <c r="F33" s="895"/>
      <c r="G33" s="895"/>
      <c r="H33" s="895"/>
      <c r="I33" s="895"/>
      <c r="J33" s="895"/>
      <c r="K33" s="895"/>
      <c r="L33" s="377"/>
    </row>
    <row r="34" spans="1:12" ht="13.5">
      <c r="A34" s="377"/>
      <c r="L34" s="377"/>
    </row>
    <row r="35" spans="1:12" ht="89.25" customHeight="1">
      <c r="A35" s="377"/>
      <c r="B35" s="896" t="s">
        <v>606</v>
      </c>
      <c r="C35" s="900"/>
      <c r="D35" s="900"/>
      <c r="E35" s="900"/>
      <c r="F35" s="900"/>
      <c r="G35" s="900"/>
      <c r="H35" s="900"/>
      <c r="I35" s="900"/>
      <c r="J35" s="900"/>
      <c r="K35" s="900"/>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01">
        <v>312000000</v>
      </c>
      <c r="D41" s="901"/>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02">
        <v>312000000</v>
      </c>
      <c r="C48" s="897"/>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03" t="s">
        <v>614</v>
      </c>
      <c r="H50" s="904"/>
      <c r="I50" s="521" t="s">
        <v>600</v>
      </c>
      <c r="J50" s="397">
        <f>B50/F50</f>
        <v>0.16025641025641027</v>
      </c>
      <c r="K50" s="389"/>
      <c r="L50" s="377"/>
    </row>
    <row r="51" spans="1:15" ht="14.25" thickBot="1">
      <c r="A51" s="377"/>
      <c r="B51" s="390"/>
      <c r="C51" s="391"/>
      <c r="D51" s="391"/>
      <c r="E51" s="391"/>
      <c r="F51" s="391"/>
      <c r="G51" s="391"/>
      <c r="H51" s="391"/>
      <c r="I51" s="905" t="s">
        <v>615</v>
      </c>
      <c r="J51" s="905"/>
      <c r="K51" s="906"/>
      <c r="L51" s="377"/>
      <c r="O51" s="398"/>
    </row>
    <row r="52" spans="1:12" ht="40.5" customHeight="1">
      <c r="A52" s="377"/>
      <c r="B52" s="899" t="s">
        <v>592</v>
      </c>
      <c r="C52" s="899"/>
      <c r="D52" s="899"/>
      <c r="E52" s="899"/>
      <c r="F52" s="899"/>
      <c r="G52" s="899"/>
      <c r="H52" s="899"/>
      <c r="I52" s="899"/>
      <c r="J52" s="899"/>
      <c r="K52" s="899"/>
      <c r="L52" s="377"/>
    </row>
    <row r="53" spans="1:12" ht="13.5">
      <c r="A53" s="377"/>
      <c r="B53" s="895" t="s">
        <v>616</v>
      </c>
      <c r="C53" s="895"/>
      <c r="D53" s="895"/>
      <c r="E53" s="895"/>
      <c r="F53" s="895"/>
      <c r="G53" s="895"/>
      <c r="H53" s="895"/>
      <c r="I53" s="895"/>
      <c r="J53" s="895"/>
      <c r="K53" s="895"/>
      <c r="L53" s="377"/>
    </row>
    <row r="54" spans="1:12" ht="13.5">
      <c r="A54" s="377"/>
      <c r="B54" s="516"/>
      <c r="C54" s="516"/>
      <c r="D54" s="516"/>
      <c r="E54" s="516"/>
      <c r="F54" s="516"/>
      <c r="G54" s="516"/>
      <c r="H54" s="516"/>
      <c r="I54" s="516"/>
      <c r="J54" s="516"/>
      <c r="K54" s="516"/>
      <c r="L54" s="377"/>
    </row>
    <row r="55" spans="1:12" ht="13.5">
      <c r="A55" s="377"/>
      <c r="B55" s="891" t="s">
        <v>617</v>
      </c>
      <c r="C55" s="891"/>
      <c r="D55" s="891"/>
      <c r="E55" s="891"/>
      <c r="F55" s="891"/>
      <c r="G55" s="891"/>
      <c r="H55" s="891"/>
      <c r="I55" s="891"/>
      <c r="J55" s="891"/>
      <c r="K55" s="891"/>
      <c r="L55" s="377"/>
    </row>
    <row r="56" spans="1:12" ht="15" customHeight="1">
      <c r="A56" s="377"/>
      <c r="L56" s="377"/>
    </row>
    <row r="57" spans="1:24" ht="74.25" customHeight="1">
      <c r="A57" s="377"/>
      <c r="B57" s="896" t="s">
        <v>618</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897">
        <v>312000000</v>
      </c>
      <c r="D74" s="897"/>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897">
        <v>50000</v>
      </c>
      <c r="D77" s="897"/>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897">
        <v>100000</v>
      </c>
      <c r="D80" s="897"/>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7">
        <f>H80</f>
        <v>11500</v>
      </c>
      <c r="D83" s="907"/>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9" t="s">
        <v>592</v>
      </c>
      <c r="C85" s="899"/>
      <c r="D85" s="899"/>
      <c r="E85" s="899"/>
      <c r="F85" s="899"/>
      <c r="G85" s="899"/>
      <c r="H85" s="899"/>
      <c r="I85" s="899"/>
      <c r="J85" s="899"/>
      <c r="K85" s="899"/>
      <c r="L85" s="377"/>
    </row>
    <row r="86" spans="1:12" ht="13.5">
      <c r="A86" s="377"/>
      <c r="B86" s="891" t="s">
        <v>634</v>
      </c>
      <c r="C86" s="891"/>
      <c r="D86" s="891"/>
      <c r="E86" s="891"/>
      <c r="F86" s="891"/>
      <c r="G86" s="891"/>
      <c r="H86" s="891"/>
      <c r="I86" s="891"/>
      <c r="J86" s="891"/>
      <c r="K86" s="891"/>
      <c r="L86" s="377"/>
    </row>
    <row r="87" spans="1:12" ht="13.5">
      <c r="A87" s="377"/>
      <c r="B87" s="411"/>
      <c r="C87" s="411"/>
      <c r="D87" s="411"/>
      <c r="E87" s="411"/>
      <c r="F87" s="411"/>
      <c r="G87" s="411"/>
      <c r="H87" s="411"/>
      <c r="I87" s="411"/>
      <c r="J87" s="411"/>
      <c r="K87" s="411"/>
      <c r="L87" s="377"/>
    </row>
    <row r="88" spans="1:12" ht="13.5">
      <c r="A88" s="377"/>
      <c r="B88" s="891" t="s">
        <v>635</v>
      </c>
      <c r="C88" s="891"/>
      <c r="D88" s="891"/>
      <c r="E88" s="891"/>
      <c r="F88" s="891"/>
      <c r="G88" s="891"/>
      <c r="H88" s="891"/>
      <c r="I88" s="891"/>
      <c r="J88" s="891"/>
      <c r="K88" s="891"/>
      <c r="L88" s="377"/>
    </row>
    <row r="89" spans="1:12" ht="13.5">
      <c r="A89" s="377"/>
      <c r="B89" s="515"/>
      <c r="C89" s="515"/>
      <c r="D89" s="515"/>
      <c r="E89" s="515"/>
      <c r="F89" s="515"/>
      <c r="G89" s="515"/>
      <c r="H89" s="515"/>
      <c r="I89" s="515"/>
      <c r="J89" s="515"/>
      <c r="K89" s="515"/>
      <c r="L89" s="377"/>
    </row>
    <row r="90" spans="1:12" ht="45" customHeight="1">
      <c r="A90" s="377"/>
      <c r="B90" s="896" t="s">
        <v>636</v>
      </c>
      <c r="C90" s="896"/>
      <c r="D90" s="896"/>
      <c r="E90" s="896"/>
      <c r="F90" s="896"/>
      <c r="G90" s="896"/>
      <c r="H90" s="896"/>
      <c r="I90" s="896"/>
      <c r="J90" s="896"/>
      <c r="K90" s="896"/>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897">
        <v>312000000</v>
      </c>
      <c r="D94" s="897"/>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897">
        <v>50000</v>
      </c>
      <c r="D97" s="897"/>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897">
        <v>2500000</v>
      </c>
      <c r="D100" s="897"/>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7">
        <f>H100</f>
        <v>750000</v>
      </c>
      <c r="D103" s="907"/>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592</v>
      </c>
      <c r="C105" s="908"/>
      <c r="D105" s="908"/>
      <c r="E105" s="908"/>
      <c r="F105" s="908"/>
      <c r="G105" s="908"/>
      <c r="H105" s="908"/>
      <c r="I105" s="908"/>
      <c r="J105" s="908"/>
      <c r="K105" s="908"/>
      <c r="L105" s="377"/>
    </row>
    <row r="106" spans="1:12" ht="15" customHeight="1">
      <c r="A106" s="377"/>
      <c r="B106" s="909" t="s">
        <v>638</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00"/>
      <c r="D110" s="900"/>
      <c r="E110" s="900"/>
      <c r="F110" s="900"/>
      <c r="G110" s="900"/>
      <c r="H110" s="900"/>
      <c r="I110" s="900"/>
      <c r="J110" s="900"/>
      <c r="K110" s="900"/>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897">
        <v>312000000</v>
      </c>
      <c r="D114" s="897"/>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897">
        <v>50000</v>
      </c>
      <c r="D117" s="897"/>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897">
        <v>2500000</v>
      </c>
      <c r="D120" s="897"/>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7">
        <f>H120</f>
        <v>625000</v>
      </c>
      <c r="D123" s="907"/>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9" t="s">
        <v>592</v>
      </c>
      <c r="C125" s="899"/>
      <c r="D125" s="899"/>
      <c r="E125" s="899"/>
      <c r="F125" s="899"/>
      <c r="G125" s="899"/>
      <c r="H125" s="899"/>
      <c r="I125" s="899"/>
      <c r="J125" s="899"/>
      <c r="K125" s="899"/>
      <c r="L125" s="423"/>
    </row>
    <row r="126" spans="1:12" ht="13.5">
      <c r="A126" s="377"/>
      <c r="B126" s="891" t="s">
        <v>641</v>
      </c>
      <c r="C126" s="891"/>
      <c r="D126" s="891"/>
      <c r="E126" s="891"/>
      <c r="F126" s="891"/>
      <c r="G126" s="891"/>
      <c r="H126" s="891"/>
      <c r="I126" s="891"/>
      <c r="J126" s="891"/>
      <c r="K126" s="891"/>
      <c r="L126" s="423"/>
    </row>
    <row r="127" spans="1:12" ht="13.5">
      <c r="A127" s="377"/>
      <c r="B127" s="516"/>
      <c r="C127" s="516"/>
      <c r="D127" s="516"/>
      <c r="E127" s="516"/>
      <c r="F127" s="516"/>
      <c r="G127" s="516"/>
      <c r="H127" s="516"/>
      <c r="I127" s="516"/>
      <c r="J127" s="516"/>
      <c r="K127" s="516"/>
      <c r="L127" s="423"/>
    </row>
    <row r="128" spans="1:12" ht="13.5">
      <c r="A128" s="377"/>
      <c r="B128" s="891" t="s">
        <v>642</v>
      </c>
      <c r="C128" s="891"/>
      <c r="D128" s="891"/>
      <c r="E128" s="891"/>
      <c r="F128" s="891"/>
      <c r="G128" s="891"/>
      <c r="H128" s="891"/>
      <c r="I128" s="891"/>
      <c r="J128" s="891"/>
      <c r="K128" s="891"/>
      <c r="L128" s="423"/>
    </row>
    <row r="129" spans="1:12" ht="13.5">
      <c r="A129" s="377"/>
      <c r="B129" s="515"/>
      <c r="C129" s="515"/>
      <c r="D129" s="515"/>
      <c r="E129" s="515"/>
      <c r="F129" s="515"/>
      <c r="G129" s="515"/>
      <c r="H129" s="515"/>
      <c r="I129" s="515"/>
      <c r="J129" s="515"/>
      <c r="K129" s="515"/>
      <c r="L129" s="423"/>
    </row>
    <row r="130" spans="1:12" ht="74.25" customHeight="1">
      <c r="A130" s="377"/>
      <c r="B130" s="896" t="s">
        <v>643</v>
      </c>
      <c r="C130" s="896"/>
      <c r="D130" s="896"/>
      <c r="E130" s="896"/>
      <c r="F130" s="896"/>
      <c r="G130" s="896"/>
      <c r="H130" s="896"/>
      <c r="I130" s="896"/>
      <c r="J130" s="896"/>
      <c r="K130" s="896"/>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12" t="s">
        <v>644</v>
      </c>
      <c r="D133" s="912"/>
      <c r="E133" s="387"/>
      <c r="F133" s="521" t="s">
        <v>645</v>
      </c>
      <c r="G133" s="387"/>
      <c r="H133" s="912" t="s">
        <v>630</v>
      </c>
      <c r="I133" s="912"/>
      <c r="J133" s="387"/>
      <c r="K133" s="389"/>
      <c r="L133" s="377"/>
    </row>
    <row r="134" spans="1:12" ht="13.5">
      <c r="A134" s="377"/>
      <c r="B134" s="395" t="s">
        <v>623</v>
      </c>
      <c r="C134" s="897">
        <v>100000</v>
      </c>
      <c r="D134" s="897"/>
      <c r="E134" s="521" t="s">
        <v>266</v>
      </c>
      <c r="F134" s="521">
        <v>0.115</v>
      </c>
      <c r="G134" s="521" t="s">
        <v>600</v>
      </c>
      <c r="H134" s="913">
        <f>C134*F134</f>
        <v>11500</v>
      </c>
      <c r="I134" s="91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914" t="s">
        <v>630</v>
      </c>
      <c r="D136" s="914"/>
      <c r="E136" s="405"/>
      <c r="F136" s="523" t="s">
        <v>646</v>
      </c>
      <c r="G136" s="523"/>
      <c r="H136" s="405"/>
      <c r="I136" s="405"/>
      <c r="J136" s="405" t="s">
        <v>647</v>
      </c>
      <c r="K136" s="406"/>
      <c r="L136" s="377"/>
    </row>
    <row r="137" spans="1:12" ht="13.5">
      <c r="A137" s="377"/>
      <c r="B137" s="395" t="s">
        <v>626</v>
      </c>
      <c r="C137" s="913">
        <f>H134</f>
        <v>11500</v>
      </c>
      <c r="D137" s="913"/>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915" t="s">
        <v>650</v>
      </c>
      <c r="C144" s="916"/>
      <c r="D144" s="916"/>
      <c r="E144" s="916"/>
      <c r="F144" s="916"/>
      <c r="G144" s="916"/>
      <c r="H144" s="916"/>
      <c r="I144" s="916"/>
      <c r="J144" s="916"/>
      <c r="K144" s="917"/>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913" t="s">
        <v>651</v>
      </c>
      <c r="D147" s="913"/>
      <c r="E147" s="521"/>
      <c r="F147" s="441" t="s">
        <v>652</v>
      </c>
      <c r="G147" s="521"/>
      <c r="H147" s="521"/>
      <c r="I147" s="521"/>
      <c r="J147" s="918" t="s">
        <v>653</v>
      </c>
      <c r="K147" s="919"/>
      <c r="L147" s="377"/>
    </row>
    <row r="148" spans="1:12" ht="13.5">
      <c r="A148" s="377"/>
      <c r="B148" s="395"/>
      <c r="C148" s="920">
        <v>52.869</v>
      </c>
      <c r="D148" s="920"/>
      <c r="E148" s="521" t="s">
        <v>266</v>
      </c>
      <c r="F148" s="517">
        <v>312000000</v>
      </c>
      <c r="G148" s="446" t="s">
        <v>601</v>
      </c>
      <c r="H148" s="521">
        <v>1000</v>
      </c>
      <c r="I148" s="521" t="s">
        <v>600</v>
      </c>
      <c r="J148" s="918">
        <f>C148*(F148/1000)</f>
        <v>16495128</v>
      </c>
      <c r="K148" s="921"/>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
      <c r="J1" s="684" t="s">
        <v>800</v>
      </c>
    </row>
    <row r="2" spans="1:10" ht="54" customHeight="1">
      <c r="A2" s="793" t="s">
        <v>344</v>
      </c>
      <c r="B2" s="794"/>
      <c r="C2" s="794"/>
      <c r="D2" s="794"/>
      <c r="E2" s="794"/>
      <c r="F2" s="794"/>
      <c r="J2" s="684" t="s">
        <v>801</v>
      </c>
    </row>
    <row r="3" ht="15">
      <c r="J3" s="684" t="s">
        <v>802</v>
      </c>
    </row>
    <row r="4" spans="1:10" ht="15">
      <c r="A4" s="449" t="s">
        <v>798</v>
      </c>
      <c r="B4" s="724" t="s">
        <v>942</v>
      </c>
      <c r="C4" s="683"/>
      <c r="J4" s="684" t="s">
        <v>803</v>
      </c>
    </row>
    <row r="5" spans="1:10" ht="15">
      <c r="A5" s="449"/>
      <c r="B5" s="683"/>
      <c r="J5" s="684" t="s">
        <v>804</v>
      </c>
    </row>
    <row r="6" spans="1:10" ht="15">
      <c r="A6" s="449" t="s">
        <v>799</v>
      </c>
      <c r="B6" s="724" t="s">
        <v>947</v>
      </c>
      <c r="J6" s="684" t="s">
        <v>805</v>
      </c>
    </row>
    <row r="7" spans="1:10" ht="15">
      <c r="A7" s="335"/>
      <c r="B7" s="335"/>
      <c r="C7" s="335"/>
      <c r="D7" s="337"/>
      <c r="E7" s="335"/>
      <c r="F7" s="335"/>
      <c r="J7" s="684" t="s">
        <v>806</v>
      </c>
    </row>
    <row r="8" spans="1:10" ht="15">
      <c r="A8" s="336" t="s">
        <v>345</v>
      </c>
      <c r="B8" s="724" t="s">
        <v>948</v>
      </c>
      <c r="C8" s="338"/>
      <c r="D8" s="336" t="s">
        <v>797</v>
      </c>
      <c r="E8" s="335"/>
      <c r="F8" s="335"/>
      <c r="J8" s="684" t="s">
        <v>807</v>
      </c>
    </row>
    <row r="9" spans="1:10" ht="15">
      <c r="A9" s="336"/>
      <c r="B9" s="339"/>
      <c r="C9" s="340"/>
      <c r="D9" s="336" t="str">
        <f>IF(B8="","",CONCATENATE("Latest date for notice to be published in your newspaper: ",G19," ",G23,", ",G24))</f>
        <v>Latest date for notice to be published in your newspaper: July 25, 2014</v>
      </c>
      <c r="E9" s="335"/>
      <c r="F9" s="335"/>
      <c r="J9" s="684" t="s">
        <v>808</v>
      </c>
    </row>
    <row r="10" spans="1:10" ht="15">
      <c r="A10" s="336" t="s">
        <v>346</v>
      </c>
      <c r="B10" s="724" t="s">
        <v>949</v>
      </c>
      <c r="C10" s="341"/>
      <c r="D10" s="336"/>
      <c r="E10" s="335"/>
      <c r="F10" s="335"/>
      <c r="J10" s="684" t="s">
        <v>809</v>
      </c>
    </row>
    <row r="11" spans="1:10" ht="15">
      <c r="A11" s="336"/>
      <c r="B11" s="336"/>
      <c r="C11" s="336"/>
      <c r="D11" s="336"/>
      <c r="E11" s="335"/>
      <c r="F11" s="335"/>
      <c r="J11" s="684" t="s">
        <v>810</v>
      </c>
    </row>
    <row r="12" spans="1:10" ht="15">
      <c r="A12" s="336" t="s">
        <v>347</v>
      </c>
      <c r="B12" s="725" t="s">
        <v>950</v>
      </c>
      <c r="C12" s="726"/>
      <c r="D12" s="726"/>
      <c r="E12" s="727"/>
      <c r="F12" s="335"/>
      <c r="J12" s="684" t="s">
        <v>811</v>
      </c>
    </row>
    <row r="13" spans="1:6" ht="15">
      <c r="A13" s="336"/>
      <c r="B13" s="336"/>
      <c r="C13" s="336"/>
      <c r="D13" s="336"/>
      <c r="E13" s="335"/>
      <c r="F13" s="335"/>
    </row>
    <row r="14" spans="1:6" ht="15">
      <c r="A14" s="336"/>
      <c r="B14" s="336"/>
      <c r="C14" s="336"/>
      <c r="D14" s="336"/>
      <c r="E14" s="335"/>
      <c r="F14" s="335"/>
    </row>
    <row r="15" spans="1:6" ht="15">
      <c r="A15" s="336" t="s">
        <v>348</v>
      </c>
      <c r="B15" s="725" t="s">
        <v>951</v>
      </c>
      <c r="C15" s="726"/>
      <c r="D15" s="726"/>
      <c r="E15" s="727"/>
      <c r="F15" s="335"/>
    </row>
    <row r="18" spans="1:6" ht="15">
      <c r="A18" s="795" t="s">
        <v>349</v>
      </c>
      <c r="B18" s="795"/>
      <c r="C18" s="336"/>
      <c r="D18" s="336"/>
      <c r="E18" s="336"/>
      <c r="F18" s="335"/>
    </row>
    <row r="19" spans="1:7" ht="15">
      <c r="A19" s="336"/>
      <c r="B19" s="336"/>
      <c r="C19" s="336"/>
      <c r="D19" s="336"/>
      <c r="E19" s="336"/>
      <c r="F19" s="335"/>
      <c r="G19" s="684" t="str">
        <f ca="1">IF(B8="","",INDIRECT(G20))</f>
        <v>July</v>
      </c>
    </row>
    <row r="20" spans="1:7" ht="15">
      <c r="A20" s="336" t="s">
        <v>345</v>
      </c>
      <c r="B20" s="339" t="s">
        <v>350</v>
      </c>
      <c r="C20" s="336"/>
      <c r="D20" s="336"/>
      <c r="E20" s="336"/>
      <c r="G20" s="685" t="str">
        <f>IF(B8="","",CONCATENATE("J",G22))</f>
        <v>J7</v>
      </c>
    </row>
    <row r="21" spans="1:7" ht="15">
      <c r="A21" s="336"/>
      <c r="B21" s="336"/>
      <c r="C21" s="336"/>
      <c r="D21" s="336"/>
      <c r="E21" s="336"/>
      <c r="G21" s="686">
        <f>B8-10</f>
        <v>41845</v>
      </c>
    </row>
    <row r="22" spans="1:7" ht="15">
      <c r="A22" s="336" t="s">
        <v>346</v>
      </c>
      <c r="B22" s="336" t="s">
        <v>351</v>
      </c>
      <c r="C22" s="336"/>
      <c r="D22" s="336"/>
      <c r="E22" s="336"/>
      <c r="G22" s="687">
        <f>IF(B8="","",MONTH(G21))</f>
        <v>7</v>
      </c>
    </row>
    <row r="23" spans="1:7" ht="15">
      <c r="A23" s="336"/>
      <c r="B23" s="336"/>
      <c r="C23" s="336"/>
      <c r="D23" s="336"/>
      <c r="E23" s="336"/>
      <c r="G23" s="688">
        <f>IF(B8="","",DAY(G21))</f>
        <v>25</v>
      </c>
    </row>
    <row r="24" spans="1:7" ht="15">
      <c r="A24" s="336" t="s">
        <v>347</v>
      </c>
      <c r="B24" s="336" t="s">
        <v>353</v>
      </c>
      <c r="C24" s="336"/>
      <c r="D24" s="336"/>
      <c r="E24" s="336"/>
      <c r="G24" s="689">
        <f>IF(B8="","",YEAR(G21))</f>
        <v>2014</v>
      </c>
    </row>
    <row r="25" spans="1:5" ht="15">
      <c r="A25" s="336"/>
      <c r="B25" s="336"/>
      <c r="C25" s="336"/>
      <c r="D25" s="336"/>
      <c r="E25" s="336"/>
    </row>
    <row r="26" spans="1:5" ht="1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23">
      <selection activeCell="P107" sqref="P10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98" t="s">
        <v>70</v>
      </c>
      <c r="C1" s="798"/>
      <c r="D1" s="798"/>
      <c r="E1" s="798"/>
      <c r="F1" s="798"/>
      <c r="G1" s="798"/>
      <c r="H1" s="3">
        <f>inputPrYr!D5</f>
        <v>2015</v>
      </c>
    </row>
    <row r="2" spans="3:7" s="3" customFormat="1" ht="15">
      <c r="C2" s="134"/>
      <c r="D2" s="134"/>
      <c r="E2" s="134"/>
      <c r="F2" s="134"/>
      <c r="G2" s="51"/>
    </row>
    <row r="3" spans="2:8" s="3" customFormat="1" ht="15">
      <c r="B3" s="807" t="str">
        <f>CONCATENATE("To the Clerk of ",inputPrYr!D3,", State of Kansas")</f>
        <v>To the Clerk of Ellsworth County, State of Kansas</v>
      </c>
      <c r="C3" s="806"/>
      <c r="D3" s="806"/>
      <c r="E3" s="806"/>
      <c r="F3" s="806"/>
      <c r="G3" s="806"/>
      <c r="H3" s="806"/>
    </row>
    <row r="4" spans="2:7" s="3" customFormat="1" ht="15">
      <c r="B4" s="807" t="s">
        <v>131</v>
      </c>
      <c r="C4" s="815"/>
      <c r="D4" s="815"/>
      <c r="E4" s="815"/>
      <c r="F4" s="815"/>
      <c r="G4" s="815"/>
    </row>
    <row r="5" spans="2:7" s="3" customFormat="1" ht="15">
      <c r="B5" s="816" t="str">
        <f>inputPrYr!D2</f>
        <v>Lincoln Township</v>
      </c>
      <c r="C5" s="815"/>
      <c r="D5" s="815"/>
      <c r="E5" s="815"/>
      <c r="F5" s="815"/>
      <c r="G5" s="815"/>
    </row>
    <row r="6" spans="2:7" s="3" customFormat="1" ht="15">
      <c r="B6" s="805" t="s">
        <v>129</v>
      </c>
      <c r="C6" s="806"/>
      <c r="D6" s="806"/>
      <c r="E6" s="806"/>
      <c r="F6" s="806"/>
      <c r="G6" s="806"/>
    </row>
    <row r="7" spans="2:7" s="3" customFormat="1" ht="15.75" customHeight="1">
      <c r="B7" s="807" t="s">
        <v>130</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
      <c r="D11" s="8"/>
      <c r="E11" s="802" t="str">
        <f>CONCATENATE("",H1," Adopted Budget")</f>
        <v>2015 Adopted Budget</v>
      </c>
      <c r="F11" s="803"/>
      <c r="G11" s="804"/>
    </row>
    <row r="12" spans="2:7" s="3" customFormat="1" ht="15">
      <c r="B12" s="11"/>
      <c r="D12" s="55"/>
      <c r="E12" s="243" t="s">
        <v>254</v>
      </c>
      <c r="F12" s="799" t="str">
        <f>CONCATENATE("Amount of ",H1-1," Ad Valorem Tax")</f>
        <v>Amount of 2014 Ad Valorem Tax</v>
      </c>
      <c r="G12" s="12" t="s">
        <v>255</v>
      </c>
    </row>
    <row r="13" spans="4:7" s="3" customFormat="1" ht="15">
      <c r="D13" s="12" t="s">
        <v>256</v>
      </c>
      <c r="E13" s="497" t="s">
        <v>185</v>
      </c>
      <c r="F13" s="800"/>
      <c r="G13" s="145" t="s">
        <v>257</v>
      </c>
    </row>
    <row r="14" spans="2:7" s="3" customFormat="1" ht="15">
      <c r="B14" s="60" t="s">
        <v>258</v>
      </c>
      <c r="C14" s="9"/>
      <c r="D14" s="15" t="s">
        <v>259</v>
      </c>
      <c r="E14" s="498" t="s">
        <v>684</v>
      </c>
      <c r="F14" s="801"/>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33531</v>
      </c>
      <c r="F21" s="695">
        <f>IF(gen!$E$57&lt;&gt;0,gen!$E$57,0)</f>
        <v>28067.3</v>
      </c>
      <c r="G21" s="696" t="str">
        <f>IF(AND(gen!E57=0,$C$40&gt;=0)," ",IF(AND(F21&gt;0,$C$40=0)," ",IF(AND(F21&gt;0,$C$40&gt;0),ROUND(F21/$C$40*1000,3))))</f>
        <v> </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33531</v>
      </c>
      <c r="F35" s="697">
        <f>SUM(F21:F30)</f>
        <v>28067.3</v>
      </c>
      <c r="G35" s="698">
        <f>IF(SUM(G21:G30)&gt;0,SUM(G21:G30),"")</f>
      </c>
    </row>
    <row r="36" spans="2:4" s="3" customFormat="1" ht="15.75" thickTop="1">
      <c r="B36" s="16" t="s">
        <v>145</v>
      </c>
      <c r="C36" s="247"/>
      <c r="D36" s="252">
        <f>summ!D49</f>
        <v>0</v>
      </c>
    </row>
    <row r="37" spans="2:6" s="3" customFormat="1" ht="15">
      <c r="B37" s="737" t="s">
        <v>191</v>
      </c>
      <c r="C37" s="244"/>
      <c r="D37" s="736">
        <f>IF(nhood!C38&gt;0,nhood!C38,"")</f>
      </c>
      <c r="E37" s="738" t="s">
        <v>898</v>
      </c>
      <c r="F37" s="256" t="str">
        <f>IF(F35&gt;1000,IF(F35&gt;computation!J41,"Yes","No"),"No")</f>
        <v>No</v>
      </c>
    </row>
    <row r="38" spans="2:6" s="3" customFormat="1" ht="15">
      <c r="B38" s="278"/>
      <c r="C38" s="255"/>
      <c r="D38" s="735"/>
      <c r="E38" s="257"/>
      <c r="F38" s="258"/>
    </row>
    <row r="39" spans="2:7" s="3" customFormat="1" ht="15">
      <c r="B39" s="53" t="s">
        <v>97</v>
      </c>
      <c r="C39" s="809" t="s">
        <v>115</v>
      </c>
      <c r="D39" s="810"/>
      <c r="E39" s="259"/>
      <c r="G39" s="11" t="s">
        <v>267</v>
      </c>
    </row>
    <row r="40" spans="2:7" s="3" customFormat="1" ht="15">
      <c r="B40" s="16" t="s">
        <v>98</v>
      </c>
      <c r="C40" s="811"/>
      <c r="D40" s="812"/>
      <c r="E40" s="260"/>
      <c r="G40" s="11"/>
    </row>
    <row r="41" spans="2:7" s="3" customFormat="1" ht="15">
      <c r="B41" s="261"/>
      <c r="C41" s="813" t="str">
        <f>CONCATENATE("Nov. 1, ",H1-1," Valuation")</f>
        <v>Nov. 1, 2014 Valuation</v>
      </c>
      <c r="D41" s="814"/>
      <c r="E41" s="259"/>
      <c r="G41" s="11"/>
    </row>
    <row r="42" spans="2:7" s="3" customFormat="1" ht="15">
      <c r="B42" s="261" t="s">
        <v>268</v>
      </c>
      <c r="E42" s="8"/>
      <c r="G42" s="11"/>
    </row>
    <row r="43" spans="2:7" s="3" customFormat="1" ht="15">
      <c r="B43" s="262"/>
      <c r="C43" s="262"/>
      <c r="E43" s="699" t="s">
        <v>812</v>
      </c>
      <c r="F43" s="699"/>
      <c r="G43" s="699"/>
    </row>
    <row r="44" spans="2:7" s="3" customFormat="1" ht="15">
      <c r="B44" s="263"/>
      <c r="C44" s="263"/>
      <c r="E44" s="700"/>
      <c r="F44" s="700"/>
      <c r="G44" s="700"/>
    </row>
    <row r="45" spans="2:7" s="3" customFormat="1" ht="15">
      <c r="B45" s="261" t="s">
        <v>124</v>
      </c>
      <c r="E45" s="699" t="s">
        <v>812</v>
      </c>
      <c r="F45" s="699"/>
      <c r="G45" s="699"/>
    </row>
    <row r="46" spans="2:7" s="3" customFormat="1" ht="15">
      <c r="B46" s="262"/>
      <c r="C46" s="262"/>
      <c r="D46" s="11"/>
      <c r="E46" s="699"/>
      <c r="F46" s="699"/>
      <c r="G46" s="699"/>
    </row>
    <row r="47" spans="2:7" s="3" customFormat="1" ht="15">
      <c r="B47" s="263"/>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
      <c r="B54" s="38" t="s">
        <v>270</v>
      </c>
      <c r="C54" s="3"/>
      <c r="D54" s="3"/>
      <c r="E54" s="796" t="s">
        <v>269</v>
      </c>
      <c r="F54" s="797"/>
      <c r="G54" s="79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3">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Lincoln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798"/>
      <c r="C3" s="798"/>
      <c r="D3" s="798"/>
      <c r="E3" s="798"/>
      <c r="F3" s="798"/>
      <c r="G3" s="798"/>
      <c r="H3" s="798"/>
      <c r="I3" s="798"/>
      <c r="J3" s="798"/>
    </row>
    <row r="4" spans="1:10" ht="15">
      <c r="A4" s="3"/>
      <c r="B4" s="3"/>
      <c r="C4" s="3"/>
      <c r="D4" s="3"/>
      <c r="E4" s="798"/>
      <c r="F4" s="798"/>
      <c r="G4" s="798"/>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26966</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26966</v>
      </c>
    </row>
    <row r="8" spans="1:10" ht="15">
      <c r="A8" s="3"/>
      <c r="B8" s="3"/>
      <c r="C8" s="3"/>
      <c r="D8" s="3"/>
      <c r="E8" s="44"/>
      <c r="F8" s="44"/>
      <c r="G8" s="44"/>
      <c r="H8" s="44"/>
      <c r="I8" s="44"/>
      <c r="J8" s="44"/>
    </row>
    <row r="9" spans="1:10" ht="15">
      <c r="A9" s="798" t="str">
        <f>CONCATENATE("",J1-1," Valuation Information for Valuation Adjustments")</f>
        <v>2014 Valuation Information for Valuation Adjustments</v>
      </c>
      <c r="B9" s="815"/>
      <c r="C9" s="815"/>
      <c r="D9" s="815"/>
      <c r="E9" s="815"/>
      <c r="F9" s="815"/>
      <c r="G9" s="815"/>
      <c r="H9" s="815"/>
      <c r="I9" s="815"/>
      <c r="J9" s="815"/>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0</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24382</v>
      </c>
      <c r="F14" s="235"/>
      <c r="G14" s="44"/>
      <c r="H14" s="44"/>
      <c r="I14" s="42"/>
      <c r="J14" s="44"/>
    </row>
    <row r="15" spans="1:10" ht="15">
      <c r="A15" s="234"/>
      <c r="B15" s="3" t="s">
        <v>87</v>
      </c>
      <c r="C15" s="3" t="str">
        <f>CONCATENATE("Personal property ",J1-2,"")</f>
        <v>Personal property 2013</v>
      </c>
      <c r="D15" s="234" t="s">
        <v>82</v>
      </c>
      <c r="E15" s="238">
        <f>inputOth!E11</f>
        <v>18573</v>
      </c>
      <c r="F15" s="235"/>
      <c r="G15" s="42"/>
      <c r="H15" s="42"/>
      <c r="I15" s="44"/>
      <c r="J15" s="44"/>
    </row>
    <row r="16" spans="1:10" ht="15">
      <c r="A16" s="234"/>
      <c r="B16" s="3" t="s">
        <v>88</v>
      </c>
      <c r="C16" s="3" t="s">
        <v>908</v>
      </c>
      <c r="D16" s="3"/>
      <c r="E16" s="44"/>
      <c r="F16" s="44" t="s">
        <v>15</v>
      </c>
      <c r="G16" s="236">
        <f>IF(E14&gt;E15,E14-E15,0)</f>
        <v>5809</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28141</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33950</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1347781</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1313831</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0.025840461977225383</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697</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27663</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27663</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404.49</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28067.49</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904</v>
      </c>
      <c r="B45" s="819"/>
      <c r="C45" s="819"/>
      <c r="D45" s="819"/>
      <c r="E45" s="819"/>
      <c r="F45" s="819"/>
      <c r="G45" s="819"/>
      <c r="H45" s="819"/>
      <c r="I45" s="819"/>
      <c r="J45" s="819"/>
    </row>
    <row r="46" spans="1:10" ht="15">
      <c r="A46" s="818" t="s">
        <v>905</v>
      </c>
      <c r="B46" s="818"/>
      <c r="C46" s="818"/>
      <c r="D46" s="818"/>
      <c r="E46" s="818"/>
      <c r="F46" s="818"/>
      <c r="G46" s="818"/>
      <c r="H46" s="818"/>
      <c r="I46" s="818"/>
      <c r="J46" s="818"/>
    </row>
    <row r="47" spans="1:10" ht="1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Lincoln Township</v>
      </c>
      <c r="C1" s="3"/>
      <c r="D1" s="3"/>
      <c r="E1" s="3"/>
      <c r="F1" s="3"/>
      <c r="G1" s="3"/>
      <c r="H1" s="3"/>
      <c r="I1" s="3"/>
      <c r="J1" s="4">
        <f>inputPrYr!D5</f>
        <v>2015</v>
      </c>
      <c r="K1" s="4"/>
      <c r="L1" s="79"/>
    </row>
    <row r="2" spans="2:12" ht="15">
      <c r="B2" s="2" t="str">
        <f>inputPrYr!D3</f>
        <v>Ellsworth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
      <c r="B6" s="825" t="s">
        <v>728</v>
      </c>
      <c r="C6" s="797"/>
      <c r="D6" s="797"/>
      <c r="E6" s="797"/>
      <c r="F6" s="797"/>
      <c r="G6" s="797"/>
      <c r="H6" s="797"/>
      <c r="I6" s="797"/>
      <c r="J6" s="797"/>
      <c r="K6" s="3"/>
      <c r="L6" s="3"/>
    </row>
    <row r="7" spans="2:12" ht="1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
      <c r="B11" s="74" t="str">
        <f>inputPrYr!B16</f>
        <v>General</v>
      </c>
      <c r="C11" s="223"/>
      <c r="D11" s="150">
        <f>IF(inputPrYr!E16&gt;0,inputPrYr!E16,"  ")</f>
        <v>26966</v>
      </c>
      <c r="E11" s="120">
        <f>IF(inputOth!D17&gt;0,inputOth!D17,"  ")</f>
        <v>23.094</v>
      </c>
      <c r="F11" s="690"/>
      <c r="G11" s="150">
        <f>IF(inputPrYr!E16=0,0,G23-SUM(G12:G20))</f>
        <v>1576</v>
      </c>
      <c r="H11" s="691"/>
      <c r="I11" s="150">
        <f>IF(inputPrYr!E16=0,0,I25-SUM(I12:I20))</f>
        <v>20</v>
      </c>
      <c r="J11" s="150">
        <f>IF(inputPrYr!E16=0,0,J27-SUM(J12:J20))</f>
        <v>646</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26966</v>
      </c>
      <c r="E21" s="693">
        <f>SUM(E11:E20)</f>
        <v>23.094</v>
      </c>
      <c r="F21" s="694"/>
      <c r="G21" s="692">
        <f>SUM(G11:G20)</f>
        <v>1576</v>
      </c>
      <c r="H21" s="692"/>
      <c r="I21" s="692">
        <f>SUM(I11:I20)</f>
        <v>20</v>
      </c>
      <c r="J21" s="692">
        <f>SUM(J11:J20)</f>
        <v>646</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1576</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20</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646</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0.0584439664763035</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0.0007416747014759327</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0.023956092857672626</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Lincoln Township</v>
      </c>
      <c r="B2" s="77"/>
      <c r="C2" s="3"/>
      <c r="D2" s="3"/>
      <c r="E2" s="41"/>
      <c r="F2" s="3"/>
    </row>
    <row r="3" spans="1:6" ht="15">
      <c r="A3" s="2"/>
      <c r="B3" s="77"/>
      <c r="C3" s="3"/>
      <c r="D3" s="3"/>
      <c r="E3" s="41"/>
      <c r="F3" s="3"/>
    </row>
    <row r="4" spans="1:6" ht="15">
      <c r="A4" s="2"/>
      <c r="B4" s="3"/>
      <c r="C4" s="3"/>
      <c r="D4" s="3"/>
      <c r="E4" s="41"/>
      <c r="F4" s="3"/>
    </row>
    <row r="5" spans="1:6" ht="15" customHeight="1">
      <c r="A5" s="798" t="s">
        <v>146</v>
      </c>
      <c r="B5" s="798"/>
      <c r="C5" s="798"/>
      <c r="D5" s="798"/>
      <c r="E5" s="798"/>
      <c r="F5" s="79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7747</v>
      </c>
      <c r="D12" s="212">
        <f>gen!$D$45</f>
        <v>0</v>
      </c>
      <c r="E12" s="212">
        <f>gen!$E$45</f>
        <v>0</v>
      </c>
      <c r="F12" s="62" t="str">
        <f>IF(C12+D12+E12&gt;0,"80-122","")</f>
        <v>80-122</v>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7747</v>
      </c>
      <c r="D27" s="217">
        <f>SUM(D10:D26)</f>
        <v>0</v>
      </c>
      <c r="E27" s="217">
        <f>SUM(E10:E26)</f>
        <v>0</v>
      </c>
      <c r="F27" s="118"/>
    </row>
    <row r="28" spans="1:6" ht="15">
      <c r="A28" s="118"/>
      <c r="B28" s="216" t="s">
        <v>576</v>
      </c>
      <c r="C28" s="118"/>
      <c r="D28" s="213"/>
      <c r="E28" s="213"/>
      <c r="F28" s="118"/>
    </row>
    <row r="29" spans="1:6" ht="15">
      <c r="A29" s="118"/>
      <c r="B29" s="168" t="s">
        <v>154</v>
      </c>
      <c r="C29" s="218">
        <f>C27</f>
        <v>7747</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
      <c r="A2" s="69"/>
    </row>
    <row r="3" ht="51" customHeight="1">
      <c r="A3" s="369" t="s">
        <v>675</v>
      </c>
    </row>
    <row r="4" ht="17.25" customHeight="1">
      <c r="A4" s="369"/>
    </row>
    <row r="5" ht="15">
      <c r="A5" s="69"/>
    </row>
    <row r="6" ht="52.5" customHeight="1">
      <c r="A6" s="153" t="s">
        <v>331</v>
      </c>
    </row>
    <row r="7" ht="15">
      <c r="A7" s="69"/>
    </row>
    <row r="8" ht="15">
      <c r="A8" s="69"/>
    </row>
    <row r="9" ht="70.5" customHeight="1">
      <c r="A9" s="153" t="s">
        <v>332</v>
      </c>
    </row>
    <row r="10" ht="15">
      <c r="A10" s="154"/>
    </row>
    <row r="11" ht="15">
      <c r="A11" s="154"/>
    </row>
    <row r="12" ht="62.25">
      <c r="A12" s="456" t="s">
        <v>676</v>
      </c>
    </row>
    <row r="13" ht="15">
      <c r="A13" s="154"/>
    </row>
    <row r="14" ht="15">
      <c r="A14" s="154"/>
    </row>
    <row r="15" ht="62.25">
      <c r="A15" s="456" t="s">
        <v>677</v>
      </c>
    </row>
    <row r="16" ht="15">
      <c r="A16" s="154"/>
    </row>
    <row r="17" ht="15">
      <c r="A17" s="69"/>
    </row>
    <row r="18" ht="56.25" customHeight="1">
      <c r="A18" s="153" t="s">
        <v>333</v>
      </c>
    </row>
    <row r="19" ht="15">
      <c r="A19" s="154"/>
    </row>
    <row r="20" ht="15">
      <c r="A20" s="154"/>
    </row>
    <row r="21" ht="87.75" customHeight="1">
      <c r="A21" s="153" t="s">
        <v>334</v>
      </c>
    </row>
    <row r="22" ht="15">
      <c r="A22" s="154"/>
    </row>
    <row r="23" ht="15">
      <c r="A23" s="69"/>
    </row>
    <row r="24" ht="54.75" customHeight="1">
      <c r="A24" s="153" t="s">
        <v>335</v>
      </c>
    </row>
    <row r="25" ht="15">
      <c r="A25" s="69"/>
    </row>
    <row r="26" ht="15.75" customHeight="1">
      <c r="A26" s="69"/>
    </row>
    <row r="27" ht="69" customHeight="1">
      <c r="A27" s="153" t="s">
        <v>336</v>
      </c>
    </row>
    <row r="28" ht="15.75" customHeight="1">
      <c r="A28" s="153"/>
    </row>
    <row r="29" ht="15.75" customHeight="1">
      <c r="A29" s="153"/>
    </row>
    <row r="30" ht="87" customHeight="1">
      <c r="A30" s="153" t="s">
        <v>725</v>
      </c>
    </row>
    <row r="31" ht="15">
      <c r="A31" s="69"/>
    </row>
    <row r="32" ht="15">
      <c r="A32" s="198"/>
    </row>
    <row r="33" ht="47.25" customHeight="1">
      <c r="A33" s="199" t="s">
        <v>337</v>
      </c>
    </row>
    <row r="34" ht="15">
      <c r="A34" s="200"/>
    </row>
    <row r="35" ht="1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2014-07-10T21:09:10Z</cp:lastPrinted>
  <dcterms:created xsi:type="dcterms:W3CDTF">1998-08-26T16:30:41Z</dcterms:created>
  <dcterms:modified xsi:type="dcterms:W3CDTF">2014-07-10T22:57:20Z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