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<sst xmlns="http://schemas.openxmlformats.org/spreadsheetml/2006/main" count="1685" uniqueCount="953">
  <si>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</si>
  <si>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</si>
  <si>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</si>
  <si>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</si>
  <si>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</si>
  <si>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</si>
  <si>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</si>
  <si>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</si>
  <si>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</si>
  <si>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</si>
  <si>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</si>
  <si>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</si>
  <si>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</si>
  <si>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</si>
  <si>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</si>
  <si>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</si>
  <si>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</si>
  <si>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</si>
  <si>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</si>
  <si>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</si>
  <si>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</si>
  <si>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</si>
  <si>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</si>
  <si>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</si>
  <si>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</si>
  <si>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</si>
  <si>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</si>
  <si>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</si>
  <si>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</si>
  <si>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</si>
  <si>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</si>
  <si>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</si>
  <si>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</si>
  <si>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</si>
  <si>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</si>
  <si>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</si>
  <si>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</si>
  <si>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</si>
  <si>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</si>
  <si>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</si>
  <si>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</si>
  <si>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</si>
  <si>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</si>
  <si>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</si>
  <si>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</si>
  <si>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</si>
  <si>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</si>
  <si>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</si>
  <si>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</si>
  <si>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</si>
  <si>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</si>
  <si>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</si>
  <si>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</si>
  <si>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</si>
  <si>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</si>
  <si>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</si>
  <si>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</si>
  <si>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</si>
  <si>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</si>
  <si>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</si>
  <si>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</si>
  <si>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</si>
  <si>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</si>
  <si>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</si>
  <si>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</si>
  <si>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</si>
  <si>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</si>
  <si>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</si>
  <si>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</si>
  <si>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</si>
  <si>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</si>
  <si>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</si>
  <si>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</si>
  <si>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</si>
  <si>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</si>
  <si>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</si>
  <si>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</si>
  <si>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</si>
  <si>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</si>
  <si>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</si>
  <si>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</si>
  <si>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</si>
  <si>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</si>
  <si>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</si>
  <si>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</si>
  <si>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</si>
  <si>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</si>
  <si>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</si>
  <si>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</si>
  <si>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</si>
  <si>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</si>
  <si>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</si>
  <si>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</si>
  <si>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</si>
  <si>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</si>
  <si>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</si>
  <si>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</si>
  <si>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</si>
  <si>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</si>
  <si>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</si>
  <si>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</si>
  <si>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</si>
  <si>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</si>
  <si>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</si>
  <si>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</si>
  <si>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</si>
  <si>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</si>
  <si>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</si>
  <si>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</si>
  <si>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</si>
  <si>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</si>
  <si>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</si>
  <si>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</si>
  <si>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</si>
  <si>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</si>
  <si>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</si>
  <si>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</si>
  <si>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</si>
  <si>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</si>
  <si>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</si>
  <si>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</si>
  <si>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</si>
  <si>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</si>
  <si>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</si>
  <si>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</si>
  <si>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</si>
  <si>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</si>
  <si>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</si>
  <si>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</si>
  <si>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</si>
  <si>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</si>
  <si>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</si>
  <si>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</si>
  <si>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</si>
  <si>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</si>
  <si>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</si>
  <si>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</si>
  <si>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</si>
  <si>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</si>
  <si>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</si>
  <si>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</si>
  <si>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</si>
  <si>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</si>
  <si>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</si>
  <si>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</si>
  <si>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</si>
  <si>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</si>
  <si>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</si>
  <si>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</si>
  <si>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</si>
  <si>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</si>
  <si>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</si>
  <si>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</si>
  <si>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</si>
  <si>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</si>
  <si>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</si>
  <si>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</si>
  <si>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</si>
  <si>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</si>
  <si>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</si>
  <si>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</si>
  <si>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</si>
  <si>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</si>
  <si>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</si>
  <si>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</si>
  <si>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</si>
  <si>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</si>
  <si>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</si>
  <si>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</si>
  <si>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</si>
  <si>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</si>
  <si>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</si>
  <si>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</si>
  <si>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</si>
  <si>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</si>
  <si>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</si>
  <si>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</si>
  <si>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</si>
  <si>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</si>
  <si>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</si>
  <si>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</si>
  <si>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</si>
  <si>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</si>
  <si>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</si>
  <si>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</si>
  <si>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</si>
  <si>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</si>
  <si>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</si>
  <si>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</si>
  <si>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</si>
  <si>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</si>
  <si>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</si>
  <si>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</si>
  <si>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</si>
  <si>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</si>
  <si>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</si>
  <si>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</si>
  <si>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</si>
  <si>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</si>
  <si>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</si>
  <si>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</si>
  <si>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</si>
  <si>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</si>
  <si>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</si>
  <si>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</si>
  <si>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</si>
  <si>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</si>
  <si>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</si>
  <si>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</si>
  <si>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</si>
  <si>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</si>
  <si>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</si>
  <si>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</si>
  <si>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</si>
  <si>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</si>
  <si>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</si>
  <si>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</si>
  <si>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</si>
  <si>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</si>
  <si>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</si>
  <si>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</si>
  <si>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</si>
  <si>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</si>
  <si>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</si>
  <si>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</si>
  <si>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</si>
  <si>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</si>
  <si>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</si>
  <si>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</si>
  <si>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</si>
  <si>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</si>
  <si>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</si>
  <si>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</si>
  <si>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</si>
  <si>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</si>
  <si>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</si>
  <si>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</si>
  <si>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</si>
  <si>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</si>
  <si>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</si>
  <si>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</si>
  <si>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</si>
  <si>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</si>
  <si>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</si>
  <si>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</si>
  <si>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</si>
  <si>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</si>
  <si>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</si>
  <si>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</si>
  <si>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</si>
  <si>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</si>
  <si>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</si>
  <si>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</si>
  <si>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</si>
  <si>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</si>
  <si>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</si>
  <si>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</si>
  <si>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</si>
  <si>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</si>
  <si>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</si>
  <si>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</si>
  <si>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</si>
  <si>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</si>
  <si>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</si>
  <si>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</si>
  <si>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</si>
  <si>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</si>
  <si>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</si>
  <si>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</si>
  <si>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</si>
  <si>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</si>
  <si>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</si>
  <si>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</si>
  <si>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</si>
  <si>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</si>
  <si>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</si>
  <si>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</si>
  <si>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</si>
  <si>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</si>
  <si>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</si>
  <si>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</si>
  <si>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</si>
  <si>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</si>
  <si>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</si>
  <si>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</si>
  <si>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</si>
  <si>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</si>
  <si>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</si>
  <si>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</si>
  <si>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</si>
  <si>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</si>
  <si>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</si>
  <si>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</si>
  <si>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</si>
  <si>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</si>
  <si>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</si>
  <si>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</si>
  <si>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</si>
  <si>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</si>
  <si>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</si>
  <si>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</si>
  <si>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</si>
  <si>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</si>
  <si>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</si>
  <si>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</si>
  <si>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</si>
  <si>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</si>
  <si>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</si>
  <si>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</si>
  <si>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</si>
  <si>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</si>
  <si>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</si>
  <si>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</si>
  <si>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</si>
  <si>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</si>
  <si>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</si>
  <si>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</si>
  <si>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</si>
  <si>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</si>
  <si>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</si>
  <si>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</si>
  <si>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</si>
  <si>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</si>
  <si>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</si>
  <si>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</si>
  <si>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</si>
  <si>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</si>
  <si>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</si>
  <si>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</si>
  <si>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</si>
  <si>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</si>
  <si>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</si>
  <si>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</si>
  <si>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</si>
  <si>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</si>
  <si>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</si>
  <si>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</si>
  <si>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</si>
  <si>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</si>
  <si>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</si>
  <si>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</si>
  <si>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</si>
  <si>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</si>
  <si>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</si>
  <si>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</si>
  <si>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</si>
  <si>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</si>
  <si>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</si>
  <si>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</si>
  <si>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</si>
  <si>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</si>
  <si>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</si>
  <si>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</si>
  <si>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</si>
  <si>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</si>
  <si>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</si>
  <si>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</si>
  <si>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</si>
  <si>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</si>
  <si>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</si>
  <si>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</si>
  <si>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</si>
  <si>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</si>
  <si>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</si>
  <si>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</si>
  <si>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</si>
  <si>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</si>
  <si>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</si>
  <si>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</si>
  <si>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</si>
  <si>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</si>
  <si>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</si>
  <si>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</si>
  <si>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</si>
  <si>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</si>
  <si>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</si>
  <si>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</si>
  <si>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</si>
  <si>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</si>
  <si>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</si>
  <si>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</si>
  <si>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</si>
  <si>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</si>
  <si>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</si>
  <si>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</si>
  <si>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</si>
  <si>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</si>
  <si>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</si>
  <si>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</si>
  <si>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</si>
  <si>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</si>
  <si>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</si>
  <si>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</si>
  <si>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</si>
  <si>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</si>
  <si>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</si>
  <si>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</si>
  <si>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</si>
  <si>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</si>
  <si>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</si>
  <si>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</si>
  <si>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</si>
  <si>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</si>
  <si>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</si>
  <si>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</si>
  <si>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</si>
  <si>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</si>
  <si>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</si>
  <si>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</si>
  <si>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</si>
  <si>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</si>
  <si>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</si>
  <si>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</si>
  <si>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</si>
  <si>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</si>
  <si>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</si>
  <si>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</si>
  <si>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</si>
  <si>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</si>
  <si>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</si>
  <si>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</si>
  <si>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</si>
  <si>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</si>
  <si>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</si>
  <si>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</si>
  <si>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</si>
  <si>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</si>
  <si>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</si>
  <si>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</si>
  <si>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</si>
  <si>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</si>
  <si>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</si>
  <si>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</si>
  <si>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</si>
  <si>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</si>
  <si>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</si>
  <si>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</si>
  <si>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</si>
  <si>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</si>
  <si>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</si>
  <si>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</si>
  <si>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</si>
  <si>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</si>
  <si>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</si>
  <si>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</si>
  <si>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</si>
  <si>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</si>
  <si>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</si>
  <si>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</si>
  <si>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</si>
  <si>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</si>
  <si>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</si>
  <si>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</si>
  <si>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</si>
  <si>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</si>
  <si>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</si>
  <si>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</si>
  <si>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</si>
  <si>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</si>
  <si>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</si>
  <si>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</si>
  <si>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</si>
  <si>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</si>
  <si>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</si>
  <si>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</si>
  <si>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</si>
  <si>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</si>
  <si>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</si>
  <si>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</si>
  <si>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</si>
  <si>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</si>
  <si>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</si>
  <si>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</si>
  <si>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</si>
  <si>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</si>
  <si>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</si>
  <si>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</si>
  <si>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</si>
  <si>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</si>
  <si>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</si>
  <si>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</si>
  <si>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</si>
  <si>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</si>
  <si>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</si>
  <si>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</si>
  <si>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</si>
  <si>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</si>
  <si>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</si>
  <si>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</si>
  <si>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</si>
  <si>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</si>
  <si>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</si>
  <si>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</si>
  <si>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</si>
  <si>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</si>
  <si>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</si>
  <si>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</si>
  <si>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</si>
  <si>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</si>
  <si>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</si>
  <si>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</si>
  <si>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</si>
  <si>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</si>
  <si>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</si>
  <si>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</si>
  <si>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</si>
  <si>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</si>
  <si>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</si>
  <si>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</si>
  <si>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</si>
  <si>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</si>
  <si>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</si>
  <si>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</si>
  <si>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</si>
  <si>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</si>
  <si>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</si>
  <si>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</si>
  <si>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</si>
  <si>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</si>
  <si>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</si>
  <si>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</si>
  <si>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</si>
  <si>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</si>
  <si>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</si>
  <si>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</si>
  <si>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</si>
  <si>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</si>
  <si>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</si>
  <si>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</si>
  <si>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</si>
  <si>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</si>
  <si>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</si>
  <si>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</si>
  <si>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</si>
  <si>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</si>
  <si>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</si>
  <si>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</si>
  <si>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</si>
  <si>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</si>
  <si>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</si>
  <si>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</si>
  <si>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</si>
  <si>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</si>
  <si>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</si>
  <si>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</si>
  <si>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</si>
  <si>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</si>
  <si>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</si>
  <si>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</si>
  <si>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</si>
  <si>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</si>
  <si>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</si>
  <si>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</si>
  <si>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</si>
  <si>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</si>
  <si>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</si>
  <si>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</si>
  <si>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</si>
  <si>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</si>
  <si>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</si>
  <si>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</si>
  <si>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</si>
  <si>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</si>
  <si>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</si>
  <si>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</si>
  <si>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</si>
  <si>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</si>
  <si>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</si>
  <si>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</si>
  <si>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</si>
  <si>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</si>
  <si>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</si>
  <si>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</si>
  <si>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</si>
  <si>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</si>
  <si>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</si>
  <si>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</si>
  <si>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</si>
  <si>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</si>
  <si>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</si>
  <si>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</si>
  <si>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</si>
  <si>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</si>
  <si>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</si>
  <si>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</si>
  <si>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</si>
  <si>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</si>
  <si>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</si>
  <si>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</si>
  <si>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</si>
  <si>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</si>
  <si>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</si>
  <si>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</si>
  <si>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</si>
  <si>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</si>
  <si>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</si>
  <si>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</si>
  <si>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</si>
  <si>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</si>
  <si>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</si>
  <si>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</si>
  <si>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</si>
  <si>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</si>
  <si>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</si>
  <si>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</si>
  <si>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</si>
  <si>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</si>
  <si>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</si>
  <si>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</si>
  <si>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</si>
  <si>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</si>
  <si>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</si>
  <si>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</si>
  <si>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</si>
  <si>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</si>
  <si>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</si>
  <si>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</si>
  <si>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</si>
  <si>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</si>
  <si>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</si>
  <si>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</si>
  <si>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</si>
  <si>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</si>
  <si>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</si>
  <si>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</si>
  <si>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</si>
  <si>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</si>
  <si>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</si>
  <si>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</si>
  <si>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</si>
  <si>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</si>
  <si>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</si>
  <si>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</si>
  <si>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</si>
  <si>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</si>
  <si>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</si>
  <si>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</si>
  <si>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</si>
  <si>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</si>
  <si>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</si>
  <si>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</si>
  <si>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</si>
  <si>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</si>
  <si>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</si>
  <si>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</si>
  <si>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</si>
  <si>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</si>
  <si>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</si>
  <si>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</si>
  <si>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</si>
  <si>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</si>
  <si>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</si>
  <si>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</si>
  <si>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</si>
  <si>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</si>
  <si>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</si>
  <si>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</si>
  <si>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</si>
  <si>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</si>
  <si>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</si>
  <si>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</si>
  <si>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</si>
  <si>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</si>
  <si>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</si>
  <si>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</si>
  <si>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</si>
  <si>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</si>
  <si>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</si>
  <si>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</si>
  <si>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</si>
  <si>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</si>
  <si>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</si>
  <si>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</si>
  <si>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</si>
  <si>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</si>
  <si>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</si>
  <si>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</si>
  <si>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</si>
  <si>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</si>
  <si>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</si>
  <si>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</si>
  <si>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</si>
  <si>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</si>
  <si>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</si>
  <si>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</si>
  <si>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</si>
  <si>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</si>
  <si>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</si>
  <si>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</si>
  <si>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</si>
  <si>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</si>
  <si>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</si>
  <si>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</si>
  <si>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</si>
  <si>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</si>
  <si>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</si>
  <si>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</si>
  <si>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</si>
  <si>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</si>
  <si>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</si>
  <si>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</si>
  <si>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</si>
  <si>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</si>
  <si>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</si>
  <si>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</si>
  <si>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</si>
  <si>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</si>
  <si>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</si>
  <si>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</si>
  <si>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</si>
  <si>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</si>
  <si>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</si>
  <si>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</si>
  <si>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</si>
  <si>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</si>
  <si>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</si>
  <si>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</si>
  <si>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</si>
  <si>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</si>
  <si>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</si>
  <si>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</si>
  <si>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</si>
  <si>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</si>
  <si>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</si>
  <si>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</si>
  <si>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</si>
  <si>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</si>
  <si>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</si>
  <si>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</si>
  <si>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</si>
  <si>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</si>
  <si>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</si>
  <si>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</si>
  <si>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</si>
  <si>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</si>
  <si>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</si>
  <si>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</si>
  <si>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</si>
  <si>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</si>
  <si>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</si>
  <si>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</si>
  <si>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</si>
  <si>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</si>
  <si>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</si>
  <si>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</si>
  <si>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</si>
  <si>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</si>
  <si>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</si>
  <si>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</si>
  <si>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</si>
  <si>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</si>
  <si>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</si>
  <si>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</si>
  <si>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</si>
  <si>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</si>
  <si>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</si>
  <si>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</si>
  <si>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</si>
  <si>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</si>
  <si>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</si>
  <si>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</si>
  <si>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</si>
  <si>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</si>
  <si>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</si>
  <si>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</si>
  <si>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</si>
  <si>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</si>
  <si>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</si>
  <si>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</si>
  <si>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</si>
  <si>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</si>
  <si>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</si>
  <si>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</si>
  <si>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</si>
  <si>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</si>
  <si>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</si>
  <si>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</si>
  <si>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</si>
  <si>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</si>
  <si>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</si>
  <si>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</si>
  <si>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</si>
  <si>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</si>
  <si>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</si>
  <si>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</si>
  <si>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</si>
  <si>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</si>
  <si>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</si>
  <si>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</si>
  <si>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</si>
  <si>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</si>
  <si>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</si>
  <si>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</si>
  <si>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</si>
  <si>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</si>
  <si>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</si>
  <si>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</si>
  <si>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</si>
  <si>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</si>
  <si>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</si>
  <si>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</si>
  <si>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</si>
  <si>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</si>
  <si>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</si>
  <si>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</si>
  <si>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</si>
  <si>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</si>
  <si>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</si>
  <si>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</si>
  <si>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</si>
  <si>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</si>
  <si>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</si>
  <si>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</si>
  <si>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</si>
  <si>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</si>
  <si>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</si>
  <si>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</si>
  <si>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</si>
  <si>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</si>
  <si>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</si>
  <si>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</si>
  <si>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</si>
  <si>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</si>
  <si>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</si>
  <si>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</si>
  <si>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</si>
  <si>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</si>
  <si>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</si>
  <si>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</si>
  <si>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</si>
  <si>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</si>
  <si>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</si>
  <si>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</si>
  <si>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</si>
  <si>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</si>
  <si>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</si>
  <si>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</si>
  <si>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</si>
  <si>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</si>
  <si>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</si>
  <si>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</si>
  <si>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</si>
  <si>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</si>
  <si>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</si>
  <si>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</si>
  <si>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</si>
  <si>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</si>
  <si>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</si>
  <si>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</si>
  <si>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</si>
  <si>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</si>
  <si>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</si>
  <si>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</si>
  <si>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</si>
  <si>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</si>
  <si>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</si>
  <si>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</si>
  <si>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</si>
  <si>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</si>
  <si>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</si>
  <si>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</si>
  <si>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</si>
  <si>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</si>
  <si>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</si>
  <si>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</si>
  <si>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</si>
  <si>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</si>
  <si>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</si>
  <si>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</si>
  <si>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</si>
  <si>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</si>
  <si>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</si>
  <si>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</si>
  <si>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</si>
  <si>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</si>
  <si>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</si>
  <si>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</si>
  <si>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</si>
  <si>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</si>
  <si>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</si>
  <si>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</si>
  <si>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</si>
  <si>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</si>
  <si>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</si>
  <si>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</si>
  <si>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</si>
  <si>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</si>
  <si>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</si>
  <si>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</si>
  <si>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</si>
  <si>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</si>
  <si>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</si>
  <si>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</si>
  <si>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</si>
  <si>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</si>
  <si>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</si>
  <si>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</si>
  <si>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</si>
  <si>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</si>
  <si>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</si>
  <si>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</si>
  <si>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</si>
  <si>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</si>
  <si>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</si>
  <si>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</si>
  <si>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</si>
  <si>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</si>
  <si>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</si>
  <si>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</si>
  <si>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</si>
  <si>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</si>
  <si>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</si>
  <si>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</si>
  <si>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</si>
  <si>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</si>
  <si>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</si>
  <si>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</si>
  <si>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</si>
  <si>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</si>
  <si>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</si>
  <si>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</si>
  <si>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</si>
  <si>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</si>
  <si>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</si>
  <si>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</si>
  <si>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</si>
  <si>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</si>
  <si>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</si>
  <si>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</si>
  <si>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</si>
  <si>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</si>
  <si>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</si>
  <si>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</si>
  <si>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</si>
  <si>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</si>
  <si>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</si>
  <si>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</si>
  <si>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</si>
  <si>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</si>
  <si>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</si>
  <si>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</si>
  <si>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</si>
  <si>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</si>
  <si>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</si>
  <si>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Liberty Township</t>
  </si>
  <si>
    <t>Montgomery County Clerk's Office, Courthouse, Independence, KS</t>
  </si>
  <si>
    <t>Operations</t>
  </si>
  <si>
    <t>Publication</t>
  </si>
  <si>
    <t>Rent</t>
  </si>
  <si>
    <t>Utilities</t>
  </si>
  <si>
    <t>August 11, 2014</t>
  </si>
  <si>
    <t>7:00 PM</t>
  </si>
  <si>
    <t>Richard Felts Residence, 3453 CR 4700, Liberty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</si>
</sst>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Liberty Township</v>
      </c>
      <c r="C1" s="242"/>
      <c r="D1" s="242"/>
      <c r="E1" s="242"/>
      <c r="F1" s="242"/>
      <c r="G1" s="242"/>
      <c r="H1" s="242"/>
      <c r="I1" s="242"/>
      <c r="J1" s="124"/>
      <c r="K1" s="124"/>
      <c r="L1" s="191">
        <f>inputPrYr!D5</f>
        <v>2015</v>
      </c>
    </row>
    <row r="2" spans="2:12" ht="15.75">
      <c r="B2" s="241" t="str">
        <f>inputPrYr!$D$3</f>
        <v>Montgomery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2014</v>
      </c>
      <c r="J6" s="250"/>
      <c r="K6" s="249">
        <f>L1</f>
        <v>2015</v>
      </c>
      <c r="L6" s="250"/>
    </row>
    <row r="7" spans="2:12" ht="15.7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56"/>
      <c r="D18" s="856"/>
      <c r="E18" s="856"/>
      <c r="F18" s="856"/>
      <c r="G18" s="856"/>
      <c r="H18" s="856"/>
      <c r="I18" s="85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2015</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Liberty Township</v>
      </c>
      <c r="C7" s="603"/>
      <c r="D7" s="603"/>
      <c r="E7" s="603"/>
      <c r="F7" s="603"/>
      <c r="G7" s="603"/>
      <c r="H7" s="603"/>
      <c r="I7" s="603"/>
    </row>
    <row r="8" spans="2:9" ht="15.75">
      <c r="B8" s="604" t="str">
        <f>inputPrYr!D3</f>
        <v>Montgomery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2014</v>
      </c>
      <c r="F14" s="603"/>
      <c r="G14" s="607">
        <f>inputPrYr!D5</f>
        <v>2015</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8027486</v>
      </c>
      <c r="F27" s="603"/>
      <c r="G27" s="608">
        <f>summ!G41</f>
        <v>8270882</v>
      </c>
      <c r="H27" s="603"/>
      <c r="I27" s="603"/>
    </row>
    <row r="28" spans="2:9" ht="15.75">
      <c r="B28" s="603" t="s">
        <v>776</v>
      </c>
      <c r="C28" s="603"/>
      <c r="D28" s="603"/>
      <c r="E28" s="613" t="str">
        <f>IF(G27-E27&gt;=0,"No","Yes")</f>
        <v>No</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75">
      <c r="B47" s="620" t="str">
        <f>CONCATENATE("sources in ",E14,".")</f>
        <v>sources in 2014.</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2">
      <selection activeCell="E39" sqref="E39"/>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Liberty Township</v>
      </c>
      <c r="C1" s="124"/>
      <c r="D1" s="124"/>
      <c r="E1" s="191">
        <f>inputPrYr!D5</f>
        <v>2015</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2013</v>
      </c>
      <c r="D5" s="429" t="str">
        <f>CONCATENATE("Estimate for ",$E$1-1,"")</f>
        <v>Estimate for 2014</v>
      </c>
      <c r="E5" s="136" t="str">
        <f>CONCATENATE("Year for ",$E$1,"")</f>
        <v>Year for 2015</v>
      </c>
    </row>
    <row r="6" spans="2:5" ht="15.75">
      <c r="B6" s="137" t="s">
        <v>120</v>
      </c>
      <c r="C6" s="284">
        <v>0</v>
      </c>
      <c r="D6" s="426">
        <f>C51</f>
        <v>1478</v>
      </c>
      <c r="E6" s="263">
        <f>D51</f>
        <v>1528</v>
      </c>
    </row>
    <row r="7" spans="2:5" ht="15.75">
      <c r="B7" s="137" t="s">
        <v>122</v>
      </c>
      <c r="C7" s="426"/>
      <c r="D7" s="426"/>
      <c r="E7" s="287"/>
    </row>
    <row r="8" spans="2:5" ht="15.75">
      <c r="B8" s="137" t="s">
        <v>16</v>
      </c>
      <c r="C8" s="284">
        <v>1704</v>
      </c>
      <c r="D8" s="426">
        <f>IF(inputPrYr!H15&gt;0,inputPrYr!G16,inputPrYr!E16)</f>
        <v>5068</v>
      </c>
      <c r="E8" s="287" t="s">
        <v>292</v>
      </c>
    </row>
    <row r="9" spans="2:5" ht="15.75">
      <c r="B9" s="137" t="s">
        <v>17</v>
      </c>
      <c r="C9" s="284">
        <v>27</v>
      </c>
      <c r="D9" s="284">
        <v>0</v>
      </c>
      <c r="E9" s="258">
        <v>0</v>
      </c>
    </row>
    <row r="10" spans="2:5" ht="15.75">
      <c r="B10" s="137" t="s">
        <v>18</v>
      </c>
      <c r="C10" s="284">
        <v>222</v>
      </c>
      <c r="D10" s="284">
        <v>134</v>
      </c>
      <c r="E10" s="263">
        <f>mvalloc!G11</f>
        <v>430</v>
      </c>
    </row>
    <row r="11" spans="2:5" ht="15.75">
      <c r="B11" s="137" t="s">
        <v>19</v>
      </c>
      <c r="C11" s="284">
        <v>7</v>
      </c>
      <c r="D11" s="284">
        <v>3</v>
      </c>
      <c r="E11" s="263">
        <f>mvalloc!I11</f>
        <v>12</v>
      </c>
    </row>
    <row r="12" spans="2:5" ht="15.75">
      <c r="B12" s="288" t="s">
        <v>70</v>
      </c>
      <c r="C12" s="284">
        <v>2</v>
      </c>
      <c r="D12" s="284">
        <v>5</v>
      </c>
      <c r="E12" s="263">
        <f>mvalloc!J11</f>
        <v>32</v>
      </c>
    </row>
    <row r="13" spans="2:5" ht="15.75">
      <c r="B13" s="288" t="s">
        <v>164</v>
      </c>
      <c r="C13" s="284">
        <v>0</v>
      </c>
      <c r="D13" s="284">
        <v>0</v>
      </c>
      <c r="E13" s="263">
        <f>inputOth!E37</f>
        <v>0</v>
      </c>
    </row>
    <row r="14" spans="2:5" ht="15.75">
      <c r="B14" s="137" t="s">
        <v>20</v>
      </c>
      <c r="C14" s="284">
        <v>0</v>
      </c>
      <c r="D14" s="284">
        <v>0</v>
      </c>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1962</v>
      </c>
      <c r="D26" s="427">
        <f>SUM(D8:D24)</f>
        <v>5210</v>
      </c>
      <c r="E26" s="295">
        <f>SUM(E8:E24)</f>
        <v>474</v>
      </c>
    </row>
    <row r="27" spans="2:5" ht="15.75">
      <c r="B27" s="296" t="s">
        <v>24</v>
      </c>
      <c r="C27" s="427">
        <f>C26+C6</f>
        <v>1962</v>
      </c>
      <c r="D27" s="427">
        <f>D26+D6</f>
        <v>6688</v>
      </c>
      <c r="E27" s="295">
        <f>E26+E6</f>
        <v>2002</v>
      </c>
    </row>
    <row r="28" spans="2:5" ht="15.75">
      <c r="B28" s="137" t="s">
        <v>25</v>
      </c>
      <c r="C28" s="426"/>
      <c r="D28" s="426"/>
      <c r="E28" s="263"/>
    </row>
    <row r="29" spans="2:5" ht="15.75">
      <c r="B29" s="290"/>
      <c r="C29" s="284"/>
      <c r="D29" s="284"/>
      <c r="E29" s="258"/>
    </row>
    <row r="30" spans="2:5" ht="15.75">
      <c r="B30" s="291" t="s">
        <v>103</v>
      </c>
      <c r="C30" s="284"/>
      <c r="D30" s="284"/>
      <c r="E30" s="258"/>
    </row>
    <row r="31" spans="2:5" ht="15.75">
      <c r="B31" s="291" t="s">
        <v>128</v>
      </c>
      <c r="C31" s="284"/>
      <c r="D31" s="284"/>
      <c r="E31" s="258"/>
    </row>
    <row r="32" spans="2:5" ht="15.75">
      <c r="B32" s="291" t="s">
        <v>104</v>
      </c>
      <c r="C32" s="284"/>
      <c r="D32" s="284"/>
      <c r="E32" s="258"/>
    </row>
    <row r="33" spans="2:5" ht="15.75">
      <c r="B33" s="291" t="s">
        <v>36</v>
      </c>
      <c r="C33" s="284"/>
      <c r="D33" s="284"/>
      <c r="E33" s="258"/>
    </row>
    <row r="34" spans="2:5" ht="15.75">
      <c r="B34" s="290" t="s">
        <v>105</v>
      </c>
      <c r="C34" s="284"/>
      <c r="D34" s="284"/>
      <c r="E34" s="258"/>
    </row>
    <row r="35" spans="2:5" ht="15.75">
      <c r="B35" s="290" t="s">
        <v>129</v>
      </c>
      <c r="C35" s="284"/>
      <c r="D35" s="284"/>
      <c r="E35" s="258"/>
    </row>
    <row r="36" spans="2:5" ht="15.75">
      <c r="B36" s="291" t="s">
        <v>131</v>
      </c>
      <c r="C36" s="284">
        <v>250</v>
      </c>
      <c r="D36" s="284"/>
      <c r="E36" s="258"/>
    </row>
    <row r="37" spans="2:5" ht="15.75">
      <c r="B37" s="291" t="s">
        <v>947</v>
      </c>
      <c r="C37" s="284">
        <v>234</v>
      </c>
      <c r="D37" s="284"/>
      <c r="E37" s="258"/>
    </row>
    <row r="38" spans="2:5" ht="15.75">
      <c r="B38" s="290" t="s">
        <v>946</v>
      </c>
      <c r="C38" s="284"/>
      <c r="D38" s="284">
        <v>5160</v>
      </c>
      <c r="E38" s="258">
        <v>6500</v>
      </c>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2016</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2015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2016</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484</v>
      </c>
      <c r="D50" s="432">
        <f>SUM(D29:D48)</f>
        <v>5160</v>
      </c>
      <c r="E50" s="300">
        <f>SUM(E29:E43,E45,E47:E48)</f>
        <v>6500</v>
      </c>
      <c r="G50" s="540">
        <f>D51</f>
        <v>1528</v>
      </c>
      <c r="H50" s="541" t="str">
        <f>CONCATENATE("",E1-1," Ending Cash Balance (est.)")</f>
        <v>2014 Ending Cash Balance (est.)</v>
      </c>
      <c r="I50" s="542"/>
      <c r="J50" s="539"/>
    </row>
    <row r="51" spans="2:10" ht="15.75">
      <c r="B51" s="137" t="s">
        <v>121</v>
      </c>
      <c r="C51" s="433">
        <f>C27-C50</f>
        <v>1478</v>
      </c>
      <c r="D51" s="433">
        <f>SUM(D27-D50)</f>
        <v>1528</v>
      </c>
      <c r="E51" s="287" t="s">
        <v>292</v>
      </c>
      <c r="G51" s="540">
        <f>E26</f>
        <v>474</v>
      </c>
      <c r="H51" s="543" t="str">
        <f>CONCATENATE("",E1," Non-AV Receipts (est.)")</f>
        <v>2015 Non-AV Receipts (est.)</v>
      </c>
      <c r="I51" s="542"/>
      <c r="J51" s="539"/>
    </row>
    <row r="52" spans="2:11" ht="15.75">
      <c r="B52" s="175" t="str">
        <f>CONCATENATE("",E1-2,"/",E1-1," Budget Authority Amount:")</f>
        <v>2013/2014 Budget Authority Amount:</v>
      </c>
      <c r="C52" s="521">
        <f>inputOth!B48</f>
        <v>3184</v>
      </c>
      <c r="D52" s="140">
        <f>inputPrYr!D16</f>
        <v>5160</v>
      </c>
      <c r="E52" s="287" t="s">
        <v>292</v>
      </c>
      <c r="F52" s="301"/>
      <c r="G52" s="544">
        <f>IF(D56&gt;0,E55,E57)</f>
        <v>4498</v>
      </c>
      <c r="H52" s="543" t="str">
        <f>CONCATENATE("",E1," Ad Valorem Tax (est.)")</f>
        <v>2015 Ad Valorem Tax (est.)</v>
      </c>
      <c r="I52" s="542"/>
      <c r="J52" s="539"/>
      <c r="K52" s="759" t="str">
        <f>IF(G52=E57,"","Note: Does not include Delinquent Taxes")</f>
        <v>Note: Does not include Delinquent Taxes</v>
      </c>
    </row>
    <row r="53" spans="2:10" ht="15.75">
      <c r="B53" s="175"/>
      <c r="C53" s="876" t="s">
        <v>712</v>
      </c>
      <c r="D53" s="877"/>
      <c r="E53" s="258"/>
      <c r="F53" s="301">
        <f>IF(E50/0.95-E50&lt;E53,"Exceeds 5%","")</f>
      </c>
      <c r="G53" s="540">
        <f>SUM(G50:G52)</f>
        <v>6500</v>
      </c>
      <c r="H53" s="543" t="str">
        <f>CONCATENATE("Total ",E1," Resources Available")</f>
        <v>Total 2015 Resources Available</v>
      </c>
      <c r="I53" s="542"/>
      <c r="J53" s="539"/>
    </row>
    <row r="54" spans="2:10" ht="15.75">
      <c r="B54" s="436" t="str">
        <f>CONCATENATE(C71,"     ",D71)</f>
        <v>     </v>
      </c>
      <c r="C54" s="878" t="s">
        <v>713</v>
      </c>
      <c r="D54" s="879"/>
      <c r="E54" s="263">
        <f>E50+E53</f>
        <v>6500</v>
      </c>
      <c r="G54" s="545"/>
      <c r="H54" s="543"/>
      <c r="I54" s="543"/>
      <c r="J54" s="539"/>
    </row>
    <row r="55" spans="2:10" ht="15.75">
      <c r="B55" s="436" t="str">
        <f>CONCATENATE(C72,"     ",D72)</f>
        <v>     </v>
      </c>
      <c r="C55" s="382"/>
      <c r="D55" s="192" t="s">
        <v>28</v>
      </c>
      <c r="E55" s="299">
        <f>IF(E54-E27&gt;0,E54-E27,0)</f>
        <v>4498</v>
      </c>
      <c r="G55" s="544">
        <f>ROUND(C50*0.05+C50,0)</f>
        <v>508</v>
      </c>
      <c r="H55" s="543" t="str">
        <f>CONCATENATE("Less ",E1-2," Expenditures + 5%")</f>
        <v>Less 2013 Expenditures + 5%</v>
      </c>
      <c r="I55" s="542"/>
      <c r="J55" s="539"/>
    </row>
    <row r="56" spans="2:10" ht="15.75">
      <c r="B56" s="192"/>
      <c r="C56" s="525" t="s">
        <v>714</v>
      </c>
      <c r="D56" s="749">
        <f>inputOth!$E$42</f>
        <v>0.02</v>
      </c>
      <c r="E56" s="263">
        <f>ROUND(IF(D56&gt;0,(E55*D56),0),0)</f>
        <v>90</v>
      </c>
      <c r="G56" s="546">
        <f>G53-G55</f>
        <v>5992</v>
      </c>
      <c r="H56" s="547" t="str">
        <f>CONCATENATE("Projected ",E1+1," Carryover (est.)")</f>
        <v>Projected 2016 Carryover (est.)</v>
      </c>
      <c r="I56" s="548"/>
      <c r="J56" s="549"/>
    </row>
    <row r="57" spans="2:5" ht="15.75">
      <c r="B57" s="124"/>
      <c r="C57" s="874" t="str">
        <f>CONCATENATE("Amount of  ",$E$1-1," Ad Valorem Tax")</f>
        <v>Amount of  2014 Ad Valorem Tax</v>
      </c>
      <c r="D57" s="875"/>
      <c r="E57" s="299">
        <f>E55+E56</f>
        <v>4588</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0.555</v>
      </c>
      <c r="H60" s="541" t="str">
        <f>CONCATENATE("",E1," Fund Mill Rate")</f>
        <v>2015 Fund Mill Rate</v>
      </c>
      <c r="I60" s="752"/>
      <c r="J60" s="761"/>
      <c r="K60" s="220"/>
    </row>
    <row r="61" spans="2:10" ht="15.75">
      <c r="B61" s="192" t="s">
        <v>9</v>
      </c>
      <c r="C61" s="555">
        <v>6</v>
      </c>
      <c r="D61" s="124"/>
      <c r="E61" s="179"/>
      <c r="G61" s="763">
        <f>summ!F18</f>
        <v>0.631</v>
      </c>
      <c r="H61" s="541" t="str">
        <f>CONCATENATE("",E1-1," Fund Mill Rate")</f>
        <v>2014 Fund Mill Rate</v>
      </c>
      <c r="I61" s="752"/>
      <c r="J61" s="761"/>
    </row>
    <row r="62" spans="7:10" ht="15.75">
      <c r="G62" s="764">
        <f>summ!I36</f>
        <v>0.899</v>
      </c>
      <c r="H62" s="541" t="str">
        <f>CONCATENATE("Total ",E1," Mill Rate")</f>
        <v>Total 2015 Mill Rate</v>
      </c>
      <c r="I62" s="752"/>
      <c r="J62" s="761"/>
    </row>
    <row r="63" spans="2:10" ht="15.75">
      <c r="B63" s="166"/>
      <c r="G63" s="763">
        <f>summ!F36</f>
        <v>1.525</v>
      </c>
      <c r="H63" s="765" t="str">
        <f>CONCATENATE("Total ",E1-1," Mill Rate")</f>
        <v>Total 2014 Mill Rate</v>
      </c>
      <c r="I63" s="766"/>
      <c r="J63" s="767"/>
    </row>
    <row r="65" spans="7:9" ht="15.75">
      <c r="G65" s="783" t="s">
        <v>928</v>
      </c>
      <c r="H65" s="782"/>
      <c r="I65" s="781" t="str">
        <f>cert!E41</f>
        <v>No</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Liberty Township</v>
      </c>
      <c r="C1" s="625"/>
      <c r="D1" s="626"/>
      <c r="E1" s="627">
        <f>inputPrYr!D5</f>
        <v>2015</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2013</v>
      </c>
      <c r="D5" s="639" t="str">
        <f>CONCATENATE("Estimate for ",$E$1-1,"")</f>
        <v>Estimate for 2014</v>
      </c>
      <c r="E5" s="640" t="str">
        <f>CONCATENATE("Year for ",$E$1,"")</f>
        <v>Year for 2015</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2016</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2015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2016</v>
      </c>
      <c r="H31" s="893"/>
      <c r="I31" s="893"/>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2014 Ending Cash Balance (est.)</v>
      </c>
      <c r="I33" s="680"/>
      <c r="J33" s="675"/>
    </row>
    <row r="34" spans="2:10" ht="15.75">
      <c r="B34" s="641" t="s">
        <v>121</v>
      </c>
      <c r="C34" s="681">
        <f>C21-C33</f>
        <v>0</v>
      </c>
      <c r="D34" s="681">
        <f>D21-D33</f>
        <v>0</v>
      </c>
      <c r="E34" s="647" t="s">
        <v>292</v>
      </c>
      <c r="F34" s="682"/>
      <c r="G34" s="678">
        <f>E20</f>
        <v>0</v>
      </c>
      <c r="H34" s="662" t="str">
        <f>CONCATENATE("",E1," Non-AV Receipts (est.)")</f>
        <v>2015 Non-AV Receipts (est.)</v>
      </c>
      <c r="I34" s="680"/>
      <c r="J34" s="675"/>
    </row>
    <row r="35" spans="2:11" ht="15.7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2015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75">
      <c r="B39" s="629"/>
      <c r="C39" s="525" t="s">
        <v>714</v>
      </c>
      <c r="D39" s="693">
        <f>inputOth!E42</f>
        <v>0.02</v>
      </c>
      <c r="E39" s="644">
        <f>ROUND(IF(D39&gt;0,(E38*D39),0),0)</f>
        <v>0</v>
      </c>
      <c r="F39" s="682"/>
      <c r="G39" s="694">
        <f>G36-G38</f>
        <v>0</v>
      </c>
      <c r="H39" s="695" t="str">
        <f>CONCATENATE("Projected ",E1+1," carryover (est.)")</f>
        <v>Projected 2016 carryover (est.)</v>
      </c>
      <c r="I39" s="696"/>
      <c r="J39" s="697"/>
    </row>
    <row r="40" spans="2:6" ht="16.5" thickBot="1">
      <c r="B40" s="626"/>
      <c r="C40" s="888" t="str">
        <f>CONCATENATE("Amount of  ",E1-1," Ad Valorem Tax")</f>
        <v>Amount of  2014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2015 Fund Mill Rate</v>
      </c>
      <c r="I43" s="702"/>
      <c r="J43" s="703"/>
    </row>
    <row r="44" spans="2:10" ht="15.75">
      <c r="B44" s="633" t="s">
        <v>10</v>
      </c>
      <c r="C44" s="634" t="s">
        <v>818</v>
      </c>
      <c r="D44" s="635" t="s">
        <v>819</v>
      </c>
      <c r="E44" s="636" t="s">
        <v>820</v>
      </c>
      <c r="F44" s="682"/>
      <c r="G44" s="705" t="str">
        <f>summ!F19</f>
        <v>  </v>
      </c>
      <c r="H44" s="679" t="str">
        <f>CONCATENATE("",E1-1," Fund Mill Rate")</f>
        <v>2014 Fund Mill Rate</v>
      </c>
      <c r="I44" s="702"/>
      <c r="J44" s="703"/>
    </row>
    <row r="45" spans="2:10" ht="15.75">
      <c r="B45" s="706" t="str">
        <f>inputPrYr!B18</f>
        <v>Library</v>
      </c>
      <c r="C45" s="638" t="str">
        <f>CONCATENATE("Actual for ",$E$1-2,"")</f>
        <v>Actual for 2013</v>
      </c>
      <c r="D45" s="639" t="str">
        <f>CONCATENATE("Estimate for ",$E$1-1,"")</f>
        <v>Estimate for 2014</v>
      </c>
      <c r="E45" s="640" t="str">
        <f>CONCATENATE("Year for ",$E$1,"")</f>
        <v>Year for 2015</v>
      </c>
      <c r="F45" s="682"/>
      <c r="G45" s="707">
        <f>summ!I36</f>
        <v>0.899</v>
      </c>
      <c r="H45" s="679" t="str">
        <f>CONCATENATE("Total ",E1," Mill Rate")</f>
        <v>Total 2015 Mill Rate</v>
      </c>
      <c r="I45" s="702"/>
      <c r="J45" s="703"/>
    </row>
    <row r="46" spans="2:10" ht="15.75">
      <c r="B46" s="641" t="s">
        <v>147</v>
      </c>
      <c r="C46" s="646">
        <v>0</v>
      </c>
      <c r="D46" s="643">
        <f>C74</f>
        <v>0</v>
      </c>
      <c r="E46" s="644">
        <f>D74</f>
        <v>0</v>
      </c>
      <c r="F46" s="682"/>
      <c r="G46" s="705">
        <f>summ!F36</f>
        <v>1.525</v>
      </c>
      <c r="H46" s="708" t="str">
        <f>CONCATENATE("Total ",E1-1," Mill Rate")</f>
        <v>Total 2014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No</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2016</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2015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2016</v>
      </c>
      <c r="H71" s="886"/>
      <c r="I71" s="886"/>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75">
      <c r="B74" s="641" t="s">
        <v>121</v>
      </c>
      <c r="C74" s="681">
        <f>C61-C73</f>
        <v>0</v>
      </c>
      <c r="D74" s="681">
        <f>D61-D73</f>
        <v>0</v>
      </c>
      <c r="E74" s="647" t="s">
        <v>292</v>
      </c>
      <c r="F74" s="682"/>
      <c r="G74" s="678">
        <f>E60</f>
        <v>0</v>
      </c>
      <c r="H74" s="662" t="str">
        <f>CONCATENATE("",E1," Non-AV Receipts (est.)")</f>
        <v>2015 Non-AV Receipts (est.)</v>
      </c>
      <c r="I74" s="680"/>
      <c r="J74" s="714"/>
    </row>
    <row r="75" spans="2:11" ht="15.7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2015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75">
      <c r="B79" s="629"/>
      <c r="C79" s="525" t="s">
        <v>714</v>
      </c>
      <c r="D79" s="693">
        <f>inputOth!E42</f>
        <v>0.02</v>
      </c>
      <c r="E79" s="644">
        <f>ROUND(IF(E78&gt;0,(E78*D79),0),0)</f>
        <v>0</v>
      </c>
      <c r="F79" s="682"/>
      <c r="G79" s="694">
        <f>G76-G78</f>
        <v>0</v>
      </c>
      <c r="H79" s="695" t="str">
        <f>CONCATENATE("Projected ",E1+1," carryover (est.)")</f>
        <v>Projected 2016 carryover (est.)</v>
      </c>
      <c r="I79" s="720"/>
      <c r="J79" s="721"/>
    </row>
    <row r="80" spans="2:6" ht="16.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2015 Fund Mill Rate</v>
      </c>
      <c r="I83" s="702"/>
      <c r="J83" s="703"/>
    </row>
    <row r="84" spans="7:10" ht="15.75">
      <c r="G84" s="705" t="str">
        <f>summ!F20</f>
        <v>  </v>
      </c>
      <c r="H84" s="679" t="str">
        <f>CONCATENATE("",E1-1," Fund Mill Rate")</f>
        <v>2014 Fund Mill Rate</v>
      </c>
      <c r="I84" s="702"/>
      <c r="J84" s="703"/>
    </row>
    <row r="85" spans="7:10" ht="15.75">
      <c r="G85" s="707">
        <f>summ!I36</f>
        <v>0.899</v>
      </c>
      <c r="H85" s="679" t="str">
        <f>CONCATENATE("Total ",E1," Mill Rate")</f>
        <v>Total 2015 Mill Rate</v>
      </c>
      <c r="I85" s="702"/>
      <c r="J85" s="703"/>
    </row>
    <row r="86" spans="7:10" ht="15.75">
      <c r="G86" s="705">
        <f>summ!F36</f>
        <v>1.525</v>
      </c>
      <c r="H86" s="708" t="str">
        <f>CONCATENATE("Total ",E1-1," Mill Rate")</f>
        <v>Total 2014 Mill Rate</v>
      </c>
      <c r="I86" s="709"/>
      <c r="J86" s="710"/>
    </row>
    <row r="87" spans="7:10" ht="15.75">
      <c r="G87" s="724"/>
      <c r="H87" s="724"/>
      <c r="I87" s="724"/>
      <c r="J87" s="724"/>
    </row>
    <row r="88" spans="3:9" ht="15.75">
      <c r="C88" s="725" t="s">
        <v>824</v>
      </c>
      <c r="D88" s="725" t="s">
        <v>824</v>
      </c>
      <c r="G88" s="789" t="s">
        <v>928</v>
      </c>
      <c r="H88" s="788"/>
      <c r="I88" s="787" t="str">
        <f>cert!E41</f>
        <v>No</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Liberty Township</v>
      </c>
      <c r="C1" s="124"/>
      <c r="D1" s="124"/>
      <c r="E1" s="191">
        <f>inputPrYr!D5</f>
        <v>2015</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2013</v>
      </c>
      <c r="D5" s="429" t="str">
        <f>gen!D5</f>
        <v>Estimate for 2014</v>
      </c>
      <c r="E5" s="136" t="str">
        <f>gen!E5</f>
        <v>Year for 2015</v>
      </c>
    </row>
    <row r="6" spans="2:5" ht="15.75">
      <c r="B6" s="137" t="s">
        <v>120</v>
      </c>
      <c r="C6" s="284"/>
      <c r="D6" s="426">
        <f>C44</f>
        <v>0</v>
      </c>
      <c r="E6" s="263">
        <f>D44</f>
        <v>0</v>
      </c>
    </row>
    <row r="7" spans="2:5" ht="15.75">
      <c r="B7" s="137" t="s">
        <v>122</v>
      </c>
      <c r="C7" s="426"/>
      <c r="D7" s="426"/>
      <c r="E7" s="287"/>
    </row>
    <row r="8" spans="2:5" ht="15.75">
      <c r="B8" s="137" t="s">
        <v>16</v>
      </c>
      <c r="C8" s="284"/>
      <c r="D8" s="426">
        <f>IF(inputPrYr!H15&gt;0,inputPrYr!G19,inputPrYr!E19)</f>
        <v>0</v>
      </c>
      <c r="E8" s="287" t="s">
        <v>292</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0</v>
      </c>
      <c r="D23" s="427">
        <f>SUM(D8:D21)</f>
        <v>0</v>
      </c>
      <c r="E23" s="295">
        <f>SUM(E8:E21)</f>
        <v>0</v>
      </c>
    </row>
    <row r="24" spans="2:5" ht="15.75">
      <c r="B24" s="296" t="s">
        <v>24</v>
      </c>
      <c r="C24" s="427">
        <f>C23+C6</f>
        <v>0</v>
      </c>
      <c r="D24" s="427">
        <f>D23+D6</f>
        <v>0</v>
      </c>
      <c r="E24" s="295">
        <f>E23+E6</f>
        <v>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c r="D31" s="284"/>
      <c r="E31" s="258"/>
    </row>
    <row r="32" spans="2:5" ht="15.75">
      <c r="B32" s="291" t="s">
        <v>105</v>
      </c>
      <c r="C32" s="284"/>
      <c r="D32" s="284"/>
      <c r="E32" s="258"/>
    </row>
    <row r="33" spans="2:5" ht="15.75">
      <c r="B33" s="291"/>
      <c r="C33" s="284"/>
      <c r="D33" s="284"/>
      <c r="E33" s="258"/>
    </row>
    <row r="34" spans="2:10" ht="15.75">
      <c r="B34" s="290"/>
      <c r="C34" s="284"/>
      <c r="D34" s="284"/>
      <c r="E34" s="258"/>
      <c r="G34" s="880" t="str">
        <f>CONCATENATE("Desired Carryover Into ",E1+1,"")</f>
        <v>Desired Carryover Into 2016</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2015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2016</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75">
      <c r="B44" s="137" t="s">
        <v>121</v>
      </c>
      <c r="C44" s="433">
        <f>C24-C43</f>
        <v>0</v>
      </c>
      <c r="D44" s="433">
        <f>D24-D43</f>
        <v>0</v>
      </c>
      <c r="E44" s="287" t="s">
        <v>292</v>
      </c>
      <c r="G44" s="540">
        <f>E23</f>
        <v>0</v>
      </c>
      <c r="H44" s="543" t="str">
        <f>CONCATENATE("",E1," Non-AV Receipts (est.)")</f>
        <v>2015 Non-AV Receipts (est.)</v>
      </c>
      <c r="I44" s="542"/>
      <c r="J44" s="539"/>
    </row>
    <row r="45" spans="2:11" ht="15.7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75">
      <c r="B46" s="175"/>
      <c r="C46" s="876" t="s">
        <v>712</v>
      </c>
      <c r="D46" s="877"/>
      <c r="E46" s="258"/>
      <c r="F46" s="301">
        <f>IF(E43/0.95-E43&lt;E46,"Exceeds 5%","")</f>
      </c>
      <c r="G46" s="540">
        <f>SUM(G43:G45)</f>
        <v>0</v>
      </c>
      <c r="H46" s="543" t="str">
        <f>CONCATENATE("Total ",E1," Resources Available")</f>
        <v>Total 2015 Resources Available</v>
      </c>
      <c r="I46" s="542"/>
      <c r="J46" s="539"/>
    </row>
    <row r="47" spans="2:10" ht="15.75">
      <c r="B47" s="436" t="str">
        <f>CONCATENATE(C74,"     ",D74)</f>
        <v>     </v>
      </c>
      <c r="C47" s="878" t="s">
        <v>713</v>
      </c>
      <c r="D47" s="879"/>
      <c r="E47" s="263">
        <f>E43+E46</f>
        <v>0</v>
      </c>
      <c r="G47" s="545"/>
      <c r="H47" s="543"/>
      <c r="I47" s="543"/>
      <c r="J47" s="539"/>
    </row>
    <row r="48" spans="2:10" ht="15.7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75">
      <c r="B49" s="192"/>
      <c r="C49" s="525" t="s">
        <v>714</v>
      </c>
      <c r="D49" s="749">
        <f>inputOth!$E$42</f>
        <v>0.02</v>
      </c>
      <c r="E49" s="263">
        <f>ROUND(IF(D49&gt;0,(E48*D49),0),0)</f>
        <v>0</v>
      </c>
      <c r="G49" s="546">
        <f>G46-G48</f>
        <v>0</v>
      </c>
      <c r="H49" s="547" t="str">
        <f>CONCATENATE("Projected ",E1+1," Carryover (est.)")</f>
        <v>Projected 2016 Carryover (est.)</v>
      </c>
      <c r="I49" s="548"/>
      <c r="J49" s="549"/>
    </row>
    <row r="50" spans="2:5" ht="15.75">
      <c r="B50" s="124"/>
      <c r="C50" s="874" t="str">
        <f>CONCATENATE("Amount of  ",$E$1-1," Ad Valorem Tax")</f>
        <v>Amount of  2014 Ad Valorem Tax</v>
      </c>
      <c r="D50" s="875"/>
      <c r="E50" s="299">
        <f>E48+E49</f>
        <v>0</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2013</v>
      </c>
      <c r="D53" s="124"/>
      <c r="E53" s="124"/>
      <c r="G53" s="762" t="str">
        <f>summ!I21</f>
        <v> </v>
      </c>
      <c r="H53" s="541" t="str">
        <f>CONCATENATE("",E1," Fund Mill Rate")</f>
        <v>2015 Fund Mill Rate</v>
      </c>
      <c r="I53" s="752"/>
      <c r="J53" s="761"/>
    </row>
    <row r="54" spans="2:10" ht="15.75">
      <c r="B54" s="134" t="s">
        <v>31</v>
      </c>
      <c r="C54" s="136" t="s">
        <v>32</v>
      </c>
      <c r="D54" s="124"/>
      <c r="E54" s="124"/>
      <c r="G54" s="763" t="str">
        <f>summ!F21</f>
        <v>  </v>
      </c>
      <c r="H54" s="541" t="str">
        <f>CONCATENATE("",E1-1," Fund Mill Rate")</f>
        <v>2014 Fund Mill Rate</v>
      </c>
      <c r="I54" s="752"/>
      <c r="J54" s="761"/>
    </row>
    <row r="55" spans="2:10" ht="15.75">
      <c r="B55" s="163" t="s">
        <v>14</v>
      </c>
      <c r="C55" s="258"/>
      <c r="D55" s="124"/>
      <c r="E55" s="124"/>
      <c r="G55" s="764">
        <f>summ!I36</f>
        <v>0.899</v>
      </c>
      <c r="H55" s="541" t="str">
        <f>CONCATENATE("Total ",E1," Mill Rate")</f>
        <v>Total 2015 Mill Rate</v>
      </c>
      <c r="I55" s="752"/>
      <c r="J55" s="761"/>
    </row>
    <row r="56" spans="2:10" ht="15.75">
      <c r="B56" s="163" t="s">
        <v>33</v>
      </c>
      <c r="C56" s="232"/>
      <c r="D56" s="124"/>
      <c r="E56" s="124"/>
      <c r="G56" s="763">
        <f>summ!F36</f>
        <v>1.525</v>
      </c>
      <c r="H56" s="765" t="str">
        <f>CONCATENATE("Total ",E1-1," Mill Rate")</f>
        <v>Total 2014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4">
        <f>IF(AND(C58&gt;0,C59&gt;0),"Not Authtorize Two Transfers - Only One","")</f>
      </c>
      <c r="E58" s="124"/>
      <c r="G58" s="792" t="s">
        <v>928</v>
      </c>
      <c r="H58" s="791"/>
      <c r="I58" s="790" t="str">
        <f>cert!E41</f>
        <v>No</v>
      </c>
    </row>
    <row r="59" spans="2:5" ht="15.75">
      <c r="B59" s="312" t="s">
        <v>250</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2">
      <selection activeCell="C82" sqref="C82"/>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Liberty Township</v>
      </c>
      <c r="C1" s="130" t="s">
        <v>35</v>
      </c>
      <c r="D1" s="124"/>
      <c r="E1" s="191">
        <f>inputPrYr!D5</f>
        <v>2015</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t="str">
        <f>inputPrYr!B20</f>
        <v>Hall</v>
      </c>
      <c r="C5" s="136" t="str">
        <f>gen!C5</f>
        <v>Actual for 2013</v>
      </c>
      <c r="D5" s="429" t="str">
        <f>gen!D5</f>
        <v>Estimate for 2014</v>
      </c>
      <c r="E5" s="136" t="str">
        <f>gen!E5</f>
        <v>Year for 2015</v>
      </c>
    </row>
    <row r="6" spans="2:5" ht="15.75">
      <c r="B6" s="163" t="s">
        <v>120</v>
      </c>
      <c r="C6" s="284">
        <v>119.99</v>
      </c>
      <c r="D6" s="426">
        <f>C34</f>
        <v>6111.630000000001</v>
      </c>
      <c r="E6" s="263">
        <f>D34</f>
        <v>5415.630000000001</v>
      </c>
    </row>
    <row r="7" spans="2:5" ht="15.75">
      <c r="B7" s="137" t="s">
        <v>122</v>
      </c>
      <c r="C7" s="426"/>
      <c r="D7" s="426"/>
      <c r="E7" s="287"/>
    </row>
    <row r="8" spans="2:5" ht="15.75">
      <c r="B8" s="137" t="s">
        <v>16</v>
      </c>
      <c r="C8" s="284">
        <v>7300</v>
      </c>
      <c r="D8" s="426">
        <f>IF(inputPrYr!H15&gt;0,inputPrYr!G20,inputPrYr!E20)</f>
        <v>7178</v>
      </c>
      <c r="E8" s="287" t="s">
        <v>292</v>
      </c>
    </row>
    <row r="9" spans="2:5" ht="15.75">
      <c r="B9" s="137" t="s">
        <v>17</v>
      </c>
      <c r="C9" s="284">
        <v>36</v>
      </c>
      <c r="D9" s="284">
        <v>25</v>
      </c>
      <c r="E9" s="258">
        <v>25</v>
      </c>
    </row>
    <row r="10" spans="2:5" ht="15.75">
      <c r="B10" s="137" t="s">
        <v>18</v>
      </c>
      <c r="C10" s="284">
        <v>1</v>
      </c>
      <c r="D10" s="284">
        <v>570</v>
      </c>
      <c r="E10" s="263">
        <f>mvalloc!G15</f>
        <v>609</v>
      </c>
    </row>
    <row r="11" spans="2:5" ht="15.75">
      <c r="B11" s="137" t="s">
        <v>19</v>
      </c>
      <c r="C11" s="284">
        <v>0</v>
      </c>
      <c r="D11" s="284">
        <v>11</v>
      </c>
      <c r="E11" s="263">
        <f>mvalloc!I15</f>
        <v>17</v>
      </c>
    </row>
    <row r="12" spans="2:5" ht="15.75">
      <c r="B12" s="288" t="s">
        <v>70</v>
      </c>
      <c r="C12" s="284">
        <v>13</v>
      </c>
      <c r="D12" s="284">
        <v>20</v>
      </c>
      <c r="E12" s="263">
        <f>mvalloc!J15</f>
        <v>45</v>
      </c>
    </row>
    <row r="13" spans="2:5" ht="15.75">
      <c r="B13" s="291" t="s">
        <v>948</v>
      </c>
      <c r="C13" s="284">
        <v>763.36</v>
      </c>
      <c r="D13" s="284">
        <v>1000</v>
      </c>
      <c r="E13" s="258">
        <v>600</v>
      </c>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8113.36</v>
      </c>
      <c r="D20" s="427">
        <f>SUM(D8:D18)</f>
        <v>8804</v>
      </c>
      <c r="E20" s="295">
        <f>SUM(E8:E18)</f>
        <v>1296</v>
      </c>
    </row>
    <row r="21" spans="2:5" ht="15.75">
      <c r="B21" s="296" t="s">
        <v>24</v>
      </c>
      <c r="C21" s="427">
        <f>C20+C6</f>
        <v>8233.35</v>
      </c>
      <c r="D21" s="427">
        <f>D20+D6</f>
        <v>14915.630000000001</v>
      </c>
      <c r="E21" s="295">
        <f>E20+E6</f>
        <v>6711.630000000001</v>
      </c>
    </row>
    <row r="22" spans="2:5" ht="15.75">
      <c r="B22" s="137" t="s">
        <v>25</v>
      </c>
      <c r="C22" s="426"/>
      <c r="D22" s="426"/>
      <c r="E22" s="263"/>
    </row>
    <row r="23" spans="2:5" ht="15.75">
      <c r="B23" s="291" t="s">
        <v>946</v>
      </c>
      <c r="C23" s="284">
        <v>2121.72</v>
      </c>
      <c r="D23" s="284">
        <v>6000</v>
      </c>
      <c r="E23" s="258">
        <v>7500</v>
      </c>
    </row>
    <row r="24" spans="2:11" ht="15.75">
      <c r="B24" s="291" t="s">
        <v>949</v>
      </c>
      <c r="C24" s="284"/>
      <c r="D24" s="284">
        <v>3500</v>
      </c>
      <c r="E24" s="258">
        <v>2000</v>
      </c>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2016</v>
      </c>
      <c r="H31" s="893"/>
      <c r="I31" s="893"/>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2121.72</v>
      </c>
      <c r="D33" s="427">
        <f>SUM(D23:D31)</f>
        <v>9500</v>
      </c>
      <c r="E33" s="295">
        <f>SUM(E23:E31)</f>
        <v>9500</v>
      </c>
      <c r="G33" s="678">
        <f>D34</f>
        <v>5415.630000000001</v>
      </c>
      <c r="H33" s="679" t="str">
        <f>CONCATENATE("",E1-1," Ending Cash Balance (est.)")</f>
        <v>2014 Ending Cash Balance (est.)</v>
      </c>
      <c r="I33" s="680"/>
      <c r="J33" s="675"/>
      <c r="K33" s="628"/>
    </row>
    <row r="34" spans="2:11" ht="15.75">
      <c r="B34" s="137" t="s">
        <v>121</v>
      </c>
      <c r="C34" s="433">
        <f>C21-C33</f>
        <v>6111.630000000001</v>
      </c>
      <c r="D34" s="433">
        <f>D21-D33</f>
        <v>5415.630000000001</v>
      </c>
      <c r="E34" s="287" t="s">
        <v>292</v>
      </c>
      <c r="G34" s="678">
        <f>E20</f>
        <v>1296</v>
      </c>
      <c r="H34" s="662" t="str">
        <f>CONCATENATE("",E1," Non-AV Receipts (est.)")</f>
        <v>2015 Non-AV Receipts (est.)</v>
      </c>
      <c r="I34" s="680"/>
      <c r="J34" s="675"/>
      <c r="K34" s="628"/>
    </row>
    <row r="35" spans="2:11" ht="15.75">
      <c r="B35" s="175" t="str">
        <f>CONCATENATE("",E1-2,"/",E1-1," Budget Authority Amount:")</f>
        <v>2013/2014 Budget Authority Amount:</v>
      </c>
      <c r="C35" s="521">
        <f>inputOth!B52</f>
        <v>8000</v>
      </c>
      <c r="D35" s="127">
        <f>inputPrYr!D20</f>
        <v>9500</v>
      </c>
      <c r="E35" s="287" t="s">
        <v>292</v>
      </c>
      <c r="F35" s="301"/>
      <c r="G35" s="687">
        <f>IF(E39&gt;0,E38,E40)</f>
        <v>2788.369999999999</v>
      </c>
      <c r="H35" s="662" t="str">
        <f>CONCATENATE("",E1," Ad Valorem Tax (est.)")</f>
        <v>2015 Ad Valorem Tax (est.)</v>
      </c>
      <c r="I35" s="680"/>
      <c r="J35" s="675"/>
      <c r="K35" s="688" t="str">
        <f>IF(G35=E40,"","Note: Does not include Delinquent Taxes")</f>
        <v>Note: Does not include Delinquent Taxes</v>
      </c>
    </row>
    <row r="36" spans="2:11" ht="15.75">
      <c r="B36" s="175"/>
      <c r="C36" s="876" t="s">
        <v>712</v>
      </c>
      <c r="D36" s="877"/>
      <c r="E36" s="258"/>
      <c r="F36" s="301">
        <f>IF(E33/0.95-E33&lt;E36,"Exceeds 5%","")</f>
      </c>
      <c r="G36" s="678">
        <f>SUM(G33:G35)</f>
        <v>9500</v>
      </c>
      <c r="H36" s="662" t="str">
        <f>CONCATENATE("Total ",E1," Resources Available")</f>
        <v>Total 2015 Resources Available</v>
      </c>
      <c r="I36" s="680"/>
      <c r="J36" s="675"/>
      <c r="K36" s="628"/>
    </row>
    <row r="37" spans="2:11" ht="15.75">
      <c r="B37" s="436" t="str">
        <f>CONCATENATE(C94,"     ",D94)</f>
        <v>     </v>
      </c>
      <c r="C37" s="878" t="s">
        <v>713</v>
      </c>
      <c r="D37" s="879"/>
      <c r="E37" s="263">
        <f>E33+E36</f>
        <v>9500</v>
      </c>
      <c r="G37" s="690"/>
      <c r="H37" s="662"/>
      <c r="I37" s="662"/>
      <c r="J37" s="675"/>
      <c r="K37" s="628"/>
    </row>
    <row r="38" spans="2:11" ht="15.75">
      <c r="B38" s="436" t="str">
        <f>CONCATENATE(C95,"     ",D95)</f>
        <v>     </v>
      </c>
      <c r="C38" s="382"/>
      <c r="D38" s="192" t="s">
        <v>28</v>
      </c>
      <c r="E38" s="299">
        <f>IF(E37-E21&gt;0,E37-E21,0)</f>
        <v>2788.369999999999</v>
      </c>
      <c r="G38" s="687">
        <f>C33*0.05+C33</f>
        <v>2227.8059999999996</v>
      </c>
      <c r="H38" s="662" t="str">
        <f>CONCATENATE("Less ",E1-2," Expenditures + 5%")</f>
        <v>Less 2013 Expenditures + 5%</v>
      </c>
      <c r="I38" s="662"/>
      <c r="J38" s="675"/>
      <c r="K38" s="628"/>
    </row>
    <row r="39" spans="2:11" ht="15.75">
      <c r="B39" s="192"/>
      <c r="C39" s="525" t="s">
        <v>714</v>
      </c>
      <c r="D39" s="749">
        <f>inputOth!$E$42</f>
        <v>0.02</v>
      </c>
      <c r="E39" s="263">
        <f>ROUND(IF(D39&gt;0,(E38*D39),0),0)</f>
        <v>56</v>
      </c>
      <c r="G39" s="694">
        <f>G36-G38</f>
        <v>7272.194</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2844.369999999999</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f>summ!I22</f>
        <v>0.344</v>
      </c>
      <c r="H43" s="679" t="str">
        <f>CONCATENATE("",E1," Fund Mill Rate")</f>
        <v>2015 Fund Mill Rate</v>
      </c>
      <c r="I43" s="702"/>
      <c r="J43" s="703"/>
      <c r="K43" s="628"/>
    </row>
    <row r="44" spans="2:11" ht="15.75">
      <c r="B44" s="124"/>
      <c r="C44" s="428" t="s">
        <v>11</v>
      </c>
      <c r="D44" s="430" t="s">
        <v>12</v>
      </c>
      <c r="E44" s="132" t="s">
        <v>13</v>
      </c>
      <c r="G44" s="705">
        <f>summ!F22</f>
        <v>0.894</v>
      </c>
      <c r="H44" s="679" t="str">
        <f>CONCATENATE("",E1-1," Fund Mill Rate")</f>
        <v>2014 Fund Mill Rate</v>
      </c>
      <c r="I44" s="702"/>
      <c r="J44" s="703"/>
      <c r="K44" s="628"/>
    </row>
    <row r="45" spans="2:11" ht="15.75">
      <c r="B45" s="520" t="str">
        <f>inputPrYr!B21</f>
        <v>Fire Protection</v>
      </c>
      <c r="C45" s="429" t="str">
        <f>C5</f>
        <v>Actual for 2013</v>
      </c>
      <c r="D45" s="429" t="str">
        <f>D5</f>
        <v>Estimate for 2014</v>
      </c>
      <c r="E45" s="136" t="str">
        <f>E5</f>
        <v>Year for 2015</v>
      </c>
      <c r="G45" s="707">
        <f>summ!I36</f>
        <v>0.899</v>
      </c>
      <c r="H45" s="679" t="str">
        <f>CONCATENATE("Total ",E1," Mill Rate")</f>
        <v>Total 2015 Mill Rate</v>
      </c>
      <c r="I45" s="702"/>
      <c r="J45" s="703"/>
      <c r="K45" s="628"/>
    </row>
    <row r="46" spans="2:11" ht="15.75">
      <c r="B46" s="137" t="s">
        <v>120</v>
      </c>
      <c r="C46" s="284"/>
      <c r="D46" s="426">
        <f>C74</f>
        <v>0</v>
      </c>
      <c r="E46" s="263">
        <f>D74</f>
        <v>0</v>
      </c>
      <c r="G46" s="705">
        <f>summ!F36</f>
        <v>1.525</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2016</v>
      </c>
      <c r="H71" s="886"/>
      <c r="I71" s="886"/>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inputOth!B53</f>
        <v>0</v>
      </c>
      <c r="D75" s="127">
        <f>inputPrYr!D21</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0.02</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v>7</v>
      </c>
      <c r="D81" s="124"/>
      <c r="E81" s="124"/>
      <c r="G81" s="890" t="s">
        <v>823</v>
      </c>
      <c r="H81" s="891"/>
      <c r="I81" s="891"/>
      <c r="J81" s="892"/>
      <c r="K81" s="628"/>
    </row>
    <row r="82" spans="2:11" ht="15.75">
      <c r="B82" s="171"/>
      <c r="G82" s="701"/>
      <c r="H82" s="679"/>
      <c r="I82" s="702"/>
      <c r="J82" s="703"/>
      <c r="K82" s="628"/>
    </row>
    <row r="83" spans="7:11" ht="15.75">
      <c r="G83" s="704" t="str">
        <f>summ!I23</f>
        <v> </v>
      </c>
      <c r="H83" s="679" t="str">
        <f>CONCATENATE("",E1," Fund Mill Rate")</f>
        <v>2015 Fund Mill Rate</v>
      </c>
      <c r="I83" s="702"/>
      <c r="J83" s="703"/>
      <c r="K83" s="628"/>
    </row>
    <row r="84" spans="7:11" ht="15.75">
      <c r="G84" s="705" t="str">
        <f>summ!F23</f>
        <v>  </v>
      </c>
      <c r="H84" s="679" t="str">
        <f>CONCATENATE("",E1-1," Fund Mill Rate")</f>
        <v>2014 Fund Mill Rate</v>
      </c>
      <c r="I84" s="702"/>
      <c r="J84" s="703"/>
      <c r="K84" s="628"/>
    </row>
    <row r="85" spans="7:11" ht="15.75">
      <c r="G85" s="707">
        <f>summ!I36</f>
        <v>0.899</v>
      </c>
      <c r="H85" s="679" t="str">
        <f>CONCATENATE("Total ",E1," Mill Rate")</f>
        <v>Total 2015 Mill Rate</v>
      </c>
      <c r="I85" s="702"/>
      <c r="J85" s="703"/>
      <c r="K85" s="628"/>
    </row>
    <row r="86" spans="7:11" ht="15.75">
      <c r="G86" s="705">
        <f>summ!F36</f>
        <v>1.525</v>
      </c>
      <c r="H86" s="708" t="str">
        <f>CONCATENATE("Total ",E1-1," Mill Rate")</f>
        <v>Total 2014 Mill Rate</v>
      </c>
      <c r="I86" s="709"/>
      <c r="J86" s="710"/>
      <c r="K86" s="628"/>
    </row>
    <row r="88" spans="7:9" ht="15.75">
      <c r="G88" s="798" t="s">
        <v>928</v>
      </c>
      <c r="H88" s="797"/>
      <c r="I88" s="796"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45"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Liberty Township</v>
      </c>
      <c r="C1" s="124"/>
      <c r="D1" s="124"/>
      <c r="E1" s="191">
        <f>inputPrYr!D5</f>
        <v>2015</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2016</v>
      </c>
      <c r="H31" s="893"/>
      <c r="I31" s="893"/>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0.02</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2015 Fund Mill Rate</v>
      </c>
      <c r="I43" s="702"/>
      <c r="J43" s="703"/>
      <c r="K43" s="628"/>
    </row>
    <row r="44" spans="2:11" ht="15.75">
      <c r="B44" s="124"/>
      <c r="C44" s="428" t="s">
        <v>11</v>
      </c>
      <c r="D44" s="430" t="s">
        <v>12</v>
      </c>
      <c r="E44" s="132" t="s">
        <v>13</v>
      </c>
      <c r="G44" s="705" t="str">
        <f>summ!F24</f>
        <v>  </v>
      </c>
      <c r="H44" s="679" t="str">
        <f>CONCATENATE("",E1-1," Fund Mill Rate")</f>
        <v>2014 Fund Mill Rate</v>
      </c>
      <c r="I44" s="702"/>
      <c r="J44" s="703"/>
      <c r="K44" s="628"/>
    </row>
    <row r="45" spans="2:11" ht="15.75">
      <c r="B45" s="520">
        <f>inputPrYr!B23</f>
        <v>0</v>
      </c>
      <c r="C45" s="429" t="str">
        <f>C5</f>
        <v>Actual for 2013</v>
      </c>
      <c r="D45" s="429" t="str">
        <f>D5</f>
        <v>Estimate for 2014</v>
      </c>
      <c r="E45" s="136" t="str">
        <f>E5</f>
        <v>Year for 2015</v>
      </c>
      <c r="G45" s="707">
        <f>summ!I36</f>
        <v>0.899</v>
      </c>
      <c r="H45" s="679" t="str">
        <f>CONCATENATE("Total ",E1," Mill Rate")</f>
        <v>Total 2015 Mill Rate</v>
      </c>
      <c r="I45" s="702"/>
      <c r="J45" s="703"/>
      <c r="K45" s="628"/>
    </row>
    <row r="46" spans="2:11" ht="15.75">
      <c r="B46" s="137" t="s">
        <v>120</v>
      </c>
      <c r="C46" s="284"/>
      <c r="D46" s="426">
        <f>C74</f>
        <v>0</v>
      </c>
      <c r="E46" s="263">
        <f>D74</f>
        <v>0</v>
      </c>
      <c r="G46" s="705">
        <f>summ!F36</f>
        <v>1.525</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2016</v>
      </c>
      <c r="H71" s="886"/>
      <c r="I71" s="886"/>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0.02</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2015 Fund Mill Rate</v>
      </c>
      <c r="I83" s="702"/>
      <c r="J83" s="703"/>
      <c r="K83" s="628"/>
    </row>
    <row r="84" spans="7:11" ht="15.75">
      <c r="G84" s="705" t="str">
        <f>summ!F25</f>
        <v>  </v>
      </c>
      <c r="H84" s="679" t="str">
        <f>CONCATENATE("",E1-1," Fund Mill Rate")</f>
        <v>2014 Fund Mill Rate</v>
      </c>
      <c r="I84" s="702"/>
      <c r="J84" s="703"/>
      <c r="K84" s="628"/>
    </row>
    <row r="85" spans="7:11" ht="15.75">
      <c r="G85" s="707">
        <f>summ!I36</f>
        <v>0.899</v>
      </c>
      <c r="H85" s="679" t="str">
        <f>CONCATENATE("Total ",E1," Mill Rate")</f>
        <v>Total 2015 Mill Rate</v>
      </c>
      <c r="I85" s="702"/>
      <c r="J85" s="703"/>
      <c r="K85" s="628"/>
    </row>
    <row r="86" spans="7:11" ht="15.75">
      <c r="G86" s="705">
        <f>summ!F36</f>
        <v>1.525</v>
      </c>
      <c r="H86" s="708" t="str">
        <f>CONCATENATE("Total ",E1-1," Mill Rate")</f>
        <v>Total 2014 Mill Rate</v>
      </c>
      <c r="I86" s="709"/>
      <c r="J86" s="710"/>
      <c r="K86" s="628"/>
    </row>
    <row r="88" spans="7:9" ht="15.75">
      <c r="G88" s="804" t="s">
        <v>928</v>
      </c>
      <c r="H88" s="803"/>
      <c r="I88" s="802"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Liberty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2016</v>
      </c>
      <c r="H31" s="893"/>
      <c r="I31" s="893"/>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0.02</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2015 Fund Mill Rate</v>
      </c>
      <c r="I43" s="702"/>
      <c r="J43" s="703"/>
      <c r="K43" s="628"/>
    </row>
    <row r="44" spans="2:11" ht="15.75">
      <c r="B44" s="124"/>
      <c r="C44" s="428" t="s">
        <v>11</v>
      </c>
      <c r="D44" s="430" t="s">
        <v>12</v>
      </c>
      <c r="E44" s="132" t="s">
        <v>13</v>
      </c>
      <c r="G44" s="705" t="str">
        <f>summ!F26</f>
        <v>  </v>
      </c>
      <c r="H44" s="679" t="str">
        <f>CONCATENATE("",E1-1," Fund Mill Rate")</f>
        <v>2014 Fund Mill Rate</v>
      </c>
      <c r="I44" s="702"/>
      <c r="J44" s="703"/>
      <c r="K44" s="628"/>
    </row>
    <row r="45" spans="2:11" ht="15.75">
      <c r="B45" s="520">
        <f>inputPrYr!B25</f>
        <v>0</v>
      </c>
      <c r="C45" s="429" t="str">
        <f>C5</f>
        <v>Actual for 2013</v>
      </c>
      <c r="D45" s="429" t="str">
        <f>D5</f>
        <v>Estimate for 2014</v>
      </c>
      <c r="E45" s="136" t="str">
        <f>E5</f>
        <v>Year for 2015</v>
      </c>
      <c r="G45" s="707">
        <f>summ!I36</f>
        <v>0.899</v>
      </c>
      <c r="H45" s="679" t="str">
        <f>CONCATENATE("Total ",E1," Mill Rate")</f>
        <v>Total 2015 Mill Rate</v>
      </c>
      <c r="I45" s="702"/>
      <c r="J45" s="703"/>
      <c r="K45" s="628"/>
    </row>
    <row r="46" spans="2:11" ht="15.75">
      <c r="B46" s="137" t="s">
        <v>120</v>
      </c>
      <c r="C46" s="284"/>
      <c r="D46" s="426">
        <f>C74</f>
        <v>0</v>
      </c>
      <c r="E46" s="263">
        <f>D74</f>
        <v>0</v>
      </c>
      <c r="G46" s="705">
        <f>summ!F36</f>
        <v>1.525</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2016</v>
      </c>
      <c r="H71" s="886"/>
      <c r="I71" s="886"/>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0.02</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2015 Fund Mill Rate</v>
      </c>
      <c r="I83" s="702"/>
      <c r="J83" s="703"/>
      <c r="K83" s="628"/>
    </row>
    <row r="84" spans="7:11" ht="15.75">
      <c r="G84" s="705" t="str">
        <f>summ!F27</f>
        <v>  </v>
      </c>
      <c r="H84" s="679" t="str">
        <f>CONCATENATE("",E1-1," Fund Mill Rate")</f>
        <v>2014 Fund Mill Rate</v>
      </c>
      <c r="I84" s="702"/>
      <c r="J84" s="703"/>
      <c r="K84" s="628"/>
    </row>
    <row r="85" spans="7:11" ht="15.75">
      <c r="G85" s="707">
        <f>summ!I36</f>
        <v>0.899</v>
      </c>
      <c r="H85" s="679" t="str">
        <f>CONCATENATE("Total ",E1," Mill Rate")</f>
        <v>Total 2015 Mill Rate</v>
      </c>
      <c r="I85" s="702"/>
      <c r="J85" s="703"/>
      <c r="K85" s="628"/>
    </row>
    <row r="86" spans="7:11" ht="15.75">
      <c r="G86" s="705">
        <f>summ!F36</f>
        <v>1.525</v>
      </c>
      <c r="H86" s="708" t="str">
        <f>CONCATENATE("Total ",E1-1," Mill Rate")</f>
        <v>Total 2014 Mill Rate</v>
      </c>
      <c r="I86" s="709"/>
      <c r="J86" s="710"/>
      <c r="K86" s="628"/>
    </row>
    <row r="88" spans="7:9" ht="15.75">
      <c r="G88" s="810" t="s">
        <v>928</v>
      </c>
      <c r="H88" s="809"/>
      <c r="I88" s="808"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Liberty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2016</v>
      </c>
      <c r="H31" s="893"/>
      <c r="I31" s="893"/>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75">
      <c r="B39" s="192"/>
      <c r="C39" s="525" t="s">
        <v>714</v>
      </c>
      <c r="D39" s="749">
        <f>inputOth!$E$42</f>
        <v>0.02</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2015 Fund Mill Rate</v>
      </c>
      <c r="I43" s="702"/>
      <c r="J43" s="703"/>
      <c r="K43" s="628"/>
    </row>
    <row r="44" spans="2:11" ht="15.75">
      <c r="B44" s="124"/>
      <c r="C44" s="428" t="s">
        <v>11</v>
      </c>
      <c r="D44" s="430" t="s">
        <v>12</v>
      </c>
      <c r="E44" s="132" t="s">
        <v>13</v>
      </c>
      <c r="G44" s="705" t="str">
        <f>summ!F28</f>
        <v>  </v>
      </c>
      <c r="H44" s="679" t="str">
        <f>CONCATENATE("",E1-1," Fund Mill Rate")</f>
        <v>2014 Fund Mill Rate</v>
      </c>
      <c r="I44" s="702"/>
      <c r="J44" s="703"/>
      <c r="K44" s="628"/>
    </row>
    <row r="45" spans="2:11" ht="15.75">
      <c r="B45" s="520">
        <f>inputPrYr!B27</f>
        <v>0</v>
      </c>
      <c r="C45" s="429" t="str">
        <f>C5</f>
        <v>Actual for 2013</v>
      </c>
      <c r="D45" s="429" t="str">
        <f>D5</f>
        <v>Estimate for 2014</v>
      </c>
      <c r="E45" s="136" t="str">
        <f>E5</f>
        <v>Year for 2015</v>
      </c>
      <c r="G45" s="707">
        <f>summ!I36</f>
        <v>0.899</v>
      </c>
      <c r="H45" s="679" t="str">
        <f>CONCATENATE("Total ",E1," Mill Rate")</f>
        <v>Total 2015 Mill Rate</v>
      </c>
      <c r="I45" s="702"/>
      <c r="J45" s="703"/>
      <c r="K45" s="628"/>
    </row>
    <row r="46" spans="2:11" ht="15.75">
      <c r="B46" s="137" t="s">
        <v>120</v>
      </c>
      <c r="C46" s="284"/>
      <c r="D46" s="426">
        <f>C74</f>
        <v>0</v>
      </c>
      <c r="E46" s="263">
        <f>D74</f>
        <v>0</v>
      </c>
      <c r="G46" s="705">
        <f>summ!F36</f>
        <v>1.525</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2016</v>
      </c>
      <c r="H71" s="886"/>
      <c r="I71" s="886"/>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0.02</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2015 Fund Mill Rate</v>
      </c>
      <c r="I83" s="702"/>
      <c r="J83" s="703"/>
      <c r="K83" s="628"/>
    </row>
    <row r="84" spans="7:11" ht="15.75">
      <c r="G84" s="705" t="str">
        <f>summ!F29</f>
        <v>  </v>
      </c>
      <c r="H84" s="679" t="str">
        <f>CONCATENATE("",E1-1," Fund Mill Rate")</f>
        <v>2014 Fund Mill Rate</v>
      </c>
      <c r="I84" s="702"/>
      <c r="J84" s="703"/>
      <c r="K84" s="628"/>
    </row>
    <row r="85" spans="7:11" ht="15.75">
      <c r="G85" s="707">
        <f>summ!I36</f>
        <v>0.899</v>
      </c>
      <c r="H85" s="679" t="str">
        <f>CONCATENATE("Total ",E1," Mill Rate")</f>
        <v>Total 2015 Mill Rate</v>
      </c>
      <c r="I85" s="702"/>
      <c r="J85" s="703"/>
      <c r="K85" s="628"/>
    </row>
    <row r="86" spans="7:11" ht="15.75">
      <c r="G86" s="705">
        <f>summ!F36</f>
        <v>1.525</v>
      </c>
      <c r="H86" s="708" t="str">
        <f>CONCATENATE("Total ",E1-1," Mill Rate")</f>
        <v>Total 2014 Mill Rate</v>
      </c>
      <c r="I86" s="709"/>
      <c r="J86" s="710"/>
      <c r="K86" s="628"/>
    </row>
    <row r="88" spans="7:9" ht="15.75">
      <c r="G88" s="816" t="s">
        <v>928</v>
      </c>
      <c r="H88" s="815"/>
      <c r="I88" s="814"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Liberty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inputOth!B60</f>
        <v>0</v>
      </c>
      <c r="D30" s="521">
        <f>inputPrYr!D31</f>
        <v>0</v>
      </c>
      <c r="E30" s="524">
        <f>IF(E29&lt;0,"See Tab E","")</f>
      </c>
    </row>
    <row r="31" spans="2:5" ht="15.75">
      <c r="B31" s="175" t="str">
        <f>CONCATENATE("Violation of Budget Law for ",E1-2,"/",E1-1,":")</f>
        <v>Violation of Budget Law for 2013/2014:</v>
      </c>
      <c r="C31" s="302">
        <f>IF(C28&gt;C30,"See Tab A","")</f>
      </c>
      <c r="D31" s="302">
        <f>IF(D28&gt;D30,"See Tab C","")</f>
      </c>
      <c r="E31" s="179"/>
    </row>
    <row r="32" spans="2:5" ht="15.75">
      <c r="B32" s="175" t="str">
        <f>CONCATENATE("Possible Cash Violation for ",E1-2,":")</f>
        <v>Possible Cash Violation for 2013:</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4">
      <selection activeCell="D51" sqref="D5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944</v>
      </c>
      <c r="E2" s="21"/>
    </row>
    <row r="3" spans="1:5" ht="15.75">
      <c r="A3" s="32" t="s">
        <v>228</v>
      </c>
      <c r="B3" s="15"/>
      <c r="C3" s="15"/>
      <c r="D3" s="46" t="s">
        <v>939</v>
      </c>
      <c r="E3" s="21"/>
    </row>
    <row r="4" spans="1:5" ht="15.75">
      <c r="A4" s="15"/>
      <c r="B4" s="15"/>
      <c r="C4" s="15"/>
      <c r="D4" s="15"/>
      <c r="E4" s="15"/>
    </row>
    <row r="5" spans="1:5" ht="15.75">
      <c r="A5" s="20" t="s">
        <v>149</v>
      </c>
      <c r="B5" s="15"/>
      <c r="C5" s="15"/>
      <c r="D5" s="91">
        <v>2015</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2014 Budget, Certificate Page:</v>
      </c>
      <c r="B13" s="62"/>
      <c r="C13" s="17"/>
      <c r="D13" s="15"/>
      <c r="E13" s="15"/>
      <c r="F13" s="124"/>
      <c r="G13" s="129"/>
      <c r="H13" s="599"/>
    </row>
    <row r="14" spans="1:8" ht="15.75">
      <c r="A14" s="61" t="s">
        <v>319</v>
      </c>
      <c r="B14" s="62"/>
      <c r="C14" s="17"/>
      <c r="D14" s="113">
        <f>$D$5-1</f>
        <v>2014</v>
      </c>
      <c r="E14" s="112">
        <f>$D$5-2</f>
        <v>2013</v>
      </c>
      <c r="F14" s="220"/>
      <c r="G14" s="198" t="s">
        <v>764</v>
      </c>
      <c r="H14" s="145" t="s">
        <v>29</v>
      </c>
    </row>
    <row r="15" spans="1:8" ht="15.75">
      <c r="A15" s="16" t="s">
        <v>274</v>
      </c>
      <c r="B15" s="15"/>
      <c r="C15" s="69" t="s">
        <v>273</v>
      </c>
      <c r="D15" s="114" t="s">
        <v>347</v>
      </c>
      <c r="E15" s="111" t="s">
        <v>16</v>
      </c>
      <c r="F15" s="220"/>
      <c r="G15" s="200" t="str">
        <f>CONCATENATE("",E14," Ad Valorem Tax")</f>
        <v>2013 Ad Valorem Tax</v>
      </c>
      <c r="H15" s="600">
        <v>0</v>
      </c>
    </row>
    <row r="16" spans="1:8" ht="15.75">
      <c r="A16" s="15"/>
      <c r="B16" s="29" t="s">
        <v>275</v>
      </c>
      <c r="C16" s="60" t="s">
        <v>276</v>
      </c>
      <c r="D16" s="7">
        <v>5160</v>
      </c>
      <c r="E16" s="7">
        <v>5068</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c r="E19" s="7"/>
      <c r="F19" s="220"/>
      <c r="G19" s="263">
        <f>IF(H15&gt;0,ROUND(E19-(E19*H15),0),0)</f>
        <v>0</v>
      </c>
      <c r="H19" s="220"/>
    </row>
    <row r="20" spans="1:8" ht="15.75">
      <c r="A20" s="15"/>
      <c r="B20" s="7" t="s">
        <v>940</v>
      </c>
      <c r="C20" s="527" t="s">
        <v>941</v>
      </c>
      <c r="D20" s="7">
        <v>9500</v>
      </c>
      <c r="E20" s="7">
        <v>7178</v>
      </c>
      <c r="F20" s="220"/>
      <c r="G20" s="263">
        <f>IF(H15&gt;0,ROUND(E20-(E20*H15),0),0)</f>
        <v>0</v>
      </c>
      <c r="H20" s="220"/>
    </row>
    <row r="21" spans="1:8" ht="15.75">
      <c r="A21" s="15"/>
      <c r="B21" s="7" t="s">
        <v>942</v>
      </c>
      <c r="C21" s="527" t="s">
        <v>943</v>
      </c>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2014 Budgeted Year</v>
      </c>
      <c r="B28" s="41"/>
      <c r="C28" s="43"/>
      <c r="D28" s="118"/>
      <c r="E28" s="115">
        <f>SUM(E16:E27)</f>
        <v>12246</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2014</v>
      </c>
      <c r="B35" s="119"/>
      <c r="C35" s="42"/>
      <c r="D35" s="89">
        <f>SUM(D16:D27,D31:D34)</f>
        <v>14660</v>
      </c>
      <c r="E35" s="15"/>
    </row>
    <row r="36" spans="1:5" ht="15.75">
      <c r="A36" s="15"/>
      <c r="B36" s="15"/>
      <c r="C36" s="15"/>
      <c r="D36" s="15"/>
      <c r="E36" s="15"/>
    </row>
    <row r="37" spans="1:5" ht="15.75">
      <c r="A37" s="44" t="s">
        <v>342</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2012 Tax Rate                    (2013 Column)</v>
      </c>
      <c r="E44" s="15"/>
    </row>
    <row r="45" spans="1:5" ht="15.75">
      <c r="A45" s="61" t="str">
        <f>CONCATENATE("the ",D5-1," Budget, Budget Summary Page:")</f>
        <v>the 2014 Budget, Budget Summary Page:</v>
      </c>
      <c r="B45" s="75"/>
      <c r="C45" s="15"/>
      <c r="D45" s="820"/>
      <c r="E45" s="15"/>
    </row>
    <row r="46" spans="1:5" ht="15.75">
      <c r="A46" s="15"/>
      <c r="B46" s="14" t="str">
        <f>B16</f>
        <v>General</v>
      </c>
      <c r="C46" s="15"/>
      <c r="D46" s="72">
        <v>0.219</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t="str">
        <f t="shared" si="0"/>
        <v>Hall</v>
      </c>
      <c r="C50" s="15"/>
      <c r="D50" s="8">
        <v>0.938</v>
      </c>
      <c r="E50" s="15"/>
    </row>
    <row r="51" spans="1:5" ht="15.75">
      <c r="A51" s="15"/>
      <c r="B51" s="29" t="str">
        <f t="shared" si="0"/>
        <v>Fire Protection</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2012 Tax Levy Rate</v>
      </c>
      <c r="B58" s="82"/>
      <c r="C58" s="42"/>
      <c r="D58" s="90">
        <f>SUM(D46:D57)</f>
        <v>1.157</v>
      </c>
      <c r="E58" s="15"/>
    </row>
    <row r="59" spans="1:5" ht="16.5" thickTop="1">
      <c r="A59" s="15"/>
      <c r="B59" s="15"/>
      <c r="C59" s="15"/>
      <c r="D59" s="15"/>
      <c r="E59" s="15"/>
    </row>
    <row r="60" spans="1:5" ht="15.75">
      <c r="A60" s="116" t="str">
        <f>CONCATENATE("Total Tax Levied (",D5-2," budget column)")</f>
        <v>Total Tax Levied (2013 budget column)</v>
      </c>
      <c r="B60" s="77"/>
      <c r="C60" s="41"/>
      <c r="D60" s="42"/>
      <c r="E60" s="7">
        <v>9140</v>
      </c>
    </row>
    <row r="61" spans="1:5" ht="15.75">
      <c r="A61" s="117" t="str">
        <f>CONCATENATE("Assessed Valuation (",D5-2," budget column)")</f>
        <v>Assessed Valuation (2013 budget column)</v>
      </c>
      <c r="B61" s="79"/>
      <c r="C61" s="43"/>
      <c r="D61" s="50"/>
      <c r="E61" s="7">
        <v>7896700</v>
      </c>
    </row>
    <row r="62" spans="1:5" ht="15.75">
      <c r="A62" s="44"/>
      <c r="B62" s="21"/>
      <c r="C62" s="21"/>
      <c r="D62" s="21"/>
      <c r="E62" s="74"/>
    </row>
    <row r="63" spans="1:5" ht="15.75">
      <c r="A63" s="15"/>
      <c r="B63" s="15"/>
      <c r="C63" s="15"/>
      <c r="D63" s="15"/>
      <c r="E63" s="19"/>
    </row>
    <row r="64" spans="1:5" ht="15.75">
      <c r="A64" s="47" t="s">
        <v>203</v>
      </c>
      <c r="B64" s="47"/>
      <c r="C64" s="48"/>
      <c r="D64" s="76">
        <f>D5-3</f>
        <v>2012</v>
      </c>
      <c r="E64" s="76">
        <f>D5-2</f>
        <v>2013</v>
      </c>
    </row>
    <row r="65" spans="1:5" ht="15.75">
      <c r="A65" s="77" t="s">
        <v>168</v>
      </c>
      <c r="B65" s="77"/>
      <c r="C65" s="78"/>
      <c r="D65" s="13"/>
      <c r="E65" s="13"/>
    </row>
    <row r="66" spans="1:5" ht="15.75">
      <c r="A66" s="79" t="s">
        <v>169</v>
      </c>
      <c r="B66" s="79"/>
      <c r="C66" s="80"/>
      <c r="D66" s="13"/>
      <c r="E66" s="13"/>
    </row>
    <row r="67" spans="1:5" ht="15.75">
      <c r="A67" s="79" t="s">
        <v>170</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Liberty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Liberty Township</v>
      </c>
      <c r="B1" s="321"/>
      <c r="C1" s="170"/>
      <c r="D1" s="170"/>
      <c r="E1" s="170"/>
      <c r="F1" s="322" t="s">
        <v>330</v>
      </c>
      <c r="G1" s="170"/>
      <c r="H1" s="170"/>
      <c r="I1" s="170"/>
      <c r="J1" s="170"/>
      <c r="K1" s="170">
        <f>inputPrYr!$D$5</f>
        <v>2015</v>
      </c>
    </row>
    <row r="2" spans="1:11" ht="15.75">
      <c r="A2" s="170"/>
      <c r="B2" s="170"/>
      <c r="C2" s="170"/>
      <c r="D2" s="170"/>
      <c r="E2" s="170"/>
      <c r="F2" s="323" t="str">
        <f>CONCATENATE("(Only the actual budget year for ",K1-2," is to be shown)")</f>
        <v>(Only the actual budget year for 2013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7">
      <selection activeCell="E56" sqref="E5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2015</v>
      </c>
    </row>
    <row r="2" spans="2:9" ht="15.75">
      <c r="B2" s="902" t="s">
        <v>72</v>
      </c>
      <c r="C2" s="903"/>
      <c r="D2" s="903"/>
      <c r="E2" s="903"/>
      <c r="F2" s="903"/>
      <c r="G2" s="903"/>
      <c r="H2" s="903"/>
      <c r="I2" s="903"/>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15" t="str">
        <f>inputPrYr!D2</f>
        <v>Liberty Township</v>
      </c>
      <c r="C5" s="915"/>
      <c r="D5" s="915"/>
      <c r="E5" s="915"/>
      <c r="F5" s="915"/>
      <c r="G5" s="915"/>
      <c r="H5" s="915"/>
      <c r="I5" s="915"/>
    </row>
    <row r="6" spans="2:9" ht="15.75">
      <c r="B6" s="915" t="str">
        <f>inputPrYr!D3</f>
        <v>Montgomery County</v>
      </c>
      <c r="C6" s="915"/>
      <c r="D6" s="915"/>
      <c r="E6" s="915"/>
      <c r="F6" s="915"/>
      <c r="G6" s="915"/>
      <c r="H6" s="915"/>
      <c r="I6" s="915"/>
    </row>
    <row r="7" spans="2:9" ht="15.75">
      <c r="B7" s="906" t="str">
        <f>CONCATENATE("will meet on ",inputBudSum!B8," at ",inputBudSum!B10," at ",inputBudSum!B12," for the purpose of hearing and")</f>
        <v>will meet on August 11, 2014 at 7:00 PM at Richard Felts Residence, 3453 CR 4700, Liberty for the purpose of hearing and</v>
      </c>
      <c r="C7" s="906"/>
      <c r="D7" s="906"/>
      <c r="E7" s="906"/>
      <c r="F7" s="906"/>
      <c r="G7" s="906"/>
      <c r="H7" s="906"/>
      <c r="I7" s="906"/>
    </row>
    <row r="8" spans="2:9" ht="15.75">
      <c r="B8" s="904" t="s">
        <v>383</v>
      </c>
      <c r="C8" s="905"/>
      <c r="D8" s="905"/>
      <c r="E8" s="905"/>
      <c r="F8" s="905"/>
      <c r="G8" s="905"/>
      <c r="H8" s="905"/>
      <c r="I8" s="905"/>
    </row>
    <row r="9" spans="2:9" ht="15.75">
      <c r="B9" s="906" t="str">
        <f>CONCATENATE("Detailed budget information is available at ",inputBudSum!B15," and will be available at this hearing.")</f>
        <v>Detailed budget information is available at Montgomery County Clerk's Office, Courthouse, Independence, KS and will be available at this hearing.</v>
      </c>
      <c r="C9" s="905"/>
      <c r="D9" s="905"/>
      <c r="E9" s="905"/>
      <c r="F9" s="905"/>
      <c r="G9" s="905"/>
      <c r="H9" s="905"/>
      <c r="I9" s="905"/>
    </row>
    <row r="10" spans="2:9" ht="15.75">
      <c r="B10" s="902" t="s">
        <v>73</v>
      </c>
      <c r="C10" s="905"/>
      <c r="D10" s="905"/>
      <c r="E10" s="905"/>
      <c r="F10" s="905"/>
      <c r="G10" s="905"/>
      <c r="H10" s="905"/>
      <c r="I10" s="905"/>
    </row>
    <row r="11" spans="2:9" ht="15.75">
      <c r="B11" s="904" t="str">
        <f>CONCATENATE("Proposed Budget ",I1," Expenditures and Amount of ",I1-1," Ad Valorem Tax establish the maximum limits")</f>
        <v>Proposed Budget 2015 Expenditures and Amount of 2014 Ad Valorem Tax establish the maximum limits</v>
      </c>
      <c r="C11" s="905"/>
      <c r="D11" s="905"/>
      <c r="E11" s="905"/>
      <c r="F11" s="905"/>
      <c r="G11" s="905"/>
      <c r="H11" s="905"/>
      <c r="I11" s="905"/>
    </row>
    <row r="12" spans="2:9" ht="15.75">
      <c r="B12" s="904" t="str">
        <f>CONCATENATE("of the ",I1," budget.  Estimated Tax Rate is subject to change depending on the final assessed valuation.")</f>
        <v>of the 2015 budget.  Estimated Tax Rate is subject to change depending on the final assessed valuation.</v>
      </c>
      <c r="C12" s="905"/>
      <c r="D12" s="905"/>
      <c r="E12" s="905"/>
      <c r="F12" s="905"/>
      <c r="G12" s="905"/>
      <c r="H12" s="905"/>
      <c r="I12" s="905"/>
    </row>
    <row r="13" spans="2:10" ht="15.75">
      <c r="B13" s="16"/>
      <c r="C13" s="21"/>
      <c r="D13" s="21"/>
      <c r="E13" s="21"/>
      <c r="F13" s="21"/>
      <c r="G13" s="21"/>
      <c r="H13" s="21"/>
      <c r="I13" s="21"/>
      <c r="J13" s="10"/>
    </row>
    <row r="14" spans="2:10" ht="15.7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12" t="str">
        <f>CONCATENATE("Amount of ",I1-1," Ad Valorem Tax")</f>
        <v>Amount of 2014 Ad Valorem Tax</v>
      </c>
      <c r="I15" s="24" t="s">
        <v>40</v>
      </c>
      <c r="J15" s="10"/>
    </row>
    <row r="16" spans="2:10" ht="15.75">
      <c r="B16" s="769"/>
      <c r="C16" s="39"/>
      <c r="D16" s="39" t="s">
        <v>41</v>
      </c>
      <c r="E16" s="39"/>
      <c r="F16" s="39" t="s">
        <v>41</v>
      </c>
      <c r="G16" s="583" t="s">
        <v>210</v>
      </c>
      <c r="H16" s="913"/>
      <c r="I16" s="39" t="s">
        <v>41</v>
      </c>
      <c r="J16" s="10"/>
    </row>
    <row r="17" spans="2:10" ht="15.75">
      <c r="B17" s="25" t="s">
        <v>288</v>
      </c>
      <c r="C17" s="25" t="s">
        <v>42</v>
      </c>
      <c r="D17" s="25" t="s">
        <v>43</v>
      </c>
      <c r="E17" s="25" t="s">
        <v>42</v>
      </c>
      <c r="F17" s="25" t="s">
        <v>43</v>
      </c>
      <c r="G17" s="576" t="s">
        <v>721</v>
      </c>
      <c r="H17" s="914"/>
      <c r="I17" s="25" t="s">
        <v>43</v>
      </c>
      <c r="J17" s="10"/>
    </row>
    <row r="18" spans="2:10" ht="15.75">
      <c r="B18" s="14" t="str">
        <f>inputPrYr!B16</f>
        <v>General</v>
      </c>
      <c r="C18" s="528">
        <f>IF(gen!$C$50&lt;&gt;0,gen!$C$50,"  ")</f>
        <v>484</v>
      </c>
      <c r="D18" s="533">
        <f>IF(inputPrYr!D46&gt;0,inputPrYr!D46,"  ")</f>
        <v>0.219</v>
      </c>
      <c r="E18" s="528">
        <f>IF(gen!$D$50&lt;&gt;0,gen!$D$50,"  ")</f>
        <v>5160</v>
      </c>
      <c r="F18" s="533">
        <f>IF(inputOth!D17&gt;0,inputOth!D17,"  ")</f>
        <v>0.631</v>
      </c>
      <c r="G18" s="528">
        <f>IF(gen!$E$50&lt;&gt;0,gen!$E$50,"  ")</f>
        <v>6500</v>
      </c>
      <c r="H18" s="528">
        <f>IF(gen!$E$57&lt;&gt;0,gen!$E$57," ")</f>
        <v>4588</v>
      </c>
      <c r="I18" s="536">
        <f>IF(gen!E57&gt;0,ROUND(H18/$G$41*1000,3)," ")</f>
        <v>0.555</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Hall</v>
      </c>
      <c r="C22" s="528">
        <f>IF(levypage9!$C$33&lt;&gt;0,levypage9!$C$33,"  ")</f>
        <v>2121.72</v>
      </c>
      <c r="D22" s="533">
        <f>IF(inputPrYr!D50&gt;0,inputPrYr!D50,"  ")</f>
        <v>0.938</v>
      </c>
      <c r="E22" s="528">
        <f>IF(levypage9!$D$33&lt;&gt;0,levypage9!$D$33,"  ")</f>
        <v>9500</v>
      </c>
      <c r="F22" s="533">
        <f>IF(inputOth!D21&gt;0,inputOth!D21,"  ")</f>
        <v>0.894</v>
      </c>
      <c r="G22" s="528">
        <f>IF(levypage9!$E$33&lt;&gt;0,levypage9!$E$33,"  ")</f>
        <v>9500</v>
      </c>
      <c r="H22" s="528">
        <f>IF(levypage9!$E$40&lt;&gt;0,levypage9!$E$40,"  ")</f>
        <v>2844.369999999999</v>
      </c>
      <c r="I22" s="536">
        <f>IF(levypage9!E40&gt;0,ROUND(H22/$G$41*1000,3)," ")</f>
        <v>0.344</v>
      </c>
    </row>
    <row r="23" spans="2:9" ht="15.75">
      <c r="B23" s="14" t="str">
        <f>IF(inputPrYr!$B21&gt;"  ",inputPrYr!$B21,"  ")</f>
        <v>Fire Protection</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907" t="str">
        <f>CONCATENATE("Estimated Value Of One Mill For ",I1,"")</f>
        <v>Estimated Value Of One Mill For 2015</v>
      </c>
      <c r="L25" s="900"/>
      <c r="M25" s="900"/>
      <c r="N25" s="916"/>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8271</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7" t="str">
        <f>CONCATENATE("Want The Mill Rate The Same As For ",I1-1,"?")</f>
        <v>Want The Mill Rate The Same As For 2014?</v>
      </c>
      <c r="L29" s="908"/>
      <c r="M29" s="908"/>
      <c r="N29" s="909"/>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1.525</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5180.630000000001</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2605.72</v>
      </c>
      <c r="D36" s="535">
        <f t="shared" si="0"/>
        <v>1.157</v>
      </c>
      <c r="E36" s="530">
        <f t="shared" si="0"/>
        <v>14660</v>
      </c>
      <c r="F36" s="535">
        <f t="shared" si="0"/>
        <v>1.525</v>
      </c>
      <c r="G36" s="530">
        <f t="shared" si="0"/>
        <v>16000</v>
      </c>
      <c r="H36" s="530">
        <f t="shared" si="0"/>
        <v>7432.369999999999</v>
      </c>
      <c r="I36" s="535">
        <f t="shared" si="0"/>
        <v>0.899</v>
      </c>
      <c r="K36" s="907" t="str">
        <f>CONCATENATE("Impact On Keeping The Same Mill Rate As For ",I1-1,"")</f>
        <v>Impact On Keeping The Same Mill Rate As For 2014</v>
      </c>
      <c r="L36" s="910"/>
      <c r="M36" s="910"/>
      <c r="N36" s="911"/>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2605.72</v>
      </c>
      <c r="D38" s="15"/>
      <c r="E38" s="531">
        <f>E36-E37</f>
        <v>14660</v>
      </c>
      <c r="F38" s="15"/>
      <c r="G38" s="531">
        <f>G36-G37</f>
        <v>16000</v>
      </c>
      <c r="H38" s="15"/>
      <c r="I38" s="15"/>
      <c r="K38" s="562" t="str">
        <f>CONCATENATE("",I1," Ad Valorem Tax Revenue:")</f>
        <v>2015 Ad Valorem Tax Revenue:</v>
      </c>
      <c r="L38" s="557"/>
      <c r="M38" s="557"/>
      <c r="N38" s="558">
        <f>H36</f>
        <v>7432.369999999999</v>
      </c>
    </row>
    <row r="39" spans="2:14" ht="16.5" thickTop="1">
      <c r="B39" s="44" t="s">
        <v>46</v>
      </c>
      <c r="C39" s="532">
        <f>inputPrYr!E60</f>
        <v>9140</v>
      </c>
      <c r="D39" s="26"/>
      <c r="E39" s="532">
        <f>inputPrYr!E28</f>
        <v>12246</v>
      </c>
      <c r="F39" s="15"/>
      <c r="G39" s="522" t="s">
        <v>292</v>
      </c>
      <c r="H39" s="15"/>
      <c r="I39" s="15"/>
      <c r="K39" s="562" t="str">
        <f>CONCATENATE("",I1-1," Ad Valorem Tax Revenue:")</f>
        <v>2014 Ad Valorem Tax Revenue:</v>
      </c>
      <c r="L39" s="557"/>
      <c r="M39" s="557"/>
      <c r="N39" s="571">
        <f>ROUND(G41*N31/1000,0)</f>
        <v>12613</v>
      </c>
    </row>
    <row r="40" spans="2:14" ht="15.75">
      <c r="B40" s="44" t="s">
        <v>47</v>
      </c>
      <c r="C40" s="15"/>
      <c r="D40" s="26"/>
      <c r="E40" s="15"/>
      <c r="F40" s="26"/>
      <c r="G40" s="15"/>
      <c r="H40" s="15"/>
      <c r="I40" s="15"/>
      <c r="K40" s="572" t="s">
        <v>719</v>
      </c>
      <c r="L40" s="573"/>
      <c r="M40" s="573"/>
      <c r="N40" s="561">
        <f>N38-N39</f>
        <v>-5180.630000000001</v>
      </c>
    </row>
    <row r="41" spans="2:14" ht="15.75">
      <c r="B41" s="44" t="s">
        <v>48</v>
      </c>
      <c r="C41" s="14">
        <f>inputPrYr!E61</f>
        <v>7896700</v>
      </c>
      <c r="D41" s="15"/>
      <c r="E41" s="14">
        <f>inputOth!E31</f>
        <v>8027486</v>
      </c>
      <c r="F41" s="15"/>
      <c r="G41" s="14">
        <f>inputOth!E7</f>
        <v>8270882</v>
      </c>
      <c r="H41" s="15"/>
      <c r="I41" s="15"/>
      <c r="K41" s="574"/>
      <c r="L41" s="574"/>
      <c r="M41" s="574"/>
      <c r="N41" s="570"/>
    </row>
    <row r="42" spans="2:14" ht="15.75">
      <c r="B42" s="16" t="s">
        <v>49</v>
      </c>
      <c r="C42" s="15"/>
      <c r="D42" s="15"/>
      <c r="E42" s="15"/>
      <c r="F42" s="15"/>
      <c r="G42" s="15"/>
      <c r="H42" s="15"/>
      <c r="I42" s="15"/>
      <c r="K42" s="907" t="s">
        <v>720</v>
      </c>
      <c r="L42" s="908"/>
      <c r="M42" s="908"/>
      <c r="N42" s="909"/>
    </row>
    <row r="43" spans="2:14" ht="15.75">
      <c r="B43" s="16" t="s">
        <v>50</v>
      </c>
      <c r="C43" s="40">
        <f>I1-3</f>
        <v>2012</v>
      </c>
      <c r="D43" s="15"/>
      <c r="E43" s="40">
        <f>I1-2</f>
        <v>2013</v>
      </c>
      <c r="F43" s="15"/>
      <c r="G43" s="40">
        <f>I1-1</f>
        <v>2014</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0.899</v>
      </c>
    </row>
    <row r="45" spans="2:14" ht="15.7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01" t="str">
        <f>inputBudSum!B4</f>
        <v>Liberty Township</v>
      </c>
      <c r="C50" s="901"/>
      <c r="D50" s="15"/>
      <c r="E50" s="15"/>
      <c r="F50" s="15"/>
      <c r="G50" s="15"/>
      <c r="H50" s="15"/>
      <c r="I50" s="15"/>
    </row>
    <row r="51" spans="2:9" ht="15.75">
      <c r="B51" s="899">
        <f>inputBudSum!B6</f>
        <v>0</v>
      </c>
      <c r="C51" s="900"/>
      <c r="D51" s="15"/>
      <c r="E51" s="15"/>
      <c r="F51" s="15"/>
      <c r="G51" s="15"/>
      <c r="H51" s="15"/>
      <c r="I51" s="15"/>
    </row>
    <row r="52" spans="2:9" ht="15.75">
      <c r="B52" s="15"/>
      <c r="C52" s="15"/>
      <c r="D52" s="15"/>
      <c r="E52" s="15"/>
      <c r="F52" s="15"/>
      <c r="G52" s="15"/>
      <c r="H52" s="15"/>
      <c r="I52" s="15"/>
    </row>
    <row r="53" spans="2:9" ht="15.75">
      <c r="B53" s="15"/>
      <c r="C53" s="22" t="s">
        <v>9</v>
      </c>
      <c r="D53" s="120">
        <v>8</v>
      </c>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Liberty Township</v>
      </c>
      <c r="B1" s="15"/>
      <c r="C1" s="15"/>
      <c r="D1" s="15"/>
      <c r="E1" s="15"/>
      <c r="F1" s="15">
        <f>inputPrYr!D5</f>
        <v>2015</v>
      </c>
    </row>
    <row r="2" spans="1:6" ht="15.75">
      <c r="A2" s="15"/>
      <c r="B2" s="15"/>
      <c r="C2" s="15"/>
      <c r="D2" s="15"/>
      <c r="E2" s="15"/>
      <c r="F2" s="15"/>
    </row>
    <row r="3" spans="1:6" ht="15.75">
      <c r="A3" s="15"/>
      <c r="B3" s="919" t="str">
        <f>CONCATENATE("",F1," Neighborhood Revitalization Rebate")</f>
        <v>2015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Hall</v>
      </c>
      <c r="C10" s="95"/>
      <c r="D10" s="96">
        <f t="shared" si="0"/>
      </c>
      <c r="E10" s="97">
        <f t="shared" si="1"/>
      </c>
      <c r="F10" s="48"/>
    </row>
    <row r="11" spans="1:6" ht="15.75">
      <c r="A11" s="15"/>
      <c r="B11" s="29" t="str">
        <f>inputPrYr!B21</f>
        <v>Fire Protection</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2014 July 1 Valuation:</v>
      </c>
      <c r="B21" s="918"/>
      <c r="C21" s="921"/>
      <c r="D21" s="101">
        <f>inputOth!E7</f>
        <v>8270882</v>
      </c>
      <c r="E21" s="15"/>
      <c r="F21" s="48"/>
    </row>
    <row r="22" spans="1:6" ht="15.75">
      <c r="A22" s="15"/>
      <c r="B22" s="15"/>
      <c r="C22" s="15"/>
      <c r="D22" s="15"/>
      <c r="E22" s="15"/>
      <c r="F22" s="48"/>
    </row>
    <row r="23" spans="1:6" ht="15.75">
      <c r="A23" s="15"/>
      <c r="B23" s="921" t="s">
        <v>369</v>
      </c>
      <c r="C23" s="921"/>
      <c r="D23" s="102">
        <f>IF(D21&gt;0,(D21*0.001),"")</f>
        <v>8270.882</v>
      </c>
      <c r="E23" s="15"/>
      <c r="F23" s="48"/>
    </row>
    <row r="24" spans="1:6" ht="15.75">
      <c r="A24" s="15"/>
      <c r="B24" s="65"/>
      <c r="C24" s="65"/>
      <c r="D24" s="103"/>
      <c r="E24" s="15"/>
      <c r="F24" s="48"/>
    </row>
    <row r="25" spans="1:6" ht="15.75">
      <c r="A25" s="917" t="s">
        <v>370</v>
      </c>
      <c r="B25" s="903"/>
      <c r="C25" s="903"/>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4" t="s">
        <v>132</v>
      </c>
      <c r="B1" s="924"/>
      <c r="C1" s="924"/>
      <c r="D1" s="924"/>
      <c r="E1" s="924"/>
      <c r="F1" s="924"/>
      <c r="G1" s="924"/>
    </row>
    <row r="2" ht="15.75">
      <c r="A2" s="51"/>
    </row>
    <row r="3" spans="1:7" ht="15.75">
      <c r="A3" s="925" t="s">
        <v>133</v>
      </c>
      <c r="B3" s="925"/>
      <c r="C3" s="925"/>
      <c r="D3" s="925"/>
      <c r="E3" s="925"/>
      <c r="F3" s="925"/>
      <c r="G3" s="925"/>
    </row>
    <row r="4" ht="15.75">
      <c r="A4" s="52"/>
    </row>
    <row r="5" ht="15.75">
      <c r="A5" s="52"/>
    </row>
    <row r="6" spans="1:9" ht="15.75">
      <c r="A6" s="58" t="str">
        <f>CONCATENATE("A resolution expressing the property taxation policy of the Board of ",(inputPrYr!D2)," ")</f>
        <v>A resolution expressing the property taxation policy of the Board of Liberty Township </v>
      </c>
      <c r="I6">
        <f>CONCATENATE(I7)</f>
      </c>
    </row>
    <row r="7" spans="1:7" ht="15.75">
      <c r="A7" s="926" t="str">
        <f>CONCATENATE("   with respect to financing the ",inputPrYr!D5," annual budget for ",(inputPrYr!D2)," , ",(inputPrYr!D3)," , Kansas.")</f>
        <v>   with respect to financing the 2015 annual budget for Liberty Township , Montgomery County , Kansas.</v>
      </c>
      <c r="B7" s="923"/>
      <c r="C7" s="923"/>
      <c r="D7" s="923"/>
      <c r="E7" s="923"/>
      <c r="F7" s="923"/>
      <c r="G7" s="923"/>
    </row>
    <row r="8" spans="1:7" ht="15.75">
      <c r="A8" s="923"/>
      <c r="B8" s="923"/>
      <c r="C8" s="923"/>
      <c r="D8" s="923"/>
      <c r="E8" s="923"/>
      <c r="F8" s="923"/>
      <c r="G8" s="923"/>
    </row>
    <row r="9" ht="15.75">
      <c r="A9" s="51"/>
    </row>
    <row r="10" ht="15.75">
      <c r="A10" s="59" t="s">
        <v>134</v>
      </c>
    </row>
    <row r="11" ht="15.75">
      <c r="A11" s="57" t="str">
        <f>CONCATENATE("to finance the ",inputPrYr!D5," ",(inputPrYr!D2)," budget exceed the amount levied to finance the ",inputPrYr!D5-1,"")</f>
        <v>to finance the 2015 Liberty Township budget exceed the amount levied to finance the 2014</v>
      </c>
    </row>
    <row r="12" spans="1:7" ht="15.75">
      <c r="A12" s="922"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923"/>
      <c r="C12" s="923"/>
      <c r="D12" s="923"/>
      <c r="E12" s="923"/>
      <c r="F12" s="923"/>
      <c r="G12" s="923"/>
    </row>
    <row r="13" spans="1:7" ht="15.75">
      <c r="A13" s="923"/>
      <c r="B13" s="923"/>
      <c r="C13" s="923"/>
      <c r="D13" s="923"/>
      <c r="E13" s="923"/>
      <c r="F13" s="923"/>
      <c r="G13" s="923"/>
    </row>
    <row r="14" spans="1:7" ht="15.75">
      <c r="A14" s="922" t="s">
        <v>139</v>
      </c>
      <c r="B14" s="923"/>
      <c r="C14" s="923"/>
      <c r="D14" s="923"/>
      <c r="E14" s="923"/>
      <c r="F14" s="923"/>
      <c r="G14" s="923"/>
    </row>
    <row r="15" spans="1:7" ht="15.75">
      <c r="A15" s="923"/>
      <c r="B15" s="923"/>
      <c r="C15" s="923"/>
      <c r="D15" s="923"/>
      <c r="E15" s="923"/>
      <c r="F15" s="923"/>
      <c r="G15" s="923"/>
    </row>
    <row r="16" spans="1:7" ht="15.75">
      <c r="A16" s="903"/>
      <c r="B16" s="903"/>
      <c r="C16" s="903"/>
      <c r="D16" s="903"/>
      <c r="E16" s="903"/>
      <c r="F16" s="903"/>
      <c r="G16" s="903"/>
    </row>
    <row r="17" ht="15.75">
      <c r="A17" s="52"/>
    </row>
    <row r="18" spans="1:7" ht="15.75">
      <c r="A18" s="927" t="s">
        <v>135</v>
      </c>
      <c r="B18" s="923"/>
      <c r="C18" s="923"/>
      <c r="D18" s="923"/>
      <c r="E18" s="923"/>
      <c r="F18" s="923"/>
      <c r="G18" s="923"/>
    </row>
    <row r="19" spans="1:7" ht="15.75">
      <c r="A19" s="923"/>
      <c r="B19" s="923"/>
      <c r="C19" s="923"/>
      <c r="D19" s="923"/>
      <c r="E19" s="923"/>
      <c r="F19" s="923"/>
      <c r="G19" s="923"/>
    </row>
    <row r="20" ht="15.75">
      <c r="A20" s="52"/>
    </row>
    <row r="21" spans="1:7" ht="15.75">
      <c r="A21" s="927" t="str">
        <f>CONCATENATE("Whereas, ",(inputPrYr!D2)," provides essential services to protect the safety and well being of the citizens of the township; and")</f>
        <v>Whereas, Liberty Township provides essential services to protect the safety and well being of the citizens of the township; and</v>
      </c>
      <c r="B21" s="923"/>
      <c r="C21" s="923"/>
      <c r="D21" s="923"/>
      <c r="E21" s="923"/>
      <c r="F21" s="923"/>
      <c r="G21" s="923"/>
    </row>
    <row r="22" spans="1:7" ht="15.75">
      <c r="A22" s="923"/>
      <c r="B22" s="923"/>
      <c r="C22" s="923"/>
      <c r="D22" s="923"/>
      <c r="E22" s="923"/>
      <c r="F22" s="923"/>
      <c r="G22" s="923"/>
    </row>
    <row r="23" ht="15.75">
      <c r="A23" s="54"/>
    </row>
    <row r="24" ht="15.75">
      <c r="A24" s="53" t="s">
        <v>136</v>
      </c>
    </row>
    <row r="25" ht="15.75">
      <c r="A25" s="54"/>
    </row>
    <row r="26" spans="1:7" ht="15.75">
      <c r="A26" s="927"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Montgomery County, Kansas that is our desire to notify the public of increased property taxes to finance the 2015 Liberty Township  budget as defined above.</v>
      </c>
      <c r="B26" s="923"/>
      <c r="C26" s="923"/>
      <c r="D26" s="923"/>
      <c r="E26" s="923"/>
      <c r="F26" s="923"/>
      <c r="G26" s="923"/>
    </row>
    <row r="27" spans="1:7" ht="15.75">
      <c r="A27" s="923"/>
      <c r="B27" s="923"/>
      <c r="C27" s="923"/>
      <c r="D27" s="923"/>
      <c r="E27" s="923"/>
      <c r="F27" s="923"/>
      <c r="G27" s="923"/>
    </row>
    <row r="28" spans="1:7" ht="15.75">
      <c r="A28" s="923"/>
      <c r="B28" s="923"/>
      <c r="C28" s="923"/>
      <c r="D28" s="923"/>
      <c r="E28" s="923"/>
      <c r="F28" s="923"/>
      <c r="G28" s="923"/>
    </row>
    <row r="29" ht="15.75">
      <c r="A29" s="54"/>
    </row>
    <row r="30" spans="1:7" ht="15.75">
      <c r="A30" s="930" t="str">
        <f>CONCATENATE("Adopted this _________ day of ___________, ",inputPrYr!D5-1," by the ",(inputPrYr!D2)," Board, ",(inputPrYr!D3),", Kansas.")</f>
        <v>Adopted this _________ day of ___________, 2014 by the Liberty Township Board, Montgomery County, Kansas.</v>
      </c>
      <c r="B30" s="923"/>
      <c r="C30" s="923"/>
      <c r="D30" s="923"/>
      <c r="E30" s="923"/>
      <c r="F30" s="923"/>
      <c r="G30" s="923"/>
    </row>
    <row r="31" spans="1:7" ht="15.75">
      <c r="A31" s="923"/>
      <c r="B31" s="923"/>
      <c r="C31" s="923"/>
      <c r="D31" s="923"/>
      <c r="E31" s="923"/>
      <c r="F31" s="923"/>
      <c r="G31" s="923"/>
    </row>
    <row r="32" ht="15.75">
      <c r="A32" s="54"/>
    </row>
    <row r="33" spans="4:7" ht="15.75">
      <c r="D33" s="928" t="str">
        <f>CONCATENATE((inputPrYr!D2)," Board")</f>
        <v>Liberty Township Board</v>
      </c>
      <c r="E33" s="928"/>
      <c r="F33" s="928"/>
      <c r="G33" s="928"/>
    </row>
    <row r="35" spans="4:7" ht="15.75">
      <c r="D35" s="929" t="s">
        <v>137</v>
      </c>
      <c r="E35" s="929"/>
      <c r="F35" s="929"/>
      <c r="G35" s="929"/>
    </row>
    <row r="36" spans="1:7" ht="15.75">
      <c r="A36" s="55"/>
      <c r="D36" s="929" t="s">
        <v>141</v>
      </c>
      <c r="E36" s="929"/>
      <c r="F36" s="929"/>
      <c r="G36" s="929"/>
    </row>
    <row r="37" spans="4:7" ht="15.75">
      <c r="D37" s="929"/>
      <c r="E37" s="929"/>
      <c r="F37" s="929"/>
      <c r="G37" s="929"/>
    </row>
    <row r="38" spans="4:7" ht="15.75">
      <c r="D38" s="929" t="s">
        <v>137</v>
      </c>
      <c r="E38" s="929"/>
      <c r="F38" s="929"/>
      <c r="G38" s="929"/>
    </row>
    <row r="39" spans="1:7" ht="15.75">
      <c r="A39" s="54"/>
      <c r="D39" s="929" t="s">
        <v>142</v>
      </c>
      <c r="E39" s="929"/>
      <c r="F39" s="929"/>
      <c r="G39" s="929"/>
    </row>
    <row r="40" spans="4:7" ht="15.75">
      <c r="D40" s="929"/>
      <c r="E40" s="929"/>
      <c r="F40" s="929"/>
      <c r="G40" s="929"/>
    </row>
    <row r="41" spans="4:7" ht="15.75">
      <c r="D41" s="929" t="s">
        <v>140</v>
      </c>
      <c r="E41" s="929"/>
      <c r="F41" s="929"/>
      <c r="G41" s="929"/>
    </row>
    <row r="42" spans="1:7" ht="15.75">
      <c r="A42" s="54"/>
      <c r="D42" s="929" t="s">
        <v>143</v>
      </c>
      <c r="E42" s="929"/>
      <c r="F42" s="929"/>
      <c r="G42" s="929"/>
    </row>
    <row r="43" ht="15.75">
      <c r="A43" s="56"/>
    </row>
    <row r="44" ht="15.75">
      <c r="A44" s="56"/>
    </row>
    <row r="45" ht="15.75">
      <c r="A45" s="56" t="s">
        <v>138</v>
      </c>
    </row>
    <row r="50" spans="3:4" ht="15.7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2013 'total expenditures' exceed your 2013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2015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2013 budget was amended, did you</v>
      </c>
    </row>
    <row r="26" ht="15.75">
      <c r="A26" s="408" t="s">
        <v>402</v>
      </c>
    </row>
    <row r="27" ht="15.75">
      <c r="A27" s="408"/>
    </row>
    <row r="28" ht="15.75">
      <c r="A28" s="408" t="str">
        <f>CONCATENATE("Next, look to see if any of your ",inputPrYr!D5-2," expenditures can be")</f>
        <v>Next, look to see if any of your 2013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2013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2013 financial records have been closed?</v>
      </c>
    </row>
    <row r="76" ht="15.75">
      <c r="A76" s="408" t="s">
        <v>439</v>
      </c>
    </row>
    <row r="77" ht="15.75">
      <c r="A77" s="408" t="str">
        <f>CONCATENATE("(i.e. an audit for ",inputPrYr!D5-2," has been completed, or the ",inputPrYr!D5)</f>
        <v>(i.e. an audit for 2013 has been completed, or the 2015</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2013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2013 are not closed</v>
      </c>
      <c r="B33" s="408"/>
      <c r="C33" s="408"/>
      <c r="D33" s="408"/>
      <c r="E33" s="408"/>
      <c r="F33" s="408"/>
      <c r="G33" s="408"/>
      <c r="H33" s="408"/>
    </row>
    <row r="34" spans="1:8" ht="15.75">
      <c r="A34" s="408" t="str">
        <f>CONCATENATE("(i.e. an audit has not been completed, or the ",inputPrYr!D5," adopted ")</f>
        <v>(i.e. an audit has not been completed, or the 2015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2014 'total expenditures' exceed your 2014</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2014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2014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2014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2015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2014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2014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7">
      <selection activeCell="B53" sqref="B53"/>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Liberty Township</v>
      </c>
      <c r="B1" s="170"/>
      <c r="C1" s="170"/>
      <c r="D1" s="170"/>
      <c r="E1" s="170">
        <f>inputPrYr!D5</f>
        <v>2015</v>
      </c>
    </row>
    <row r="2" spans="1:5" ht="15.75">
      <c r="A2" s="221" t="str">
        <f>inputPrYr!D3</f>
        <v>Montgomery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2015:</v>
      </c>
      <c r="B6" s="356"/>
      <c r="C6" s="356"/>
      <c r="D6" s="124"/>
      <c r="E6" s="179"/>
    </row>
    <row r="7" spans="1:5" ht="15.75">
      <c r="A7" s="130" t="str">
        <f>CONCATENATE("Total Assessed Valuation for ",E1-1,"")</f>
        <v>Total Assessed Valuation for 2014</v>
      </c>
      <c r="B7" s="129"/>
      <c r="C7" s="129"/>
      <c r="D7" s="129"/>
      <c r="E7" s="357">
        <v>8270882</v>
      </c>
    </row>
    <row r="8" spans="1:5" ht="15.75">
      <c r="A8" s="130" t="str">
        <f>CONCATENATE("New Improvements for ",E1-1,"")</f>
        <v>New Improvements for 2014</v>
      </c>
      <c r="B8" s="129"/>
      <c r="C8" s="129"/>
      <c r="D8" s="129"/>
      <c r="E8" s="358">
        <v>0</v>
      </c>
    </row>
    <row r="9" spans="1:5" ht="15.75">
      <c r="A9" s="130" t="str">
        <f>CONCATENATE("Personal Property excluding oil, gas, and mobile homes - ",E1-1,"")</f>
        <v>Personal Property excluding oil, gas, and mobile homes - 2014</v>
      </c>
      <c r="B9" s="129"/>
      <c r="C9" s="129"/>
      <c r="D9" s="129"/>
      <c r="E9" s="358">
        <v>64795</v>
      </c>
    </row>
    <row r="10" spans="1:5" ht="15.75">
      <c r="A10" s="130" t="str">
        <f>CONCATENATE("Property that has changed in use for ",E1-1,"")</f>
        <v>Property that has changed in use for 2014</v>
      </c>
      <c r="B10" s="129"/>
      <c r="C10" s="129"/>
      <c r="D10" s="129"/>
      <c r="E10" s="358">
        <v>0</v>
      </c>
    </row>
    <row r="11" spans="1:5" ht="15.75">
      <c r="A11" s="130" t="str">
        <f>CONCATENATE("Personal Property excluding oil, gas, and mobile homes- ",E1-2,"")</f>
        <v>Personal Property excluding oil, gas, and mobile homes- 2013</v>
      </c>
      <c r="B11" s="129"/>
      <c r="C11" s="129"/>
      <c r="D11" s="129"/>
      <c r="E11" s="358">
        <v>102655</v>
      </c>
    </row>
    <row r="12" spans="1:5" ht="15.75">
      <c r="A12" s="130" t="str">
        <f>CONCATENATE("Gross earnings (intangible) tax estimate for ",E1,"")</f>
        <v>Gross earnings (intangible) tax estimate for 2015</v>
      </c>
      <c r="B12" s="129"/>
      <c r="C12" s="129"/>
      <c r="D12" s="129"/>
      <c r="E12" s="358">
        <v>0</v>
      </c>
    </row>
    <row r="13" spans="1:5" ht="15.75">
      <c r="A13" s="130" t="str">
        <f>CONCATENATE("Neighborhood Revitalization - ",E1,"")</f>
        <v>Neighborhood Revitalization - 2015</v>
      </c>
      <c r="B13" s="129"/>
      <c r="C13" s="129"/>
      <c r="D13" s="129"/>
      <c r="E13" s="358">
        <v>0</v>
      </c>
    </row>
    <row r="14" spans="1:5" ht="15.75">
      <c r="A14" s="130"/>
      <c r="B14" s="129"/>
      <c r="C14" s="129"/>
      <c r="D14" s="129"/>
      <c r="E14" s="359"/>
    </row>
    <row r="15" spans="1:5" ht="15.75">
      <c r="A15" s="360" t="str">
        <f>CONCATENATE("Actual Tax Rates for the ",E1-1," Budget:")</f>
        <v>Actual Tax Rates for the 2014 Budget:</v>
      </c>
      <c r="B15" s="129"/>
      <c r="C15" s="129"/>
      <c r="D15" s="129"/>
      <c r="E15" s="361"/>
    </row>
    <row r="16" spans="1:5" ht="15.75">
      <c r="A16" s="828" t="s">
        <v>288</v>
      </c>
      <c r="B16" s="829"/>
      <c r="C16" s="170"/>
      <c r="D16" s="362" t="s">
        <v>3</v>
      </c>
      <c r="E16" s="361"/>
    </row>
    <row r="17" spans="1:5" ht="15.75">
      <c r="A17" s="134" t="str">
        <f>inputPrYr!B16</f>
        <v>General</v>
      </c>
      <c r="B17" s="135"/>
      <c r="C17" s="129"/>
      <c r="D17" s="363">
        <v>0.631</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t="str">
        <f>inputPrYr!B20</f>
        <v>Hall</v>
      </c>
      <c r="B21" s="156"/>
      <c r="C21" s="129"/>
      <c r="D21" s="364">
        <v>0.894</v>
      </c>
      <c r="E21" s="361"/>
    </row>
    <row r="22" spans="1:5" ht="15.75">
      <c r="A22" s="134" t="str">
        <f>inputPrYr!B21</f>
        <v>Fire Protection</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1.525</v>
      </c>
      <c r="E29" s="124"/>
    </row>
    <row r="30" spans="1:5" ht="15.75">
      <c r="A30" s="124"/>
      <c r="B30" s="124"/>
      <c r="C30" s="124"/>
      <c r="D30" s="124"/>
      <c r="E30" s="124"/>
    </row>
    <row r="31" spans="1:5" ht="15.75">
      <c r="A31" s="135" t="str">
        <f>CONCATENATE("Final Assessed Valuation from the November 1, ",E1-2," Abstract:")</f>
        <v>Final Assessed Valuation from the November 1, 2013 Abstract:</v>
      </c>
      <c r="B31" s="135"/>
      <c r="C31" s="135"/>
      <c r="D31" s="135"/>
      <c r="E31" s="289">
        <v>8027486</v>
      </c>
    </row>
    <row r="32" spans="1:5" ht="15.75">
      <c r="A32" s="124"/>
      <c r="B32" s="124"/>
      <c r="C32" s="124"/>
      <c r="D32" s="124"/>
      <c r="E32" s="124"/>
    </row>
    <row r="33" spans="1:5" ht="15.75">
      <c r="A33" s="367" t="str">
        <f>CONCATENATE("From the County Treasurer's Budget Information - ",E1," Budget Year Estimates:")</f>
        <v>From the County Treasurer's Budget Information - 2015 Budget Year Estimates:</v>
      </c>
      <c r="B33" s="368"/>
      <c r="C33" s="368"/>
      <c r="D33" s="369"/>
      <c r="E33" s="179"/>
    </row>
    <row r="34" spans="1:5" ht="15.75">
      <c r="A34" s="134" t="s">
        <v>162</v>
      </c>
      <c r="B34" s="135"/>
      <c r="C34" s="135"/>
      <c r="D34" s="370"/>
      <c r="E34" s="258">
        <v>1039</v>
      </c>
    </row>
    <row r="35" spans="1:5" ht="15.75">
      <c r="A35" s="371" t="s">
        <v>279</v>
      </c>
      <c r="B35" s="156"/>
      <c r="C35" s="156"/>
      <c r="D35" s="286"/>
      <c r="E35" s="258">
        <v>29</v>
      </c>
    </row>
    <row r="36" spans="1:5" ht="15.75">
      <c r="A36" s="371" t="s">
        <v>163</v>
      </c>
      <c r="B36" s="156"/>
      <c r="C36" s="156"/>
      <c r="D36" s="286"/>
      <c r="E36" s="258">
        <v>77</v>
      </c>
    </row>
    <row r="37" spans="1:5" ht="15.75">
      <c r="A37" s="371" t="s">
        <v>164</v>
      </c>
      <c r="B37" s="156"/>
      <c r="C37" s="156"/>
      <c r="D37" s="286"/>
      <c r="E37" s="258">
        <v>0</v>
      </c>
    </row>
    <row r="38" spans="1:5" ht="15.75">
      <c r="A38" s="371" t="s">
        <v>102</v>
      </c>
      <c r="B38" s="135"/>
      <c r="C38" s="135"/>
      <c r="D38" s="370"/>
      <c r="E38" s="258">
        <v>0</v>
      </c>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2012 Tax - (rate .01213 = 1.213%, key in 1.2)</v>
      </c>
      <c r="B41" s="135"/>
      <c r="C41" s="135"/>
      <c r="D41" s="146"/>
      <c r="E41" s="748">
        <v>0.0204</v>
      </c>
    </row>
    <row r="42" spans="1:5" ht="15.75">
      <c r="A42" s="134" t="s">
        <v>849</v>
      </c>
      <c r="B42" s="165"/>
      <c r="C42" s="129"/>
      <c r="D42" s="129"/>
      <c r="E42" s="600">
        <v>0.02</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2013 Budget Certificate Page</v>
      </c>
      <c r="B45" s="831"/>
      <c r="C45" s="194"/>
      <c r="D45" s="194"/>
      <c r="E45" s="194"/>
    </row>
    <row r="46" spans="1:5" ht="15.75">
      <c r="A46" s="375"/>
      <c r="B46" s="375" t="str">
        <f>CONCATENATE("",E1-2," Expenditure Amounts")</f>
        <v>2013 Expenditure Amounts</v>
      </c>
      <c r="C46" s="832" t="str">
        <f>CONCATENATE("Note: If the ",E1-2," budget was amended, then the")</f>
        <v>Note: If the 2013 budget was amended, then the</v>
      </c>
      <c r="D46" s="833"/>
      <c r="E46" s="833"/>
    </row>
    <row r="47" spans="1:5" ht="15.75">
      <c r="A47" s="376" t="s">
        <v>209</v>
      </c>
      <c r="B47" s="376" t="s">
        <v>210</v>
      </c>
      <c r="C47" s="377" t="s">
        <v>211</v>
      </c>
      <c r="D47" s="378"/>
      <c r="E47" s="378"/>
    </row>
    <row r="48" spans="1:5" ht="15.75">
      <c r="A48" s="379" t="str">
        <f>inputPrYr!B16</f>
        <v>General</v>
      </c>
      <c r="B48" s="289">
        <v>3184</v>
      </c>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t="str">
        <f>inputPrYr!B20</f>
        <v>Hall</v>
      </c>
      <c r="B52" s="289">
        <v>8000</v>
      </c>
      <c r="C52" s="194"/>
      <c r="D52" s="194"/>
      <c r="E52" s="194"/>
    </row>
    <row r="53" spans="1:5" ht="15.75">
      <c r="A53" s="379" t="str">
        <f>inputPrYr!B21</f>
        <v>Fire Protection</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2015 'total expenditures' exceed your 2015</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40" t="s">
        <v>643</v>
      </c>
      <c r="C6" s="948"/>
      <c r="D6" s="948"/>
      <c r="E6" s="948"/>
      <c r="F6" s="948"/>
      <c r="G6" s="948"/>
      <c r="H6" s="948"/>
      <c r="I6" s="948"/>
      <c r="J6" s="948"/>
      <c r="K6" s="948"/>
      <c r="L6" s="508"/>
    </row>
    <row r="7" spans="1:12" ht="40.5" customHeight="1">
      <c r="A7" s="511"/>
      <c r="B7" s="960" t="s">
        <v>644</v>
      </c>
      <c r="C7" s="961"/>
      <c r="D7" s="961"/>
      <c r="E7" s="961"/>
      <c r="F7" s="961"/>
      <c r="G7" s="961"/>
      <c r="H7" s="961"/>
      <c r="I7" s="961"/>
      <c r="J7" s="961"/>
      <c r="K7" s="961"/>
      <c r="L7" s="511"/>
    </row>
    <row r="8" spans="1:12" ht="14.25">
      <c r="A8" s="511"/>
      <c r="B8" s="957" t="s">
        <v>645</v>
      </c>
      <c r="C8" s="957"/>
      <c r="D8" s="957"/>
      <c r="E8" s="957"/>
      <c r="F8" s="957"/>
      <c r="G8" s="957"/>
      <c r="H8" s="957"/>
      <c r="I8" s="957"/>
      <c r="J8" s="957"/>
      <c r="K8" s="957"/>
      <c r="L8" s="511"/>
    </row>
    <row r="9" spans="1:12" ht="14.25">
      <c r="A9" s="511"/>
      <c r="L9" s="511"/>
    </row>
    <row r="10" spans="1:12" ht="14.25">
      <c r="A10" s="511"/>
      <c r="B10" s="957" t="s">
        <v>646</v>
      </c>
      <c r="C10" s="957"/>
      <c r="D10" s="957"/>
      <c r="E10" s="957"/>
      <c r="F10" s="957"/>
      <c r="G10" s="957"/>
      <c r="H10" s="957"/>
      <c r="I10" s="957"/>
      <c r="J10" s="957"/>
      <c r="K10" s="957"/>
      <c r="L10" s="511"/>
    </row>
    <row r="11" spans="1:12" ht="14.25">
      <c r="A11" s="511"/>
      <c r="B11" s="589"/>
      <c r="C11" s="589"/>
      <c r="D11" s="589"/>
      <c r="E11" s="589"/>
      <c r="F11" s="589"/>
      <c r="G11" s="589"/>
      <c r="H11" s="589"/>
      <c r="I11" s="589"/>
      <c r="J11" s="589"/>
      <c r="K11" s="589"/>
      <c r="L11" s="511"/>
    </row>
    <row r="12" spans="1:12" ht="32.25" customHeight="1">
      <c r="A12" s="511"/>
      <c r="B12" s="941" t="s">
        <v>647</v>
      </c>
      <c r="C12" s="941"/>
      <c r="D12" s="941"/>
      <c r="E12" s="941"/>
      <c r="F12" s="941"/>
      <c r="G12" s="941"/>
      <c r="H12" s="941"/>
      <c r="I12" s="941"/>
      <c r="J12" s="941"/>
      <c r="K12" s="941"/>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43">
        <v>312000000</v>
      </c>
      <c r="G23" s="943"/>
      <c r="L23" s="511"/>
    </row>
    <row r="24" spans="1:12" ht="14.25">
      <c r="A24" s="511"/>
      <c r="L24" s="511"/>
    </row>
    <row r="25" spans="1:12" ht="14.25">
      <c r="A25" s="511"/>
      <c r="C25" s="958">
        <f>F23</f>
        <v>312000000</v>
      </c>
      <c r="D25" s="95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45" t="s">
        <v>644</v>
      </c>
      <c r="C30" s="945"/>
      <c r="D30" s="945"/>
      <c r="E30" s="945"/>
      <c r="F30" s="945"/>
      <c r="G30" s="945"/>
      <c r="H30" s="945"/>
      <c r="I30" s="945"/>
      <c r="J30" s="945"/>
      <c r="K30" s="945"/>
      <c r="L30" s="511"/>
    </row>
    <row r="31" spans="1:12" ht="14.25">
      <c r="A31" s="511"/>
      <c r="B31" s="957" t="s">
        <v>656</v>
      </c>
      <c r="C31" s="957"/>
      <c r="D31" s="957"/>
      <c r="E31" s="957"/>
      <c r="F31" s="957"/>
      <c r="G31" s="957"/>
      <c r="H31" s="957"/>
      <c r="I31" s="957"/>
      <c r="J31" s="957"/>
      <c r="K31" s="957"/>
      <c r="L31" s="511"/>
    </row>
    <row r="32" spans="1:12" ht="14.25">
      <c r="A32" s="511"/>
      <c r="L32" s="511"/>
    </row>
    <row r="33" spans="1:12" ht="14.25">
      <c r="A33" s="511"/>
      <c r="B33" s="957" t="s">
        <v>657</v>
      </c>
      <c r="C33" s="957"/>
      <c r="D33" s="957"/>
      <c r="E33" s="957"/>
      <c r="F33" s="957"/>
      <c r="G33" s="957"/>
      <c r="H33" s="957"/>
      <c r="I33" s="957"/>
      <c r="J33" s="957"/>
      <c r="K33" s="957"/>
      <c r="L33" s="511"/>
    </row>
    <row r="34" spans="1:12" ht="14.25">
      <c r="A34" s="511"/>
      <c r="L34" s="511"/>
    </row>
    <row r="35" spans="1:12" ht="89.25" customHeight="1">
      <c r="A35" s="511"/>
      <c r="B35" s="941" t="s">
        <v>658</v>
      </c>
      <c r="C35" s="951"/>
      <c r="D35" s="951"/>
      <c r="E35" s="951"/>
      <c r="F35" s="951"/>
      <c r="G35" s="951"/>
      <c r="H35" s="951"/>
      <c r="I35" s="951"/>
      <c r="J35" s="951"/>
      <c r="K35" s="951"/>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59">
        <v>312000000</v>
      </c>
      <c r="D41" s="959"/>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52">
        <v>312000000</v>
      </c>
      <c r="C48" s="943"/>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53" t="s">
        <v>666</v>
      </c>
      <c r="H50" s="954"/>
      <c r="I50" s="594" t="s">
        <v>652</v>
      </c>
      <c r="J50" s="491">
        <f>B50/F50</f>
        <v>0.16025641025641027</v>
      </c>
      <c r="K50" s="499"/>
      <c r="L50" s="511"/>
    </row>
    <row r="51" spans="1:15" ht="15" thickBot="1">
      <c r="A51" s="511"/>
      <c r="B51" s="498"/>
      <c r="C51" s="497"/>
      <c r="D51" s="497"/>
      <c r="E51" s="497"/>
      <c r="F51" s="497"/>
      <c r="G51" s="497"/>
      <c r="H51" s="497"/>
      <c r="I51" s="955" t="s">
        <v>667</v>
      </c>
      <c r="J51" s="955"/>
      <c r="K51" s="956"/>
      <c r="L51" s="511"/>
      <c r="O51" s="490"/>
    </row>
    <row r="52" spans="1:12" ht="40.5" customHeight="1">
      <c r="A52" s="511"/>
      <c r="B52" s="945" t="s">
        <v>644</v>
      </c>
      <c r="C52" s="945"/>
      <c r="D52" s="945"/>
      <c r="E52" s="945"/>
      <c r="F52" s="945"/>
      <c r="G52" s="945"/>
      <c r="H52" s="945"/>
      <c r="I52" s="945"/>
      <c r="J52" s="945"/>
      <c r="K52" s="945"/>
      <c r="L52" s="511"/>
    </row>
    <row r="53" spans="1:12" ht="14.25">
      <c r="A53" s="511"/>
      <c r="B53" s="957" t="s">
        <v>668</v>
      </c>
      <c r="C53" s="957"/>
      <c r="D53" s="957"/>
      <c r="E53" s="957"/>
      <c r="F53" s="957"/>
      <c r="G53" s="957"/>
      <c r="H53" s="957"/>
      <c r="I53" s="957"/>
      <c r="J53" s="957"/>
      <c r="K53" s="957"/>
      <c r="L53" s="511"/>
    </row>
    <row r="54" spans="1:12" ht="14.25">
      <c r="A54" s="511"/>
      <c r="B54" s="589"/>
      <c r="C54" s="589"/>
      <c r="D54" s="589"/>
      <c r="E54" s="589"/>
      <c r="F54" s="589"/>
      <c r="G54" s="589"/>
      <c r="H54" s="589"/>
      <c r="I54" s="589"/>
      <c r="J54" s="589"/>
      <c r="K54" s="589"/>
      <c r="L54" s="511"/>
    </row>
    <row r="55" spans="1:12" ht="14.25">
      <c r="A55" s="511"/>
      <c r="B55" s="940" t="s">
        <v>669</v>
      </c>
      <c r="C55" s="940"/>
      <c r="D55" s="940"/>
      <c r="E55" s="940"/>
      <c r="F55" s="940"/>
      <c r="G55" s="940"/>
      <c r="H55" s="940"/>
      <c r="I55" s="940"/>
      <c r="J55" s="940"/>
      <c r="K55" s="940"/>
      <c r="L55" s="511"/>
    </row>
    <row r="56" spans="1:12" ht="15" customHeight="1">
      <c r="A56" s="511"/>
      <c r="L56" s="511"/>
    </row>
    <row r="57" spans="1:24" ht="74.25" customHeight="1">
      <c r="A57" s="511"/>
      <c r="B57" s="941" t="s">
        <v>670</v>
      </c>
      <c r="C57" s="951"/>
      <c r="D57" s="951"/>
      <c r="E57" s="951"/>
      <c r="F57" s="951"/>
      <c r="G57" s="951"/>
      <c r="H57" s="951"/>
      <c r="I57" s="951"/>
      <c r="J57" s="951"/>
      <c r="K57" s="951"/>
      <c r="L57" s="511"/>
      <c r="M57" s="489"/>
      <c r="N57" s="488"/>
      <c r="O57" s="488"/>
      <c r="P57" s="488"/>
      <c r="Q57" s="488"/>
      <c r="R57" s="488"/>
      <c r="S57" s="488"/>
      <c r="T57" s="488"/>
      <c r="U57" s="488"/>
      <c r="V57" s="488"/>
      <c r="W57" s="488"/>
      <c r="X57" s="488"/>
    </row>
    <row r="58" spans="1:24" ht="15" customHeight="1">
      <c r="A58" s="511"/>
      <c r="B58" s="941"/>
      <c r="C58" s="951"/>
      <c r="D58" s="951"/>
      <c r="E58" s="951"/>
      <c r="F58" s="951"/>
      <c r="G58" s="951"/>
      <c r="H58" s="951"/>
      <c r="I58" s="951"/>
      <c r="J58" s="951"/>
      <c r="K58" s="951"/>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43">
        <v>312000000</v>
      </c>
      <c r="D74" s="943"/>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43">
        <v>50000</v>
      </c>
      <c r="D77" s="943"/>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43">
        <v>100000</v>
      </c>
      <c r="D80" s="943"/>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4">
        <f>H80</f>
        <v>11500</v>
      </c>
      <c r="D83" s="944"/>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45" t="s">
        <v>644</v>
      </c>
      <c r="C85" s="945"/>
      <c r="D85" s="945"/>
      <c r="E85" s="945"/>
      <c r="F85" s="945"/>
      <c r="G85" s="945"/>
      <c r="H85" s="945"/>
      <c r="I85" s="945"/>
      <c r="J85" s="945"/>
      <c r="K85" s="945"/>
      <c r="L85" s="511"/>
    </row>
    <row r="86" spans="1:12" ht="14.25">
      <c r="A86" s="511"/>
      <c r="B86" s="940" t="s">
        <v>686</v>
      </c>
      <c r="C86" s="940"/>
      <c r="D86" s="940"/>
      <c r="E86" s="940"/>
      <c r="F86" s="940"/>
      <c r="G86" s="940"/>
      <c r="H86" s="940"/>
      <c r="I86" s="940"/>
      <c r="J86" s="940"/>
      <c r="K86" s="940"/>
      <c r="L86" s="511"/>
    </row>
    <row r="87" spans="1:12" ht="14.25">
      <c r="A87" s="511"/>
      <c r="B87" s="477"/>
      <c r="C87" s="477"/>
      <c r="D87" s="477"/>
      <c r="E87" s="477"/>
      <c r="F87" s="477"/>
      <c r="G87" s="477"/>
      <c r="H87" s="477"/>
      <c r="I87" s="477"/>
      <c r="J87" s="477"/>
      <c r="K87" s="477"/>
      <c r="L87" s="511"/>
    </row>
    <row r="88" spans="1:12" ht="14.25">
      <c r="A88" s="511"/>
      <c r="B88" s="940" t="s">
        <v>687</v>
      </c>
      <c r="C88" s="940"/>
      <c r="D88" s="940"/>
      <c r="E88" s="940"/>
      <c r="F88" s="940"/>
      <c r="G88" s="940"/>
      <c r="H88" s="940"/>
      <c r="I88" s="940"/>
      <c r="J88" s="940"/>
      <c r="K88" s="940"/>
      <c r="L88" s="511"/>
    </row>
    <row r="89" spans="1:12" ht="14.25">
      <c r="A89" s="511"/>
      <c r="B89" s="588"/>
      <c r="C89" s="588"/>
      <c r="D89" s="588"/>
      <c r="E89" s="588"/>
      <c r="F89" s="588"/>
      <c r="G89" s="588"/>
      <c r="H89" s="588"/>
      <c r="I89" s="588"/>
      <c r="J89" s="588"/>
      <c r="K89" s="588"/>
      <c r="L89" s="511"/>
    </row>
    <row r="90" spans="1:12" ht="45" customHeight="1">
      <c r="A90" s="511"/>
      <c r="B90" s="941" t="s">
        <v>688</v>
      </c>
      <c r="C90" s="941"/>
      <c r="D90" s="941"/>
      <c r="E90" s="941"/>
      <c r="F90" s="941"/>
      <c r="G90" s="941"/>
      <c r="H90" s="941"/>
      <c r="I90" s="941"/>
      <c r="J90" s="941"/>
      <c r="K90" s="941"/>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43">
        <v>312000000</v>
      </c>
      <c r="D94" s="943"/>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43">
        <v>50000</v>
      </c>
      <c r="D97" s="943"/>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43">
        <v>2500000</v>
      </c>
      <c r="D100" s="943"/>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4">
        <f>H100</f>
        <v>750000</v>
      </c>
      <c r="D103" s="944"/>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5" t="s">
        <v>644</v>
      </c>
      <c r="C105" s="946"/>
      <c r="D105" s="946"/>
      <c r="E105" s="946"/>
      <c r="F105" s="946"/>
      <c r="G105" s="946"/>
      <c r="H105" s="946"/>
      <c r="I105" s="946"/>
      <c r="J105" s="946"/>
      <c r="K105" s="946"/>
      <c r="L105" s="511"/>
    </row>
    <row r="106" spans="1:12" ht="15" customHeight="1">
      <c r="A106" s="511"/>
      <c r="B106" s="947" t="s">
        <v>690</v>
      </c>
      <c r="C106" s="948"/>
      <c r="D106" s="948"/>
      <c r="E106" s="948"/>
      <c r="F106" s="948"/>
      <c r="G106" s="948"/>
      <c r="H106" s="948"/>
      <c r="I106" s="948"/>
      <c r="J106" s="948"/>
      <c r="K106" s="948"/>
      <c r="L106" s="511"/>
    </row>
    <row r="107" spans="1:12" ht="15" customHeight="1">
      <c r="A107" s="511"/>
      <c r="B107" s="592"/>
      <c r="C107" s="466"/>
      <c r="D107" s="466"/>
      <c r="E107" s="594"/>
      <c r="F107" s="491"/>
      <c r="G107" s="594"/>
      <c r="H107" s="594"/>
      <c r="I107" s="594"/>
      <c r="J107" s="597"/>
      <c r="K107" s="592"/>
      <c r="L107" s="511"/>
    </row>
    <row r="108" spans="1:12" ht="15" customHeight="1">
      <c r="A108" s="511"/>
      <c r="B108" s="947" t="s">
        <v>691</v>
      </c>
      <c r="C108" s="949"/>
      <c r="D108" s="949"/>
      <c r="E108" s="949"/>
      <c r="F108" s="949"/>
      <c r="G108" s="949"/>
      <c r="H108" s="949"/>
      <c r="I108" s="949"/>
      <c r="J108" s="949"/>
      <c r="K108" s="949"/>
      <c r="L108" s="511"/>
    </row>
    <row r="109" spans="1:12" ht="15" customHeight="1">
      <c r="A109" s="511"/>
      <c r="B109" s="592"/>
      <c r="C109" s="466"/>
      <c r="D109" s="466"/>
      <c r="E109" s="594"/>
      <c r="F109" s="491"/>
      <c r="G109" s="594"/>
      <c r="H109" s="594"/>
      <c r="I109" s="594"/>
      <c r="J109" s="597"/>
      <c r="K109" s="592"/>
      <c r="L109" s="511"/>
    </row>
    <row r="110" spans="1:12" ht="59.25" customHeight="1">
      <c r="A110" s="511"/>
      <c r="B110" s="950" t="s">
        <v>692</v>
      </c>
      <c r="C110" s="951"/>
      <c r="D110" s="951"/>
      <c r="E110" s="951"/>
      <c r="F110" s="951"/>
      <c r="G110" s="951"/>
      <c r="H110" s="951"/>
      <c r="I110" s="951"/>
      <c r="J110" s="951"/>
      <c r="K110" s="951"/>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43">
        <v>312000000</v>
      </c>
      <c r="D114" s="943"/>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43">
        <v>50000</v>
      </c>
      <c r="D117" s="943"/>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43">
        <v>2500000</v>
      </c>
      <c r="D120" s="943"/>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4">
        <f>H120</f>
        <v>625000</v>
      </c>
      <c r="D123" s="944"/>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45" t="s">
        <v>644</v>
      </c>
      <c r="C125" s="945"/>
      <c r="D125" s="945"/>
      <c r="E125" s="945"/>
      <c r="F125" s="945"/>
      <c r="G125" s="945"/>
      <c r="H125" s="945"/>
      <c r="I125" s="945"/>
      <c r="J125" s="945"/>
      <c r="K125" s="945"/>
      <c r="L125" s="465"/>
    </row>
    <row r="126" spans="1:12" ht="14.25">
      <c r="A126" s="511"/>
      <c r="B126" s="940" t="s">
        <v>693</v>
      </c>
      <c r="C126" s="940"/>
      <c r="D126" s="940"/>
      <c r="E126" s="940"/>
      <c r="F126" s="940"/>
      <c r="G126" s="940"/>
      <c r="H126" s="940"/>
      <c r="I126" s="940"/>
      <c r="J126" s="940"/>
      <c r="K126" s="940"/>
      <c r="L126" s="465"/>
    </row>
    <row r="127" spans="1:12" ht="14.25">
      <c r="A127" s="511"/>
      <c r="B127" s="589"/>
      <c r="C127" s="589"/>
      <c r="D127" s="589"/>
      <c r="E127" s="589"/>
      <c r="F127" s="589"/>
      <c r="G127" s="589"/>
      <c r="H127" s="589"/>
      <c r="I127" s="589"/>
      <c r="J127" s="589"/>
      <c r="K127" s="589"/>
      <c r="L127" s="465"/>
    </row>
    <row r="128" spans="1:12" ht="14.25">
      <c r="A128" s="511"/>
      <c r="B128" s="940" t="s">
        <v>694</v>
      </c>
      <c r="C128" s="940"/>
      <c r="D128" s="940"/>
      <c r="E128" s="940"/>
      <c r="F128" s="940"/>
      <c r="G128" s="940"/>
      <c r="H128" s="940"/>
      <c r="I128" s="940"/>
      <c r="J128" s="940"/>
      <c r="K128" s="940"/>
      <c r="L128" s="465"/>
    </row>
    <row r="129" spans="1:12" ht="14.25">
      <c r="A129" s="511"/>
      <c r="B129" s="588"/>
      <c r="C129" s="588"/>
      <c r="D129" s="588"/>
      <c r="E129" s="588"/>
      <c r="F129" s="588"/>
      <c r="G129" s="588"/>
      <c r="H129" s="588"/>
      <c r="I129" s="588"/>
      <c r="J129" s="588"/>
      <c r="K129" s="588"/>
      <c r="L129" s="465"/>
    </row>
    <row r="130" spans="1:12" ht="74.25" customHeight="1">
      <c r="A130" s="511"/>
      <c r="B130" s="941" t="s">
        <v>695</v>
      </c>
      <c r="C130" s="941"/>
      <c r="D130" s="941"/>
      <c r="E130" s="941"/>
      <c r="F130" s="941"/>
      <c r="G130" s="941"/>
      <c r="H130" s="941"/>
      <c r="I130" s="941"/>
      <c r="J130" s="941"/>
      <c r="K130" s="941"/>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42" t="s">
        <v>696</v>
      </c>
      <c r="D133" s="942"/>
      <c r="E133" s="501"/>
      <c r="F133" s="594" t="s">
        <v>697</v>
      </c>
      <c r="G133" s="501"/>
      <c r="H133" s="942" t="s">
        <v>682</v>
      </c>
      <c r="I133" s="942"/>
      <c r="J133" s="501"/>
      <c r="K133" s="499"/>
      <c r="L133" s="511"/>
    </row>
    <row r="134" spans="1:12" ht="14.25">
      <c r="A134" s="511"/>
      <c r="B134" s="493" t="s">
        <v>675</v>
      </c>
      <c r="C134" s="943">
        <v>100000</v>
      </c>
      <c r="D134" s="943"/>
      <c r="E134" s="594" t="s">
        <v>292</v>
      </c>
      <c r="F134" s="594">
        <v>0.115</v>
      </c>
      <c r="G134" s="594" t="s">
        <v>652</v>
      </c>
      <c r="H134" s="932">
        <f>C134*F134</f>
        <v>11500</v>
      </c>
      <c r="I134" s="932"/>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31" t="s">
        <v>682</v>
      </c>
      <c r="D136" s="931"/>
      <c r="E136" s="483"/>
      <c r="F136" s="596" t="s">
        <v>698</v>
      </c>
      <c r="G136" s="596"/>
      <c r="H136" s="483"/>
      <c r="I136" s="483"/>
      <c r="J136" s="483" t="s">
        <v>699</v>
      </c>
      <c r="K136" s="482"/>
      <c r="L136" s="511"/>
    </row>
    <row r="137" spans="1:12" ht="14.25">
      <c r="A137" s="511"/>
      <c r="B137" s="493" t="s">
        <v>678</v>
      </c>
      <c r="C137" s="932">
        <f>H134</f>
        <v>11500</v>
      </c>
      <c r="D137" s="932"/>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33" t="s">
        <v>702</v>
      </c>
      <c r="C144" s="934"/>
      <c r="D144" s="934"/>
      <c r="E144" s="934"/>
      <c r="F144" s="934"/>
      <c r="G144" s="934"/>
      <c r="H144" s="934"/>
      <c r="I144" s="934"/>
      <c r="J144" s="934"/>
      <c r="K144" s="935"/>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32" t="s">
        <v>703</v>
      </c>
      <c r="D147" s="932"/>
      <c r="E147" s="594"/>
      <c r="F147" s="447" t="s">
        <v>704</v>
      </c>
      <c r="G147" s="594"/>
      <c r="H147" s="594"/>
      <c r="I147" s="594"/>
      <c r="J147" s="936" t="s">
        <v>705</v>
      </c>
      <c r="K147" s="937"/>
      <c r="L147" s="511"/>
    </row>
    <row r="148" spans="1:12" ht="14.25">
      <c r="A148" s="511"/>
      <c r="B148" s="493"/>
      <c r="C148" s="938">
        <v>52.869</v>
      </c>
      <c r="D148" s="938"/>
      <c r="E148" s="594" t="s">
        <v>292</v>
      </c>
      <c r="F148" s="590">
        <v>312000000</v>
      </c>
      <c r="G148" s="442" t="s">
        <v>653</v>
      </c>
      <c r="H148" s="594">
        <v>1000</v>
      </c>
      <c r="I148" s="594" t="s">
        <v>652</v>
      </c>
      <c r="J148" s="936">
        <f>C148*(F148/1000)</f>
        <v>16495128</v>
      </c>
      <c r="K148" s="939"/>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9" sqref="G19"/>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944</v>
      </c>
      <c r="J4" s="742" t="s">
        <v>840</v>
      </c>
    </row>
    <row r="5" spans="1:10" ht="15.75">
      <c r="A5" s="1"/>
      <c r="B5" s="741"/>
      <c r="J5" s="742" t="s">
        <v>841</v>
      </c>
    </row>
    <row r="6" spans="1:10" ht="15.75">
      <c r="A6" s="1" t="s">
        <v>836</v>
      </c>
      <c r="B6" s="395"/>
      <c r="J6" s="742" t="s">
        <v>842</v>
      </c>
    </row>
    <row r="7" spans="1:10" ht="15.75">
      <c r="A7" s="392"/>
      <c r="B7" s="392"/>
      <c r="C7" s="392"/>
      <c r="D7" s="393"/>
      <c r="E7" s="392"/>
      <c r="F7" s="392"/>
      <c r="J7" s="742" t="s">
        <v>843</v>
      </c>
    </row>
    <row r="8" spans="1:10" ht="15.75">
      <c r="A8" s="394" t="s">
        <v>374</v>
      </c>
      <c r="B8" s="395" t="s">
        <v>950</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August 1, 2014</v>
      </c>
      <c r="E9" s="392"/>
      <c r="F9" s="392"/>
      <c r="J9" s="742" t="s">
        <v>845</v>
      </c>
    </row>
    <row r="10" spans="1:10" ht="15.75">
      <c r="A10" s="394" t="s">
        <v>375</v>
      </c>
      <c r="B10" s="395" t="s">
        <v>951</v>
      </c>
      <c r="C10" s="399"/>
      <c r="D10" s="394"/>
      <c r="E10" s="392"/>
      <c r="F10" s="392"/>
      <c r="J10" s="742" t="s">
        <v>846</v>
      </c>
    </row>
    <row r="11" spans="1:10" ht="15.75">
      <c r="A11" s="394"/>
      <c r="B11" s="394"/>
      <c r="C11" s="394"/>
      <c r="D11" s="394"/>
      <c r="E11" s="392"/>
      <c r="F11" s="392"/>
      <c r="J11" s="742" t="s">
        <v>847</v>
      </c>
    </row>
    <row r="12" spans="1:10" ht="15.75">
      <c r="A12" s="394" t="s">
        <v>376</v>
      </c>
      <c r="B12" s="400" t="s">
        <v>952</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945</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August</v>
      </c>
    </row>
    <row r="20" spans="1:7" ht="15.75">
      <c r="A20" s="394" t="s">
        <v>374</v>
      </c>
      <c r="B20" s="397" t="s">
        <v>379</v>
      </c>
      <c r="C20" s="394"/>
      <c r="D20" s="394"/>
      <c r="E20" s="394"/>
      <c r="G20" s="743" t="str">
        <f>IF(B8="","",CONCATENATE("J",G22))</f>
        <v>J8</v>
      </c>
    </row>
    <row r="21" spans="1:7" ht="15.75">
      <c r="A21" s="394"/>
      <c r="B21" s="394"/>
      <c r="C21" s="394"/>
      <c r="D21" s="394"/>
      <c r="E21" s="394"/>
      <c r="G21" s="744">
        <f>B8-10</f>
        <v>41852</v>
      </c>
    </row>
    <row r="22" spans="1:7" ht="15.75">
      <c r="A22" s="394" t="s">
        <v>375</v>
      </c>
      <c r="B22" s="394" t="s">
        <v>380</v>
      </c>
      <c r="C22" s="394"/>
      <c r="D22" s="394"/>
      <c r="E22" s="394"/>
      <c r="G22" s="745">
        <f>IF(B8="","",MONTH(G21))</f>
        <v>8</v>
      </c>
    </row>
    <row r="23" spans="1:7" ht="15.75">
      <c r="A23" s="394"/>
      <c r="B23" s="394"/>
      <c r="C23" s="394"/>
      <c r="D23" s="394"/>
      <c r="E23" s="394"/>
      <c r="G23" s="746">
        <f>IF(B8="","",DAY(G21))</f>
        <v>1</v>
      </c>
    </row>
    <row r="24" spans="1:7" ht="15.75">
      <c r="A24" s="394" t="s">
        <v>376</v>
      </c>
      <c r="B24" s="394" t="s">
        <v>381</v>
      </c>
      <c r="C24" s="394"/>
      <c r="D24" s="394"/>
      <c r="E24" s="394"/>
      <c r="G24" s="747">
        <f>IF(B8="","",YEAR(G21))</f>
        <v>2014</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3">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37" t="s">
        <v>71</v>
      </c>
      <c r="B1" s="837"/>
      <c r="C1" s="837"/>
      <c r="D1" s="837"/>
      <c r="E1" s="837"/>
      <c r="F1" s="837"/>
      <c r="G1" s="124">
        <f>inputPrYr!D5</f>
        <v>2015</v>
      </c>
    </row>
    <row r="2" spans="2:6" s="124" customFormat="1" ht="15.75">
      <c r="B2" s="125"/>
      <c r="C2" s="125"/>
      <c r="D2" s="125"/>
      <c r="E2" s="125"/>
      <c r="F2" s="126"/>
    </row>
    <row r="3" spans="1:7" s="124" customFormat="1" ht="15.75">
      <c r="A3" s="846" t="str">
        <f>CONCATENATE("To the Clerk of ",inputPrYr!D3,", State of Kansas")</f>
        <v>To the Clerk of Montgomery County, State of Kansas</v>
      </c>
      <c r="B3" s="845"/>
      <c r="C3" s="845"/>
      <c r="D3" s="845"/>
      <c r="E3" s="845"/>
      <c r="F3" s="845"/>
      <c r="G3" s="845"/>
    </row>
    <row r="4" spans="1:6" s="124" customFormat="1" ht="15.75">
      <c r="A4" s="846" t="s">
        <v>155</v>
      </c>
      <c r="B4" s="856"/>
      <c r="C4" s="856"/>
      <c r="D4" s="856"/>
      <c r="E4" s="856"/>
      <c r="F4" s="856"/>
    </row>
    <row r="5" spans="1:6" s="124" customFormat="1" ht="15.75">
      <c r="A5" s="857" t="str">
        <f>inputPrYr!D2</f>
        <v>Liberty Township</v>
      </c>
      <c r="B5" s="856"/>
      <c r="C5" s="856"/>
      <c r="D5" s="856"/>
      <c r="E5" s="856"/>
      <c r="F5" s="856"/>
    </row>
    <row r="6" spans="1:6" s="124" customFormat="1" ht="15.75">
      <c r="A6" s="844" t="s">
        <v>153</v>
      </c>
      <c r="B6" s="845"/>
      <c r="C6" s="845"/>
      <c r="D6" s="845"/>
      <c r="E6" s="845"/>
      <c r="F6" s="845"/>
    </row>
    <row r="7" spans="1:6" s="124" customFormat="1" ht="15.75" customHeight="1">
      <c r="A7" s="846" t="s">
        <v>154</v>
      </c>
      <c r="B7" s="847"/>
      <c r="C7" s="847"/>
      <c r="D7" s="847"/>
      <c r="E7" s="847"/>
      <c r="F7" s="847"/>
    </row>
    <row r="8" spans="1:6" s="124" customFormat="1" ht="15.75" customHeight="1">
      <c r="A8" s="846" t="str">
        <f>CONCATENATE("maximum expenditures for the various funds for the year ",G1,"; and (3) the")</f>
        <v>maximum expenditures for the various funds for the year 2015; and (3) the</v>
      </c>
      <c r="B8" s="856"/>
      <c r="C8" s="856"/>
      <c r="D8" s="856"/>
      <c r="E8" s="856"/>
      <c r="F8" s="856"/>
    </row>
    <row r="9" spans="1:6" s="124" customFormat="1" ht="15.75" customHeight="1">
      <c r="A9" s="846" t="str">
        <f>CONCATENATE("Amount(s) of ",G1-1," Ad Valorem Tax are within statutory limitations for the ",G1," Budget.")</f>
        <v>Amount(s) of 2014 Ad Valorem Tax are within statutory limitations for the 2015 Budget.</v>
      </c>
      <c r="B9" s="856"/>
      <c r="C9" s="856"/>
      <c r="D9" s="856"/>
      <c r="E9" s="856"/>
      <c r="F9" s="856"/>
    </row>
    <row r="10" spans="4:6" s="124" customFormat="1" ht="15.75" customHeight="1">
      <c r="D10" s="128"/>
      <c r="E10" s="128"/>
      <c r="F10" s="128"/>
    </row>
    <row r="11" spans="3:6" s="124" customFormat="1" ht="16.5">
      <c r="C11" s="129"/>
      <c r="D11" s="841" t="str">
        <f>CONCATENATE("",G1," Adopted Budget")</f>
        <v>2015 Adopted Budget</v>
      </c>
      <c r="E11" s="842"/>
      <c r="F11" s="843"/>
    </row>
    <row r="12" spans="1:6" s="124" customFormat="1" ht="15.75">
      <c r="A12" s="130"/>
      <c r="C12" s="128"/>
      <c r="D12" s="131" t="s">
        <v>280</v>
      </c>
      <c r="E12" s="838" t="str">
        <f>CONCATENATE("Amount of ",G1-1," Ad Valorem Tax")</f>
        <v>Amount of 2014 Ad Valorem Tax</v>
      </c>
      <c r="F12" s="132" t="s">
        <v>281</v>
      </c>
    </row>
    <row r="13" spans="3:6" s="124" customFormat="1" ht="15.75">
      <c r="C13" s="132" t="s">
        <v>282</v>
      </c>
      <c r="D13" s="577" t="s">
        <v>210</v>
      </c>
      <c r="E13" s="839"/>
      <c r="F13" s="133" t="s">
        <v>283</v>
      </c>
    </row>
    <row r="14" spans="1:6" s="124" customFormat="1" ht="15.75">
      <c r="A14" s="740" t="s">
        <v>284</v>
      </c>
      <c r="B14" s="135"/>
      <c r="C14" s="136" t="s">
        <v>285</v>
      </c>
      <c r="D14" s="578" t="s">
        <v>721</v>
      </c>
      <c r="E14" s="840"/>
      <c r="F14" s="136" t="s">
        <v>287</v>
      </c>
    </row>
    <row r="15" spans="1:6" s="124" customFormat="1" ht="15.75">
      <c r="A15" s="137" t="str">
        <f>CONCATENATE("Computation to Determine Limit for ",G1,"")</f>
        <v>Computation to Determine Limit for 2015</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f>IF(gen!C61&gt;0,gen!C61,"  ")</f>
        <v>6</v>
      </c>
      <c r="D21" s="736">
        <f>IF(gen!$E$50&lt;&gt;0,gen!$E$50,"  ")</f>
        <v>6500</v>
      </c>
      <c r="E21" s="736">
        <f>IF(gen!$E$57&lt;&gt;0,gen!$E$57,0)</f>
        <v>4588</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Hall</v>
      </c>
      <c r="B25" s="148" t="str">
        <f>IF(inputPrYr!C20&gt;0,inputPrYr!C20,"  ")</f>
        <v>80-115</v>
      </c>
      <c r="C25" s="149">
        <f>IF(levypage9!C81&gt;0,levypage9!C81,"  ")</f>
        <v>7</v>
      </c>
      <c r="D25" s="736">
        <f>IF(levypage9!$E$33&lt;&gt;0,levypage9!$E$33,"  ")</f>
        <v>9500</v>
      </c>
      <c r="E25" s="736">
        <f>IF(levypage9!$E$40&lt;&gt;0,levypage9!$E$40,"  ")</f>
        <v>2844.369999999999</v>
      </c>
      <c r="F25" s="737" t="str">
        <f>IF(AND(levypage9!E40=0,$B$44&gt;=0)," ",IF(AND(E25&gt;0,$B$44=0)," ",IF(AND(E25&gt;0,$B$44&gt;0),ROUND(E25/$B$44*1000,3))))</f>
        <v> </v>
      </c>
    </row>
    <row r="26" spans="1:6" s="124" customFormat="1" ht="15.75">
      <c r="A26" s="147" t="str">
        <f>IF(inputPrYr!$B21&gt;"  ",inputPrYr!$B21,"  ")</f>
        <v>Fire Protection</v>
      </c>
      <c r="B26" s="148" t="str">
        <f>IF(inputPrYr!C21&gt;0,inputPrYr!C21,"  ")</f>
        <v>80-1503</v>
      </c>
      <c r="C26" s="149">
        <f>IF(levypage9!C81&gt;0,levypage9!C81,"  ")</f>
        <v>7</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16000</v>
      </c>
      <c r="E39" s="738">
        <f>SUM(E21:E32)</f>
        <v>7432.369999999999</v>
      </c>
      <c r="F39" s="739">
        <f>IF(SUM(F21:F32)&gt;0,SUM(F21:F32),"")</f>
      </c>
    </row>
    <row r="40" spans="1:3" s="124" customFormat="1" ht="16.5" thickTop="1">
      <c r="A40" s="137" t="s">
        <v>171</v>
      </c>
      <c r="B40" s="146"/>
      <c r="C40" s="152">
        <f>summ!D53</f>
        <v>8</v>
      </c>
    </row>
    <row r="41" spans="1:5" s="124" customFormat="1" ht="15.75">
      <c r="A41" s="137" t="s">
        <v>217</v>
      </c>
      <c r="B41" s="138"/>
      <c r="C41" s="152">
        <f>IF(nhood!C41&gt;0,nhood!C41,"")</f>
      </c>
      <c r="D41" s="158" t="s">
        <v>160</v>
      </c>
      <c r="E41" s="159" t="str">
        <f>IF(E39&gt;computation!J34,"Yes","No")</f>
        <v>No</v>
      </c>
    </row>
    <row r="42" spans="1:5" s="124" customFormat="1" ht="15.75">
      <c r="A42" s="137" t="s">
        <v>159</v>
      </c>
      <c r="B42" s="138"/>
      <c r="C42" s="152">
        <f>IF(Resolution!D50&gt;0,Resolution!D50,"")</f>
      </c>
      <c r="D42" s="160"/>
      <c r="E42" s="161"/>
    </row>
    <row r="43" spans="1:6" s="124" customFormat="1" ht="15.75">
      <c r="A43" s="142" t="s">
        <v>99</v>
      </c>
      <c r="B43" s="848" t="s">
        <v>127</v>
      </c>
      <c r="C43" s="849"/>
      <c r="D43" s="162"/>
      <c r="F43" s="130" t="s">
        <v>293</v>
      </c>
    </row>
    <row r="44" spans="1:6" s="124" customFormat="1" ht="15.75">
      <c r="A44" s="137" t="s">
        <v>100</v>
      </c>
      <c r="B44" s="850"/>
      <c r="C44" s="851"/>
      <c r="D44" s="164"/>
      <c r="F44" s="130"/>
    </row>
    <row r="45" spans="1:6" s="124" customFormat="1" ht="15.75">
      <c r="A45" s="165"/>
      <c r="B45" s="852" t="s">
        <v>126</v>
      </c>
      <c r="C45" s="853"/>
      <c r="D45" s="162"/>
      <c r="F45" s="130"/>
    </row>
    <row r="46" spans="1:6" s="124" customFormat="1" ht="15.75">
      <c r="A46" s="165" t="s">
        <v>294</v>
      </c>
      <c r="D46" s="129"/>
      <c r="F46" s="130"/>
    </row>
    <row r="47" spans="1:6" s="124" customFormat="1" ht="15.75">
      <c r="A47" s="168"/>
      <c r="D47" s="162"/>
      <c r="E47" s="129"/>
      <c r="F47" s="129"/>
    </row>
    <row r="48" spans="1:2" s="124" customFormat="1" ht="15.75">
      <c r="A48" s="169"/>
      <c r="B48" s="128"/>
    </row>
    <row r="49" spans="1:6" s="124" customFormat="1" ht="15.75">
      <c r="A49" s="165" t="s">
        <v>148</v>
      </c>
      <c r="C49" s="129" t="s">
        <v>833</v>
      </c>
      <c r="D49" s="129"/>
      <c r="E49" s="129"/>
      <c r="F49" s="129"/>
    </row>
    <row r="50" spans="1:3" s="124" customFormat="1" ht="15.75">
      <c r="A50" s="168"/>
      <c r="C50" s="130"/>
    </row>
    <row r="51" spans="1:6" s="124" customFormat="1" ht="15.75">
      <c r="A51" s="169"/>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2014</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54" t="s">
        <v>295</v>
      </c>
      <c r="D58" s="855"/>
      <c r="E58" s="855"/>
      <c r="F58" s="855"/>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Liberty Township</v>
      </c>
      <c r="D1" s="124"/>
      <c r="E1" s="124"/>
      <c r="F1" s="124"/>
      <c r="G1" s="124"/>
      <c r="H1" s="124"/>
      <c r="I1" s="124"/>
      <c r="J1" s="124">
        <f>inputPrYr!D5</f>
        <v>2015</v>
      </c>
    </row>
    <row r="2" spans="1:10" ht="15.75">
      <c r="A2" s="124"/>
      <c r="B2" s="124"/>
      <c r="C2" s="124"/>
      <c r="D2" s="124"/>
      <c r="E2" s="124"/>
      <c r="F2" s="124"/>
      <c r="G2" s="124"/>
      <c r="H2" s="124"/>
      <c r="I2" s="124"/>
      <c r="J2" s="124"/>
    </row>
    <row r="3" spans="1:10" ht="15.75">
      <c r="A3" s="859" t="str">
        <f>CONCATENATE("Computation to Determine Limit for ",J1,"")</f>
        <v>Computation to Determine Limit for 2015</v>
      </c>
      <c r="B3" s="837"/>
      <c r="C3" s="837"/>
      <c r="D3" s="837"/>
      <c r="E3" s="837"/>
      <c r="F3" s="837"/>
      <c r="G3" s="837"/>
      <c r="H3" s="837"/>
      <c r="I3" s="837"/>
      <c r="J3" s="837"/>
    </row>
    <row r="4" spans="1:10" ht="15.75">
      <c r="A4" s="124"/>
      <c r="B4" s="124"/>
      <c r="C4" s="124"/>
      <c r="D4" s="124"/>
      <c r="E4" s="837"/>
      <c r="F4" s="837"/>
      <c r="G4" s="837"/>
      <c r="H4" s="123"/>
      <c r="I4" s="124"/>
      <c r="J4" s="177" t="s">
        <v>81</v>
      </c>
    </row>
    <row r="5" spans="1:10" ht="15.75">
      <c r="A5" s="178" t="s">
        <v>82</v>
      </c>
      <c r="B5" s="124" t="str">
        <f>CONCATENATE("Total Tax Levy Amount in ",J1-1,"")</f>
        <v>Total Tax Levy Amount in 2014</v>
      </c>
      <c r="C5" s="124"/>
      <c r="D5" s="124"/>
      <c r="E5" s="179"/>
      <c r="F5" s="179"/>
      <c r="G5" s="179"/>
      <c r="H5" s="180" t="s">
        <v>15</v>
      </c>
      <c r="I5" s="179" t="s">
        <v>2</v>
      </c>
      <c r="J5" s="181">
        <f>inputPrYr!E28</f>
        <v>12246</v>
      </c>
    </row>
    <row r="6" spans="1:10" ht="15.75">
      <c r="A6" s="178" t="s">
        <v>83</v>
      </c>
      <c r="B6" s="124" t="str">
        <f>CONCATENATE("Debt Service Levy in ",J1-1,"")</f>
        <v>Debt Service Levy in 2014</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12246</v>
      </c>
    </row>
    <row r="8" spans="1:10" ht="15.75">
      <c r="A8" s="124"/>
      <c r="B8" s="124"/>
      <c r="C8" s="124"/>
      <c r="D8" s="124"/>
      <c r="E8" s="179"/>
      <c r="F8" s="179"/>
      <c r="G8" s="179"/>
      <c r="H8" s="179"/>
      <c r="I8" s="179"/>
      <c r="J8" s="179"/>
    </row>
    <row r="9" spans="1:10" ht="15.75">
      <c r="A9" s="124"/>
      <c r="B9" s="183" t="str">
        <f>CONCATENATE("",J1-1," Valuation Information for Valuation Adjustments:")</f>
        <v>2014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2014:</v>
      </c>
      <c r="C11" s="124"/>
      <c r="D11" s="124"/>
      <c r="E11" s="180"/>
      <c r="F11" s="180" t="s">
        <v>15</v>
      </c>
      <c r="G11" s="181">
        <f>inputOth!E8</f>
        <v>0</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2014:</v>
      </c>
      <c r="C13" s="124"/>
      <c r="D13" s="124"/>
      <c r="E13" s="180"/>
      <c r="F13" s="180"/>
      <c r="G13" s="185"/>
      <c r="H13" s="185"/>
      <c r="I13" s="179"/>
      <c r="J13" s="179"/>
    </row>
    <row r="14" spans="1:10" ht="15.75">
      <c r="A14" s="124"/>
      <c r="B14" s="124" t="s">
        <v>88</v>
      </c>
      <c r="C14" s="124" t="str">
        <f>CONCATENATE("Personal Property ",J1-1,"")</f>
        <v>Personal Property 2014</v>
      </c>
      <c r="D14" s="178" t="s">
        <v>15</v>
      </c>
      <c r="E14" s="181">
        <f>inputOth!E9</f>
        <v>64795</v>
      </c>
      <c r="F14" s="180"/>
      <c r="G14" s="179"/>
      <c r="H14" s="179"/>
      <c r="I14" s="185"/>
      <c r="J14" s="179"/>
    </row>
    <row r="15" spans="1:10" ht="15.75">
      <c r="A15" s="178"/>
      <c r="B15" s="124" t="s">
        <v>89</v>
      </c>
      <c r="C15" s="124" t="str">
        <f>CONCATENATE("Personal Property ",J1-2,"")</f>
        <v>Personal Property 2013</v>
      </c>
      <c r="D15" s="178" t="s">
        <v>84</v>
      </c>
      <c r="E15" s="184">
        <f>inputOth!E11</f>
        <v>102655</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2014:</v>
      </c>
      <c r="C18" s="124"/>
      <c r="D18" s="124"/>
      <c r="E18" s="179"/>
      <c r="F18" s="180" t="s">
        <v>15</v>
      </c>
      <c r="G18" s="181">
        <f>inputOth!E10</f>
        <v>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0</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1,2014</v>
      </c>
      <c r="C22" s="124"/>
      <c r="D22" s="124"/>
      <c r="E22" s="181">
        <f>inputOth!E7</f>
        <v>8270882</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8270882</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12246</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2015</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12246</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Liberty Township</v>
      </c>
      <c r="C1" s="124"/>
      <c r="D1" s="124"/>
      <c r="E1" s="124"/>
      <c r="F1" s="124"/>
      <c r="G1" s="124"/>
      <c r="H1" s="124"/>
      <c r="I1" s="124"/>
      <c r="J1" s="191">
        <f>inputPrYr!D5</f>
        <v>2015</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55"/>
      <c r="D6" s="855"/>
      <c r="E6" s="855"/>
      <c r="F6" s="855"/>
      <c r="G6" s="855"/>
      <c r="H6" s="855"/>
      <c r="I6" s="855"/>
      <c r="J6" s="855"/>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41" t="str">
        <f>CONCATENATE("Allocation for Year ",J1,"")</f>
        <v>Allocation for Year 2015</v>
      </c>
      <c r="H9" s="862"/>
      <c r="I9" s="862"/>
      <c r="J9" s="863"/>
      <c r="K9" s="192"/>
      <c r="L9" s="192"/>
    </row>
    <row r="10" spans="2:12" ht="15.7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75">
      <c r="B11" s="147" t="str">
        <f>inputPrYr!B16</f>
        <v>General</v>
      </c>
      <c r="C11" s="202"/>
      <c r="D11" s="147">
        <f>IF(inputPrYr!E16&gt;0,inputPrYr!E16,"  ")</f>
        <v>5068</v>
      </c>
      <c r="E11" s="203">
        <f>IF(inputOth!D17&gt;0,inputOth!D17,"  ")</f>
        <v>0.631</v>
      </c>
      <c r="F11" s="204"/>
      <c r="G11" s="147">
        <f>IF(inputPrYr!E16=0,0,G25-SUM(G12:G22))</f>
        <v>430</v>
      </c>
      <c r="H11" s="205"/>
      <c r="I11" s="147">
        <f>IF(inputPrYr!E16=0,0,I27-SUM(I12:I22))</f>
        <v>12</v>
      </c>
      <c r="J11" s="147">
        <f>IF(inputPrYr!E16=0,0,J29-SUM(J12:J22))</f>
        <v>32</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Hall</v>
      </c>
      <c r="C15" s="202"/>
      <c r="D15" s="147">
        <f>IF(inputPrYr!E20&gt;=0,inputPrYr!E20,"  ")</f>
        <v>7178</v>
      </c>
      <c r="E15" s="203">
        <f>IF(inputOth!D21&gt;0,inputOth!D21,"  ")</f>
        <v>0.894</v>
      </c>
      <c r="F15" s="204"/>
      <c r="G15" s="147">
        <f>IF(inputPrYr!E20=0,0,ROUND(D15*$G$31,0))</f>
        <v>609</v>
      </c>
      <c r="H15" s="205"/>
      <c r="I15" s="147">
        <f>IF(inputPrYr!$E$20=0,0,ROUND($D$15*$I$33,0))</f>
        <v>17</v>
      </c>
      <c r="J15" s="147">
        <f>IF(inputPrYr!E20=0,0,ROUND($D15*$J$35,0))</f>
        <v>45</v>
      </c>
      <c r="K15" s="192"/>
      <c r="L15" s="192"/>
    </row>
    <row r="16" spans="2:12" ht="15.75">
      <c r="B16" s="147" t="str">
        <f>IF(inputPrYr!$B21&gt;"  ",inputPrYr!$B21,"  ")</f>
        <v>Fire Protection</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12246</v>
      </c>
      <c r="E23" s="209">
        <f>SUM(E11:E22)</f>
        <v>1.525</v>
      </c>
      <c r="F23" s="210"/>
      <c r="G23" s="208">
        <f t="shared" si="0"/>
        <v>1039</v>
      </c>
      <c r="H23" s="208"/>
      <c r="I23" s="208">
        <f t="shared" si="0"/>
        <v>29</v>
      </c>
      <c r="J23" s="208">
        <f t="shared" si="0"/>
        <v>77</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1039</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29</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77</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0.08484403070390331</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0.002368120202515107</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0.006287767434264249</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2015</v>
      </c>
    </row>
    <row r="2" spans="1:6" ht="15.75">
      <c r="A2" s="221" t="str">
        <f>inputPrYr!D2</f>
        <v>Liberty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37" t="s">
        <v>172</v>
      </c>
      <c r="B5" s="837"/>
      <c r="C5" s="837"/>
      <c r="D5" s="837"/>
      <c r="E5" s="837"/>
      <c r="F5" s="837"/>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2014-07-18T15:35:16Z</cp:lastPrinted>
  <dcterms:created xsi:type="dcterms:W3CDTF">1998-08-26T16:30:41Z</dcterms:created>
  <dcterms:modified xsi:type="dcterms:W3CDTF">2014-07-18T15:37:44Z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