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<sst xmlns="http://schemas.openxmlformats.org/spreadsheetml/2006/main" count="1379" uniqueCount="824">
  <si>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</si>
  <si>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</si>
  <si>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</si>
  <si>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</si>
  <si>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</si>
  <si>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</si>
  <si>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</si>
  <si>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</si>
  <si>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</si>
  <si>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</si>
  <si>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</si>
  <si>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</si>
  <si>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</si>
  <si>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</si>
  <si>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</si>
  <si>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</si>
  <si>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</si>
  <si>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</si>
  <si>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</si>
  <si>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</si>
  <si>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</si>
  <si>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</si>
  <si>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</si>
  <si>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</si>
  <si>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</si>
  <si>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</si>
  <si>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</si>
  <si>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</si>
  <si>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</si>
  <si>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</si>
  <si>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</si>
  <si>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</si>
  <si>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</si>
  <si>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</si>
  <si>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</si>
  <si>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</si>
  <si>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</si>
  <si>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</si>
  <si>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</si>
  <si>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</si>
  <si>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</si>
  <si>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</si>
  <si>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</si>
  <si>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</si>
  <si>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</si>
  <si>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</si>
  <si>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</si>
  <si>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</si>
  <si>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</si>
  <si>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</si>
  <si>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</si>
  <si>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</si>
  <si>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</si>
  <si>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</si>
  <si>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</si>
  <si>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</si>
  <si>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</si>
  <si>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</si>
  <si>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</si>
  <si>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</si>
  <si>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</si>
  <si>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</si>
  <si>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</si>
  <si>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</si>
  <si>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</si>
  <si>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</si>
  <si>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</si>
  <si>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</si>
  <si>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</si>
  <si>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</si>
  <si>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</si>
  <si>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</si>
  <si>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</si>
  <si>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</si>
  <si>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</si>
  <si>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</si>
  <si>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</si>
  <si>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</si>
  <si>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</si>
  <si>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</si>
  <si>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</si>
  <si>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</si>
  <si>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</si>
  <si>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</si>
  <si>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</si>
  <si>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</si>
  <si>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</si>
  <si>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</si>
  <si>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</si>
  <si>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</si>
  <si>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</si>
  <si>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</si>
  <si>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</si>
  <si>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</si>
  <si>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</si>
  <si>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</si>
  <si>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</si>
  <si>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</si>
  <si>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</si>
  <si>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</si>
  <si>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</si>
  <si>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</si>
  <si>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</si>
  <si>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</si>
  <si>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</si>
  <si>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</si>
  <si>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</si>
  <si>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</si>
  <si>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</si>
  <si>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</si>
  <si>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</si>
  <si>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</si>
  <si>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</si>
  <si>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</si>
  <si>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</si>
  <si>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</si>
  <si>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</si>
  <si>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</si>
  <si>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</si>
  <si>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</si>
  <si>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</si>
  <si>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</si>
  <si>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</si>
  <si>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</si>
  <si>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</si>
  <si>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</si>
  <si>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</si>
  <si>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</si>
  <si>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</si>
  <si>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</si>
  <si>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</si>
  <si>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</si>
  <si>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</si>
  <si>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</si>
  <si>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</si>
  <si>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</si>
  <si>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</si>
  <si>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</si>
  <si>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</si>
  <si>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</si>
  <si>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</si>
  <si>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</si>
  <si>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</si>
  <si>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</si>
  <si>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</si>
  <si>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</si>
  <si>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</si>
  <si>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</si>
  <si>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</si>
  <si>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</si>
  <si>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</si>
  <si>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</si>
  <si>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</si>
  <si>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</si>
  <si>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</si>
  <si>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</si>
  <si>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</si>
  <si>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</si>
  <si>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</si>
  <si>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</si>
  <si>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</si>
  <si>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</si>
  <si>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</si>
  <si>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</si>
  <si>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</si>
  <si>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</si>
  <si>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</si>
  <si>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</si>
  <si>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</si>
  <si>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</si>
  <si>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</si>
  <si>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</si>
  <si>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</si>
  <si>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</si>
  <si>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</si>
  <si>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</si>
  <si>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</si>
  <si>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</si>
  <si>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</si>
  <si>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</si>
  <si>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</si>
  <si>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</si>
  <si>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</si>
  <si>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</si>
  <si>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</si>
  <si>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</si>
  <si>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</si>
  <si>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</si>
  <si>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</si>
  <si>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</si>
  <si>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</si>
  <si>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</si>
  <si>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</si>
  <si>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</si>
  <si>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</si>
  <si>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</si>
  <si>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</si>
  <si>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</si>
  <si>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</si>
  <si>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</si>
  <si>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</si>
  <si>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</si>
  <si>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</si>
  <si>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</si>
  <si>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</si>
  <si>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</si>
  <si>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</si>
  <si>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</si>
  <si>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</si>
  <si>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</si>
  <si>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</si>
  <si>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</si>
  <si>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</si>
  <si>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</si>
  <si>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</si>
  <si>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</si>
  <si>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</si>
  <si>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</si>
  <si>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</si>
  <si>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</si>
  <si>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</si>
  <si>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</si>
  <si>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</si>
  <si>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</si>
  <si>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</si>
  <si>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</si>
  <si>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</si>
  <si>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</si>
  <si>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</si>
  <si>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</si>
  <si>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</si>
  <si>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</si>
  <si>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</si>
  <si>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</si>
  <si>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</si>
  <si>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</si>
  <si>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</si>
  <si>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</si>
  <si>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</si>
  <si>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</si>
  <si>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</si>
  <si>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</si>
  <si>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</si>
  <si>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</si>
  <si>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</si>
  <si>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</si>
  <si>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</si>
  <si>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</si>
  <si>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</si>
  <si>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</si>
  <si>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</si>
  <si>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</si>
  <si>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</si>
  <si>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</si>
  <si>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</si>
  <si>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</si>
  <si>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</si>
  <si>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</si>
  <si>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</si>
  <si>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</si>
  <si>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</si>
  <si>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</si>
  <si>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</si>
  <si>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</si>
  <si>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</si>
  <si>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</si>
  <si>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</si>
  <si>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</si>
  <si>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</si>
  <si>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</si>
  <si>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</si>
  <si>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</si>
  <si>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</si>
  <si>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</si>
  <si>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</si>
  <si>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</si>
  <si>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</si>
  <si>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</si>
  <si>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</si>
  <si>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</si>
  <si>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</si>
  <si>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</si>
  <si>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</si>
  <si>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</si>
  <si>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</si>
  <si>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</si>
  <si>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</si>
  <si>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</si>
  <si>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</si>
  <si>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</si>
  <si>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</si>
  <si>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</si>
  <si>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</si>
  <si>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</si>
  <si>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</si>
  <si>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</si>
  <si>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</si>
  <si>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</si>
  <si>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</si>
  <si>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</si>
  <si>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</si>
  <si>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</si>
  <si>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</si>
  <si>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</si>
  <si>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</si>
  <si>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</si>
  <si>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</si>
  <si>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</si>
  <si>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</si>
  <si>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</si>
  <si>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</si>
  <si>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</si>
  <si>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</si>
  <si>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</si>
  <si>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</si>
  <si>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</si>
  <si>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</si>
  <si>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</si>
  <si>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</si>
  <si>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</si>
  <si>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</si>
  <si>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</si>
  <si>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</si>
  <si>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</si>
  <si>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</si>
  <si>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</si>
  <si>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</si>
  <si>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</si>
  <si>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</si>
  <si>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</si>
  <si>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</si>
  <si>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</si>
  <si>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</si>
  <si>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</si>
  <si>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</si>
  <si>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</si>
  <si>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</si>
  <si>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</si>
  <si>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</si>
  <si>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</si>
  <si>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</si>
  <si>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</si>
  <si>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</si>
  <si>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</si>
  <si>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</si>
  <si>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</si>
  <si>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</si>
  <si>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</si>
  <si>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</si>
  <si>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</si>
  <si>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</si>
  <si>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</si>
  <si>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</si>
  <si>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</si>
  <si>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</si>
  <si>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</si>
  <si>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</si>
  <si>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</si>
  <si>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</si>
  <si>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</si>
  <si>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</si>
  <si>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</si>
  <si>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</si>
  <si>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</si>
  <si>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</si>
  <si>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</si>
  <si>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</si>
  <si>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</si>
  <si>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</si>
  <si>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</si>
  <si>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</si>
  <si>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</si>
  <si>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</si>
  <si>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</si>
  <si>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</si>
  <si>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</si>
  <si>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</si>
  <si>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</si>
  <si>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</si>
  <si>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</si>
  <si>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</si>
  <si>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</si>
  <si>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</si>
  <si>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</si>
  <si>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</si>
  <si>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</si>
  <si>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</si>
  <si>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</si>
  <si>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</si>
  <si>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</si>
  <si>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</si>
  <si>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</si>
  <si>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</si>
  <si>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</si>
  <si>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</si>
  <si>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</si>
  <si>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</si>
  <si>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</si>
  <si>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</si>
  <si>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</si>
  <si>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</si>
  <si>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</si>
  <si>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</si>
  <si>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</si>
  <si>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</si>
  <si>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</si>
  <si>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</si>
  <si>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</si>
  <si>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</si>
  <si>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</si>
  <si>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</si>
  <si>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</si>
  <si>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</si>
  <si>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</si>
  <si>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</si>
  <si>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</si>
  <si>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</si>
  <si>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</si>
  <si>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</si>
  <si>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</si>
  <si>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</si>
  <si>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</si>
  <si>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</si>
  <si>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</si>
  <si>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</si>
  <si>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</si>
  <si>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</si>
  <si>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</si>
  <si>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</si>
  <si>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</si>
  <si>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</si>
  <si>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</si>
  <si>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</si>
  <si>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</si>
  <si>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</si>
  <si>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</si>
  <si>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</si>
  <si>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</si>
  <si>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</si>
  <si>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</si>
  <si>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</si>
  <si>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</si>
  <si>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</si>
  <si>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</si>
  <si>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</si>
  <si>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</si>
  <si>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</si>
  <si>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</si>
  <si>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</si>
  <si>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</si>
  <si>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</si>
  <si>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</si>
  <si>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</si>
  <si>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</si>
  <si>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</si>
  <si>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</si>
  <si>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</si>
  <si>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</si>
  <si>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</si>
  <si>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</si>
  <si>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</si>
  <si>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</si>
  <si>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</si>
  <si>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</si>
  <si>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</si>
  <si>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</si>
  <si>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</si>
  <si>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</si>
  <si>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</si>
  <si>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</si>
  <si>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</si>
  <si>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</si>
  <si>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</si>
  <si>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</si>
  <si>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</si>
  <si>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</si>
  <si>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</si>
  <si>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</si>
  <si>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</si>
  <si>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</si>
  <si>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</si>
  <si>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</si>
  <si>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</si>
  <si>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</si>
  <si>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</si>
  <si>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</si>
  <si>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</si>
  <si>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</si>
  <si>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</si>
  <si>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</si>
  <si>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</si>
  <si>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</si>
  <si>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</si>
  <si>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</si>
  <si>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</si>
  <si>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</si>
  <si>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</si>
  <si>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</si>
  <si>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</si>
  <si>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</si>
  <si>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</si>
  <si>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</si>
  <si>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</si>
  <si>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</si>
  <si>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</si>
  <si>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</si>
  <si>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</si>
  <si>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</si>
  <si>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</si>
  <si>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</si>
  <si>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</si>
  <si>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</si>
  <si>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</si>
  <si>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</si>
  <si>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</si>
  <si>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</si>
  <si>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</si>
  <si>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</si>
  <si>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</si>
  <si>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</si>
  <si>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</si>
  <si>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</si>
  <si>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</si>
  <si>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</si>
  <si>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</si>
  <si>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</si>
  <si>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</si>
  <si>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</si>
  <si>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</si>
  <si>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</si>
  <si>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</si>
  <si>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</si>
  <si>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</si>
  <si>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</si>
  <si>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</si>
  <si>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</si>
  <si>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</si>
  <si>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</si>
  <si>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</si>
  <si>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</si>
  <si>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</si>
  <si>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</si>
  <si>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</si>
  <si>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</si>
  <si>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</si>
  <si>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</si>
  <si>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</si>
  <si>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</si>
  <si>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</si>
  <si>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</si>
  <si>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</si>
  <si>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</si>
  <si>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</si>
  <si>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</si>
  <si>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</si>
  <si>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</si>
  <si>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</si>
  <si>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</si>
  <si>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</si>
  <si>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</si>
  <si>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</si>
  <si>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</si>
  <si>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</si>
  <si>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</si>
  <si>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</si>
  <si>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</si>
  <si>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</si>
  <si>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</si>
  <si>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</si>
  <si>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</si>
  <si>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</si>
  <si>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</si>
  <si>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</si>
  <si>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</si>
  <si>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</si>
  <si>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</si>
  <si>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</si>
  <si>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</si>
  <si>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</si>
  <si>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</si>
  <si>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</si>
  <si>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</si>
  <si>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</si>
  <si>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</si>
  <si>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</si>
  <si>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</si>
  <si>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</si>
  <si>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</si>
  <si>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</si>
  <si>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</si>
  <si>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</si>
  <si>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</si>
  <si>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</si>
  <si>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</si>
  <si>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</si>
  <si>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</si>
  <si>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</si>
  <si>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</si>
  <si>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</si>
  <si>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</si>
  <si>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</si>
  <si>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</si>
  <si>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</si>
  <si>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</si>
  <si>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</si>
  <si>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</si>
  <si>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</si>
  <si>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</si>
  <si>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</si>
  <si>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</si>
  <si>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</si>
  <si>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</si>
  <si>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</si>
  <si>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</si>
  <si>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</si>
  <si>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</si>
  <si>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</si>
  <si>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</si>
  <si>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</si>
  <si>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</si>
  <si>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</si>
  <si>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</si>
  <si>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</si>
  <si>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</si>
  <si>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</si>
  <si>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</si>
  <si>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</si>
  <si>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</si>
  <si>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</si>
  <si>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</si>
  <si>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</si>
  <si>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</si>
  <si>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</si>
  <si>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</si>
  <si>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</si>
  <si>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</si>
  <si>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</si>
  <si>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</si>
  <si>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</si>
  <si>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</si>
  <si>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</si>
  <si>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</si>
  <si>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</si>
  <si>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</si>
  <si>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</si>
  <si>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</si>
  <si>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</si>
  <si>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</si>
  <si>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</si>
  <si>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</si>
  <si>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</si>
  <si>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</si>
  <si>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</si>
  <si>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</si>
  <si>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</si>
  <si>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</si>
  <si>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</si>
  <si>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</si>
  <si>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</si>
  <si>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</si>
  <si>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</si>
  <si>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</si>
  <si>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</si>
  <si>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</si>
  <si>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</si>
  <si>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</si>
  <si>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</si>
  <si>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</si>
  <si>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</si>
  <si>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</si>
  <si>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</si>
  <si>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</si>
  <si>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</si>
  <si>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</si>
  <si>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</si>
  <si>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</si>
  <si>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</si>
  <si>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</si>
  <si>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</si>
  <si>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</si>
  <si>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</si>
  <si>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</si>
  <si>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</si>
  <si>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</si>
  <si>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</si>
  <si>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</si>
  <si>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</si>
  <si>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</si>
  <si>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</si>
  <si>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</si>
  <si>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</si>
  <si>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</si>
  <si>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</si>
  <si>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</si>
  <si>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</si>
  <si>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</si>
  <si>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</si>
  <si>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</si>
  <si>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</si>
  <si>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</si>
  <si>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</si>
  <si>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</si>
  <si>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</si>
  <si>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</si>
  <si>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</si>
  <si>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</si>
  <si>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</si>
  <si>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</si>
  <si>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</si>
  <si>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</si>
  <si>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</si>
  <si>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</si>
  <si>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</si>
  <si>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</si>
  <si>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</si>
  <si>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</si>
  <si>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</si>
  <si>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</si>
  <si>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</si>
  <si>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</si>
  <si>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</si>
  <si>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</si>
  <si>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</si>
  <si>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</si>
  <si>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</si>
  <si>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</si>
  <si>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</si>
  <si>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</si>
  <si>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</si>
  <si>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</si>
  <si>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</si>
  <si>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</si>
  <si>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</si>
  <si>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</si>
  <si>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</si>
  <si>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</si>
  <si>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</si>
  <si>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</si>
  <si>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</si>
  <si>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</si>
  <si>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</si>
  <si>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</si>
  <si>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</si>
  <si>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</si>
  <si>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</si>
  <si>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</si>
  <si>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</si>
  <si>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</si>
  <si>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</si>
  <si>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</si>
  <si>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</si>
  <si>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</si>
  <si>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</si>
  <si>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</si>
  <si>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</si>
  <si>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</si>
  <si>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</si>
  <si>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</si>
  <si>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</si>
  <si>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</si>
  <si>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</si>
  <si>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</si>
  <si>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</si>
  <si>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</si>
  <si>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</si>
  <si>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</si>
  <si>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</si>
  <si>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</si>
  <si>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</si>
  <si>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</si>
  <si>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</si>
  <si>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</si>
  <si>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</si>
  <si>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</si>
  <si>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</si>
  <si>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</si>
  <si>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</si>
  <si>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</si>
  <si>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</si>
  <si>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</si>
  <si>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</si>
  <si>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</si>
  <si>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</si>
  <si>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</si>
  <si>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</si>
  <si>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</si>
  <si>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</si>
  <si>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</si>
  <si>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</si>
  <si>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</si>
  <si>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</si>
  <si>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</si>
  <si>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</si>
  <si>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</si>
  <si>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</si>
  <si>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</si>
  <si>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</si>
  <si>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</si>
  <si>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</si>
  <si>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</si>
  <si>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</si>
  <si>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</si>
  <si>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</si>
  <si>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</si>
  <si>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</si>
  <si>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</si>
  <si>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</si>
  <si>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</si>
  <si>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</si>
  <si>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</si>
  <si>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Contractual</t>
  </si>
  <si>
    <t>KINGMAN COUNTY</t>
  </si>
  <si>
    <t>KINGMAN TOWNSHIP</t>
  </si>
  <si>
    <t xml:space="preserve">Cemetery </t>
  </si>
  <si>
    <t>Nashville  Fire Dept,.</t>
  </si>
  <si>
    <t>Cunningham Fire Dept.</t>
  </si>
  <si>
    <t>State of KS - Fema</t>
  </si>
  <si>
    <t>Fire Protection - Nashville Cy</t>
  </si>
  <si>
    <t>Noxious Weed</t>
  </si>
  <si>
    <t>Slider-Watercraft(HB2422)</t>
  </si>
  <si>
    <t>August 15, 2014</t>
  </si>
  <si>
    <t xml:space="preserve">8:00 p.m. </t>
  </si>
  <si>
    <t>Kingman Township Bldg.</t>
  </si>
  <si>
    <t>RESOLUTION NO.______1____________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</si>
</sst>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KINGMAN TOWNSHIP</v>
      </c>
      <c r="B1" s="179"/>
      <c r="C1" s="179"/>
      <c r="D1" s="179"/>
      <c r="E1" s="179"/>
      <c r="F1" s="179"/>
      <c r="G1" s="179"/>
      <c r="H1" s="179"/>
      <c r="I1" s="14"/>
      <c r="J1" s="14"/>
      <c r="K1" s="15">
        <f>inputPrYr!D5</f>
        <v>2015</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2014</v>
      </c>
      <c r="I6" s="188"/>
      <c r="J6" s="187">
        <f>K1</f>
        <v>2015</v>
      </c>
      <c r="K6" s="188"/>
    </row>
    <row r="7" spans="1:11" ht="15.75">
      <c r="A7" s="189" t="s">
        <v>59</v>
      </c>
      <c r="B7" s="190" t="s">
        <v>60</v>
      </c>
      <c r="C7" s="190" t="s">
        <v>29</v>
      </c>
      <c r="D7" s="190" t="s">
        <v>61</v>
      </c>
      <c r="E7" s="191" t="str">
        <f>CONCATENATE("Jan 1,",K1-1,"")</f>
        <v>Jan 1,2014</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1,2014</v>
      </c>
      <c r="G23" s="190">
        <f>K1-1</f>
        <v>2014</v>
      </c>
      <c r="H23" s="190">
        <f>K1</f>
        <v>2015</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31">
      <selection activeCell="I9" sqref="I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KINGMAN TOWNSHIP</v>
      </c>
      <c r="C1" s="14"/>
      <c r="D1" s="14"/>
      <c r="E1" s="15">
        <f>inputPrYr!D5</f>
        <v>2015</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2013</v>
      </c>
      <c r="D5" s="417" t="str">
        <f>CONCATENATE("Estimate ",$E$1-1,"")</f>
        <v>Estimate 2014</v>
      </c>
      <c r="E5" s="26" t="str">
        <f>CONCATENATE("Year ",$E$1,"")</f>
        <v>Year 2015</v>
      </c>
    </row>
    <row r="6" spans="2:5" ht="15.75">
      <c r="B6" s="27" t="s">
        <v>122</v>
      </c>
      <c r="C6" s="29">
        <v>181</v>
      </c>
      <c r="D6" s="418">
        <f>C51</f>
        <v>193.26000000000022</v>
      </c>
      <c r="E6" s="32">
        <f>D51</f>
        <v>193.26000000000022</v>
      </c>
    </row>
    <row r="7" spans="2:5" ht="15.75">
      <c r="B7" s="27" t="s">
        <v>124</v>
      </c>
      <c r="C7" s="418"/>
      <c r="D7" s="418"/>
      <c r="E7" s="33"/>
    </row>
    <row r="8" spans="2:5" ht="15.75">
      <c r="B8" s="27" t="s">
        <v>16</v>
      </c>
      <c r="C8" s="29">
        <v>6133</v>
      </c>
      <c r="D8" s="418">
        <f>inputPrYr!E16</f>
        <v>6443</v>
      </c>
      <c r="E8" s="33" t="s">
        <v>301</v>
      </c>
    </row>
    <row r="9" spans="2:5" ht="15.75">
      <c r="B9" s="27" t="s">
        <v>17</v>
      </c>
      <c r="C9" s="29">
        <v>0.26</v>
      </c>
      <c r="D9" s="29"/>
      <c r="E9" s="34"/>
    </row>
    <row r="10" spans="2:5" ht="15.75">
      <c r="B10" s="27" t="s">
        <v>18</v>
      </c>
      <c r="C10" s="29">
        <v>1207</v>
      </c>
      <c r="D10" s="29">
        <v>902</v>
      </c>
      <c r="E10" s="32">
        <f>mvalloc!G11</f>
        <v>910</v>
      </c>
    </row>
    <row r="11" spans="2:5" ht="15.75">
      <c r="B11" s="27" t="s">
        <v>19</v>
      </c>
      <c r="C11" s="29">
        <v>29</v>
      </c>
      <c r="D11" s="29">
        <v>20</v>
      </c>
      <c r="E11" s="32">
        <f>mvalloc!I11</f>
        <v>24</v>
      </c>
    </row>
    <row r="12" spans="2:5" ht="15.75">
      <c r="B12" s="35" t="s">
        <v>72</v>
      </c>
      <c r="C12" s="29">
        <v>218</v>
      </c>
      <c r="D12" s="29">
        <v>210</v>
      </c>
      <c r="E12" s="32">
        <f>mvalloc!J11</f>
        <v>194</v>
      </c>
    </row>
    <row r="13" spans="2:5" ht="15.75">
      <c r="B13" s="35" t="s">
        <v>165</v>
      </c>
      <c r="C13" s="29"/>
      <c r="D13" s="29"/>
      <c r="E13" s="32">
        <f>inputOth!E34</f>
        <v>0</v>
      </c>
    </row>
    <row r="14" spans="2:5" ht="15.75">
      <c r="B14" s="35" t="s">
        <v>819</v>
      </c>
      <c r="C14" s="29"/>
      <c r="D14" s="29"/>
      <c r="E14" s="32">
        <f>mvalloc!K11</f>
        <v>29</v>
      </c>
    </row>
    <row r="15" spans="2:5" ht="15.75">
      <c r="B15" s="35"/>
      <c r="C15" s="29"/>
      <c r="D15" s="29"/>
      <c r="E15" s="36"/>
    </row>
    <row r="16" spans="2:5" ht="15.75">
      <c r="B16" s="27" t="s">
        <v>20</v>
      </c>
      <c r="C16" s="29"/>
      <c r="D16" s="29"/>
      <c r="E16" s="32">
        <f>inputOth!E12</f>
        <v>0</v>
      </c>
    </row>
    <row r="17" spans="2:5" ht="15.75">
      <c r="B17" s="37" t="s">
        <v>816</v>
      </c>
      <c r="C17" s="29">
        <v>2576</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10163.26</v>
      </c>
      <c r="D26" s="420">
        <f>SUM(D8:D24)</f>
        <v>7575</v>
      </c>
      <c r="E26" s="42">
        <f>SUM(E8:E24)</f>
        <v>1157</v>
      </c>
    </row>
    <row r="27" spans="2:5" ht="15.75">
      <c r="B27" s="43" t="s">
        <v>24</v>
      </c>
      <c r="C27" s="420">
        <f>C26+C6</f>
        <v>10344.26</v>
      </c>
      <c r="D27" s="420">
        <f>D26+D6</f>
        <v>7768.26</v>
      </c>
      <c r="E27" s="42">
        <f>E26+E6</f>
        <v>1350.2600000000002</v>
      </c>
    </row>
    <row r="28" spans="2:5" ht="15.75">
      <c r="B28" s="27" t="s">
        <v>25</v>
      </c>
      <c r="C28" s="418"/>
      <c r="D28" s="418"/>
      <c r="E28" s="32"/>
    </row>
    <row r="29" spans="2:5" ht="15.75">
      <c r="B29" s="37"/>
      <c r="C29" s="29"/>
      <c r="D29" s="29"/>
      <c r="E29" s="34"/>
    </row>
    <row r="30" spans="2:5" ht="15.75">
      <c r="B30" s="38" t="s">
        <v>105</v>
      </c>
      <c r="C30" s="29">
        <v>450</v>
      </c>
      <c r="D30" s="29">
        <v>600</v>
      </c>
      <c r="E30" s="34">
        <v>600</v>
      </c>
    </row>
    <row r="31" spans="2:5" ht="15.75">
      <c r="B31" s="38" t="s">
        <v>129</v>
      </c>
      <c r="C31" s="29">
        <v>454</v>
      </c>
      <c r="D31" s="29">
        <v>977</v>
      </c>
      <c r="E31" s="34">
        <v>977</v>
      </c>
    </row>
    <row r="32" spans="2:5" ht="15.75">
      <c r="B32" s="38" t="s">
        <v>106</v>
      </c>
      <c r="C32" s="29">
        <v>472</v>
      </c>
      <c r="D32" s="29">
        <v>900</v>
      </c>
      <c r="E32" s="34">
        <v>900</v>
      </c>
    </row>
    <row r="33" spans="2:5" ht="15.75">
      <c r="B33" s="38" t="s">
        <v>36</v>
      </c>
      <c r="C33" s="29" t="s">
        <v>289</v>
      </c>
      <c r="D33" s="29">
        <v>1004</v>
      </c>
      <c r="E33" s="34">
        <v>1004</v>
      </c>
    </row>
    <row r="34" spans="2:5" ht="15.75">
      <c r="B34" s="37" t="s">
        <v>107</v>
      </c>
      <c r="C34" s="29">
        <v>1682</v>
      </c>
      <c r="D34" s="29"/>
      <c r="E34" s="34"/>
    </row>
    <row r="35" spans="2:5" ht="15.75">
      <c r="B35" s="37" t="s">
        <v>130</v>
      </c>
      <c r="C35" s="29">
        <v>407</v>
      </c>
      <c r="D35" s="29"/>
      <c r="E35" s="34"/>
    </row>
    <row r="36" spans="2:5" ht="15.75">
      <c r="B36" s="38" t="s">
        <v>132</v>
      </c>
      <c r="C36" s="29">
        <v>4248</v>
      </c>
      <c r="D36" s="29">
        <v>1273</v>
      </c>
      <c r="E36" s="34">
        <f>1337-128</f>
        <v>1209</v>
      </c>
    </row>
    <row r="37" spans="2:5" ht="15.75">
      <c r="B37" s="38" t="s">
        <v>809</v>
      </c>
      <c r="C37" s="29">
        <v>105</v>
      </c>
      <c r="D37" s="29"/>
      <c r="E37" s="34"/>
    </row>
    <row r="38" spans="2:5" ht="15.75">
      <c r="B38" s="37" t="s">
        <v>813</v>
      </c>
      <c r="C38" s="29"/>
      <c r="D38" s="29">
        <v>2200</v>
      </c>
      <c r="E38" s="34">
        <v>2200</v>
      </c>
    </row>
    <row r="39" spans="2:5" ht="15.75">
      <c r="B39" s="38" t="s">
        <v>817</v>
      </c>
      <c r="C39" s="29">
        <v>2333</v>
      </c>
      <c r="D39" s="29"/>
      <c r="E39" s="34"/>
    </row>
    <row r="40" spans="2:5" ht="15.75">
      <c r="B40" s="38" t="s">
        <v>810</v>
      </c>
      <c r="C40" s="29"/>
      <c r="D40" s="29">
        <v>350</v>
      </c>
      <c r="E40" s="34">
        <v>350</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271</v>
      </c>
      <c r="E47" s="46">
        <f>nhood!E6</f>
        <v>335</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10151</v>
      </c>
      <c r="D50" s="412">
        <f>SUM(D29:D48)</f>
        <v>7575</v>
      </c>
      <c r="E50" s="47">
        <f>SUM(E29:E43,E45,E47:E48)</f>
        <v>7575</v>
      </c>
    </row>
    <row r="51" spans="2:5" ht="15.75">
      <c r="B51" s="27" t="s">
        <v>123</v>
      </c>
      <c r="C51" s="413">
        <f>C27-C50</f>
        <v>193.26000000000022</v>
      </c>
      <c r="D51" s="413">
        <f>SUM(D27-D50)</f>
        <v>193.26000000000022</v>
      </c>
      <c r="E51" s="33" t="s">
        <v>301</v>
      </c>
    </row>
    <row r="52" spans="2:6" ht="15.75">
      <c r="B52" s="48" t="str">
        <f>CONCATENATE("",E1-2,"/",E1-1," Budget Authority Amount:")</f>
        <v>2013/2014 Budget Authority Amount:</v>
      </c>
      <c r="C52" s="143">
        <v>10151</v>
      </c>
      <c r="D52" s="172">
        <f>inputPrYr!D16</f>
        <v>7575</v>
      </c>
      <c r="E52" s="33" t="s">
        <v>301</v>
      </c>
      <c r="F52" s="50"/>
    </row>
    <row r="53" spans="2:6" ht="15.75">
      <c r="B53" s="48"/>
      <c r="C53" s="609" t="s">
        <v>645</v>
      </c>
      <c r="D53" s="610"/>
      <c r="E53" s="34"/>
      <c r="F53" s="533">
        <f>IF(E50/0.95-E50&lt;E53,"Exceeds 5%","")</f>
      </c>
    </row>
    <row r="54" spans="2:5" ht="15.75">
      <c r="B54" s="436" t="str">
        <f>CONCATENATE(C72,"     ",D72)</f>
        <v>     </v>
      </c>
      <c r="C54" s="611">
        <v>4</v>
      </c>
      <c r="D54" s="612"/>
      <c r="E54" s="32">
        <f>E50+E53</f>
        <v>7575</v>
      </c>
    </row>
    <row r="55" spans="2:5" ht="15.75">
      <c r="B55" s="436" t="str">
        <f>CONCATENATE(C73,"     ",D73)</f>
        <v>     </v>
      </c>
      <c r="C55" s="60"/>
      <c r="D55" s="52" t="s">
        <v>28</v>
      </c>
      <c r="E55" s="46">
        <f>IF(E54-E27&gt;0,E54-E27,0)</f>
        <v>6224.74</v>
      </c>
    </row>
    <row r="56" spans="2:5" ht="15.75">
      <c r="B56" s="52"/>
      <c r="C56" s="440" t="s">
        <v>647</v>
      </c>
      <c r="D56" s="432">
        <f>inputOth!$E$40</f>
        <v>0</v>
      </c>
      <c r="E56" s="32">
        <f>ROUND(IF(D56&gt;0,(E55*D56),0),0)</f>
        <v>0</v>
      </c>
    </row>
    <row r="57" spans="2:5" ht="15.75">
      <c r="B57" s="14"/>
      <c r="C57" s="607" t="str">
        <f>CONCATENATE("Amount of  ",$E$1-1," Ad Valorem Tax")</f>
        <v>Amount of  2014 Ad Valorem Tax</v>
      </c>
      <c r="D57" s="608"/>
      <c r="E57" s="46">
        <f>E55+E56</f>
        <v>6224.74</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KINGMAN TOWNSHIP</v>
      </c>
      <c r="C1" s="14"/>
      <c r="D1" s="14"/>
      <c r="E1" s="61">
        <f>inputPrYr!$D$5</f>
        <v>2015</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2013</v>
      </c>
      <c r="D6" s="417" t="str">
        <f>CONCATENATE("Estimate ",$E$1-1,"")</f>
        <v>Estimate 2014</v>
      </c>
      <c r="E6" s="26" t="str">
        <f>CONCATENATE("Year ",$E$1,"")</f>
        <v>Year 2015</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2016</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2014 Ending Cash Balance (est.)</v>
      </c>
      <c r="I54" s="536"/>
    </row>
    <row r="55" spans="2:9" ht="15.75">
      <c r="B55" s="48" t="str">
        <f>CONCATENATE("",E1-2,"/",E1-1," Budget Authority Amount:")</f>
        <v>2013/2014 Budget Authority Amount:</v>
      </c>
      <c r="C55" s="143">
        <f>inputOth!B47</f>
        <v>0</v>
      </c>
      <c r="D55" s="172">
        <f>inputPrYr!D17</f>
        <v>0</v>
      </c>
      <c r="E55" s="33" t="s">
        <v>301</v>
      </c>
      <c r="F55" s="50"/>
      <c r="G55" s="538">
        <f>E29</f>
        <v>0</v>
      </c>
      <c r="H55" s="540" t="str">
        <f>CONCATENATE("",E1," Non-AV Receipts (est.)")</f>
        <v>2015 Non-AV Receipts (est.)</v>
      </c>
      <c r="I55" s="536"/>
    </row>
    <row r="56" spans="2:9" ht="15.75">
      <c r="B56" s="48"/>
      <c r="C56" s="609" t="s">
        <v>645</v>
      </c>
      <c r="D56" s="610"/>
      <c r="E56" s="34"/>
      <c r="F56" s="533">
        <f>IF(E53/0.95-E53&lt;E56,"Exceeds 5%","")</f>
      </c>
      <c r="G56" s="541">
        <f>E60</f>
        <v>0</v>
      </c>
      <c r="H56" s="540" t="str">
        <f>CONCATENATE("",E1," Ad Valorem Tax (est.)")</f>
        <v>2015 Ad Valorem Tax (est.)</v>
      </c>
      <c r="I56" s="536"/>
    </row>
    <row r="57" spans="2:9" ht="15.75">
      <c r="B57" s="436" t="str">
        <f>CONCATENATE(C72,"     ",D72)</f>
        <v>     </v>
      </c>
      <c r="C57" s="611" t="s">
        <v>646</v>
      </c>
      <c r="D57" s="612"/>
      <c r="E57" s="32">
        <f>E53+E56</f>
        <v>0</v>
      </c>
      <c r="G57" s="538">
        <f>SUM(G54:G56)</f>
        <v>0</v>
      </c>
      <c r="H57" s="540" t="str">
        <f>CONCATENATE("Total ",E1," Resources Available")</f>
        <v>Total 2015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2013 Expenditures</v>
      </c>
      <c r="I59" s="536"/>
    </row>
    <row r="60" spans="2:9" ht="15.75">
      <c r="B60" s="14"/>
      <c r="C60" s="607" t="str">
        <f>CONCATENATE("Amount of  ",$E$1-1," Ad Valorem Tax")</f>
        <v>Amount of  2014 Ad Valorem Tax</v>
      </c>
      <c r="D60" s="608"/>
      <c r="E60" s="46">
        <f>E58+E59</f>
        <v>0</v>
      </c>
      <c r="G60" s="543">
        <f>G57-G59</f>
        <v>0</v>
      </c>
      <c r="H60" s="544" t="str">
        <f>CONCATENATE("Projected ",E1+1," carryover (est.)")</f>
        <v>Projected 2016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25">
      <selection activeCell="I9" sqref="I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KINGMAN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2013</v>
      </c>
      <c r="D5" s="417" t="str">
        <f>gen!D5</f>
        <v>Estimate 2014</v>
      </c>
      <c r="E5" s="26" t="str">
        <f>gen!E5</f>
        <v>Year 2015</v>
      </c>
    </row>
    <row r="6" spans="2:5" ht="15.75">
      <c r="B6" s="27" t="s">
        <v>122</v>
      </c>
      <c r="C6" s="29">
        <v>1124</v>
      </c>
      <c r="D6" s="418">
        <f>C44</f>
        <v>0.33999999999650754</v>
      </c>
      <c r="E6" s="32">
        <f>D44</f>
        <v>0.33999999999650754</v>
      </c>
    </row>
    <row r="7" spans="2:5" ht="15.75">
      <c r="B7" s="27" t="s">
        <v>124</v>
      </c>
      <c r="C7" s="418"/>
      <c r="D7" s="418"/>
      <c r="E7" s="33"/>
    </row>
    <row r="8" spans="2:5" ht="15.75">
      <c r="B8" s="27" t="s">
        <v>16</v>
      </c>
      <c r="C8" s="29">
        <v>36823</v>
      </c>
      <c r="D8" s="418">
        <f>inputPrYr!E18</f>
        <v>39521</v>
      </c>
      <c r="E8" s="33" t="s">
        <v>301</v>
      </c>
    </row>
    <row r="9" spans="2:5" ht="15.75">
      <c r="B9" s="27" t="s">
        <v>17</v>
      </c>
      <c r="C9" s="29">
        <v>2</v>
      </c>
      <c r="D9" s="29"/>
      <c r="E9" s="34"/>
    </row>
    <row r="10" spans="2:5" ht="15.75">
      <c r="B10" s="27" t="s">
        <v>18</v>
      </c>
      <c r="C10" s="29">
        <f>6741.62+134.72</f>
        <v>6876.34</v>
      </c>
      <c r="D10" s="29">
        <v>5412</v>
      </c>
      <c r="E10" s="32">
        <f>mvalloc!G13</f>
        <v>5585</v>
      </c>
    </row>
    <row r="11" spans="2:5" ht="15.75">
      <c r="B11" s="27" t="s">
        <v>19</v>
      </c>
      <c r="C11" s="29">
        <v>164</v>
      </c>
      <c r="D11" s="29">
        <v>118</v>
      </c>
      <c r="E11" s="32">
        <f>mvalloc!I13</f>
        <v>149</v>
      </c>
    </row>
    <row r="12" spans="2:5" ht="15.75">
      <c r="B12" s="27" t="s">
        <v>103</v>
      </c>
      <c r="C12" s="29">
        <v>1211</v>
      </c>
      <c r="D12" s="29">
        <v>1205</v>
      </c>
      <c r="E12" s="32">
        <f>mvalloc!J13</f>
        <v>1164</v>
      </c>
    </row>
    <row r="13" spans="2:5" ht="15.75">
      <c r="B13" s="27" t="s">
        <v>819</v>
      </c>
      <c r="C13" s="29"/>
      <c r="D13" s="29"/>
      <c r="E13" s="32">
        <f>mvalloc!K13</f>
        <v>181</v>
      </c>
    </row>
    <row r="14" spans="2:5" ht="15.75">
      <c r="B14" s="27" t="s">
        <v>104</v>
      </c>
      <c r="C14" s="29">
        <v>2659</v>
      </c>
      <c r="D14" s="29">
        <v>2550</v>
      </c>
      <c r="E14" s="32">
        <f>inputOth!E36</f>
        <v>2570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v>2280</v>
      </c>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47735.34</v>
      </c>
      <c r="D23" s="420">
        <f>SUM(D8:D21)</f>
        <v>51086</v>
      </c>
      <c r="E23" s="42">
        <f>SUM(E8:E21)</f>
        <v>9649</v>
      </c>
    </row>
    <row r="24" spans="2:5" ht="15.75">
      <c r="B24" s="43" t="s">
        <v>24</v>
      </c>
      <c r="C24" s="420">
        <f>C23+C6</f>
        <v>48859.34</v>
      </c>
      <c r="D24" s="420">
        <f>D23+D6</f>
        <v>51086.34</v>
      </c>
      <c r="E24" s="42">
        <f>E23+E6</f>
        <v>9649.339999999997</v>
      </c>
    </row>
    <row r="25" spans="2:5" ht="15.75">
      <c r="B25" s="27" t="s">
        <v>25</v>
      </c>
      <c r="C25" s="418"/>
      <c r="D25" s="418"/>
      <c r="E25" s="32"/>
    </row>
    <row r="26" spans="2:5" ht="15.75">
      <c r="B26" s="38" t="s">
        <v>105</v>
      </c>
      <c r="C26" s="29">
        <v>1440</v>
      </c>
      <c r="D26" s="29">
        <v>1440</v>
      </c>
      <c r="E26" s="34">
        <v>1440</v>
      </c>
    </row>
    <row r="27" spans="2:5" ht="15.75">
      <c r="B27" s="38" t="s">
        <v>129</v>
      </c>
      <c r="C27" s="29">
        <v>11146</v>
      </c>
      <c r="D27" s="29">
        <v>7000</v>
      </c>
      <c r="E27" s="34">
        <v>7000</v>
      </c>
    </row>
    <row r="28" spans="2:5" ht="15.75">
      <c r="B28" s="37" t="s">
        <v>106</v>
      </c>
      <c r="C28" s="29">
        <v>193</v>
      </c>
      <c r="D28" s="29"/>
      <c r="E28" s="34"/>
    </row>
    <row r="29" spans="2:5" ht="15.75">
      <c r="B29" s="38" t="s">
        <v>131</v>
      </c>
      <c r="C29" s="29">
        <v>6133</v>
      </c>
      <c r="D29" s="29">
        <v>8310</v>
      </c>
      <c r="E29" s="34">
        <v>8310</v>
      </c>
    </row>
    <row r="30" spans="2:5" ht="15.75">
      <c r="B30" s="38" t="s">
        <v>109</v>
      </c>
      <c r="C30" s="29">
        <v>3031</v>
      </c>
      <c r="D30" s="29">
        <v>8143</v>
      </c>
      <c r="E30" s="34">
        <v>8143</v>
      </c>
    </row>
    <row r="31" spans="2:5" ht="15.75">
      <c r="B31" s="38" t="s">
        <v>107</v>
      </c>
      <c r="C31" s="29">
        <v>12224</v>
      </c>
      <c r="D31" s="29">
        <v>10278</v>
      </c>
      <c r="E31" s="34">
        <v>10278</v>
      </c>
    </row>
    <row r="32" spans="2:5" ht="15.75">
      <c r="B32" s="38" t="s">
        <v>132</v>
      </c>
      <c r="C32" s="29"/>
      <c r="D32" s="29">
        <v>500</v>
      </c>
      <c r="E32" s="34">
        <f>875+375</f>
        <v>1250</v>
      </c>
    </row>
    <row r="33" spans="2:5" ht="15.75">
      <c r="B33" s="38" t="s">
        <v>814</v>
      </c>
      <c r="C33" s="29"/>
      <c r="D33" s="29">
        <v>3500</v>
      </c>
      <c r="E33" s="34">
        <v>3500</v>
      </c>
    </row>
    <row r="34" spans="2:5" ht="15.75">
      <c r="B34" s="37" t="s">
        <v>815</v>
      </c>
      <c r="C34" s="29">
        <v>2500</v>
      </c>
      <c r="D34" s="29">
        <v>2500</v>
      </c>
      <c r="E34" s="34">
        <v>2500</v>
      </c>
    </row>
    <row r="35" spans="2:5" ht="15.75">
      <c r="B35" s="37" t="s">
        <v>818</v>
      </c>
      <c r="C35" s="29">
        <v>291</v>
      </c>
      <c r="D35" s="29">
        <v>2254</v>
      </c>
      <c r="E35" s="34">
        <v>2254</v>
      </c>
    </row>
    <row r="36" spans="2:5" ht="15.75">
      <c r="B36" s="38" t="s">
        <v>810</v>
      </c>
      <c r="C36" s="29"/>
      <c r="D36" s="29">
        <v>5499</v>
      </c>
      <c r="E36" s="34">
        <f>5499-960</f>
        <v>4539</v>
      </c>
    </row>
    <row r="37" spans="2:5" ht="15.75">
      <c r="B37" s="38"/>
      <c r="C37" s="29"/>
      <c r="D37" s="29"/>
      <c r="E37" s="34" t="s">
        <v>289</v>
      </c>
    </row>
    <row r="38" spans="2:5" ht="15.75">
      <c r="B38" s="27" t="s">
        <v>108</v>
      </c>
      <c r="C38" s="29">
        <v>11901</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1662</v>
      </c>
      <c r="E40" s="46">
        <f>nhood!E8</f>
        <v>2247</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48859</v>
      </c>
      <c r="D43" s="420">
        <f>SUM(D26:D38,D40:D41)</f>
        <v>51086</v>
      </c>
      <c r="E43" s="42">
        <f>SUM(E26:E38,E40:E41)</f>
        <v>51461</v>
      </c>
    </row>
    <row r="44" spans="2:5" ht="15.75">
      <c r="B44" s="27" t="s">
        <v>123</v>
      </c>
      <c r="C44" s="413">
        <f>C24-C43</f>
        <v>0.33999999999650754</v>
      </c>
      <c r="D44" s="413">
        <f>D24-D43</f>
        <v>0.33999999999650754</v>
      </c>
      <c r="E44" s="33" t="s">
        <v>301</v>
      </c>
    </row>
    <row r="45" spans="2:6" ht="15.75">
      <c r="B45" s="48" t="str">
        <f>CONCATENATE("",E1-2,"/",E1-1," Budget Authority Amount:")</f>
        <v>2013/2014 Budget Authority Amount:</v>
      </c>
      <c r="C45" s="143">
        <v>48859</v>
      </c>
      <c r="D45" s="172">
        <f>inputPrYr!D18</f>
        <v>51086</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51461</v>
      </c>
    </row>
    <row r="48" spans="2:5" ht="15.75">
      <c r="B48" s="436" t="str">
        <f>CONCATENATE(C75,"     ",D75)</f>
        <v>     </v>
      </c>
      <c r="C48" s="60"/>
      <c r="D48" s="52" t="s">
        <v>28</v>
      </c>
      <c r="E48" s="46">
        <f>IF(E47-E24&gt;0,E47-E24,0)</f>
        <v>41811.66</v>
      </c>
    </row>
    <row r="49" spans="2:5" ht="15.75">
      <c r="B49" s="52"/>
      <c r="C49" s="440" t="s">
        <v>647</v>
      </c>
      <c r="D49" s="432">
        <f>inputOth!$E$40</f>
        <v>0</v>
      </c>
      <c r="E49" s="32">
        <f>ROUND(IF(D49&gt;0,(E48*D49),0),0)</f>
        <v>0</v>
      </c>
    </row>
    <row r="50" spans="2:5" ht="15.75">
      <c r="B50" s="14"/>
      <c r="C50" s="607" t="str">
        <f>CONCATENATE("Amount of  ",$E$1-1," Ad Valorem Tax")</f>
        <v>Amount of  2014 Ad Valorem Tax</v>
      </c>
      <c r="D50" s="608"/>
      <c r="E50" s="46">
        <f>E48+E49</f>
        <v>41811.66</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2013 Actual Year</v>
      </c>
      <c r="D54" s="14"/>
      <c r="E54" s="14"/>
    </row>
    <row r="55" spans="2:5" ht="15.75">
      <c r="B55" s="83" t="s">
        <v>14</v>
      </c>
      <c r="C55" s="557">
        <v>19025</v>
      </c>
      <c r="D55" s="14"/>
      <c r="E55" s="14"/>
    </row>
    <row r="56" spans="2:5" ht="15.75">
      <c r="B56" s="83" t="s">
        <v>33</v>
      </c>
      <c r="C56" s="143"/>
      <c r="D56" s="14"/>
      <c r="E56" s="14"/>
    </row>
    <row r="57" spans="2:5" ht="15.75">
      <c r="B57" s="83" t="s">
        <v>34</v>
      </c>
      <c r="C57" s="439">
        <f>C38</f>
        <v>11901</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30926</v>
      </c>
      <c r="D63" s="14"/>
      <c r="E63" s="14"/>
    </row>
    <row r="64" spans="2:5" ht="15.75">
      <c r="B64" s="88" t="s">
        <v>26</v>
      </c>
      <c r="C64" s="557"/>
      <c r="D64" s="14"/>
      <c r="E64" s="14"/>
    </row>
    <row r="65" spans="2:5" ht="15.75">
      <c r="B65" s="88" t="s">
        <v>27</v>
      </c>
      <c r="C65" s="438">
        <f>SUM(C63-C64)</f>
        <v>30926</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KINGMAN TOWNSHIP</v>
      </c>
      <c r="C1" s="22" t="s">
        <v>35</v>
      </c>
      <c r="D1" s="14"/>
      <c r="E1" s="15">
        <f>inputPrYr!D5</f>
        <v>2015</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KINGMAN TOWNSHIP</v>
      </c>
      <c r="C1" s="14"/>
      <c r="D1" s="14"/>
      <c r="E1" s="15">
        <f>inputPrYr!D5</f>
        <v>2015</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KINGMAN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KINGMAN TOWNSHIP</v>
      </c>
      <c r="C1" s="14"/>
      <c r="D1" s="14"/>
      <c r="E1" s="15">
        <f>inputPrYr!D5</f>
        <v>2015</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2013</v>
      </c>
      <c r="D5" s="26" t="str">
        <f>gen!D5</f>
        <v>Estimate 2014</v>
      </c>
      <c r="E5" s="26" t="str">
        <f>gen!E5</f>
        <v>Year 2015</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2013/2014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2013</v>
      </c>
      <c r="D36" s="26" t="str">
        <f>D5</f>
        <v>Estimate 2014</v>
      </c>
      <c r="E36" s="26" t="str">
        <f>E5</f>
        <v>Year 2015</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2013/2014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KINGMAN TOWNSHIP</v>
      </c>
      <c r="B1" s="100"/>
      <c r="C1" s="101"/>
      <c r="D1" s="101"/>
      <c r="E1" s="101"/>
      <c r="F1" s="102" t="s">
        <v>337</v>
      </c>
      <c r="G1" s="101"/>
      <c r="H1" s="101"/>
      <c r="I1" s="101"/>
      <c r="J1" s="101"/>
      <c r="K1" s="101">
        <f>inputPrYr!$D$5</f>
        <v>2015</v>
      </c>
    </row>
    <row r="2" spans="1:11" ht="15.75">
      <c r="A2" s="101"/>
      <c r="B2" s="101"/>
      <c r="C2" s="101"/>
      <c r="D2" s="101"/>
      <c r="E2" s="101"/>
      <c r="F2" s="103" t="str">
        <f>CONCATENATE("(Only the actual budget year for ",K1-2," is to be shown)")</f>
        <v>(Only the actual budget year for 2013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812</v>
      </c>
      <c r="E2" s="19"/>
    </row>
    <row r="3" spans="1:5" ht="15.75">
      <c r="A3" s="79" t="s">
        <v>236</v>
      </c>
      <c r="B3" s="14"/>
      <c r="C3" s="14"/>
      <c r="D3" s="409" t="s">
        <v>811</v>
      </c>
      <c r="E3" s="19"/>
    </row>
    <row r="4" spans="1:5" ht="15.75">
      <c r="A4" s="14"/>
      <c r="B4" s="14"/>
      <c r="C4" s="14"/>
      <c r="D4" s="14"/>
      <c r="E4" s="14"/>
    </row>
    <row r="5" spans="1:5" ht="15.75">
      <c r="A5" s="17" t="s">
        <v>149</v>
      </c>
      <c r="B5" s="14"/>
      <c r="C5" s="14"/>
      <c r="D5" s="332">
        <v>2015</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2014 Budget, Certificate Page:</v>
      </c>
      <c r="B13" s="336"/>
      <c r="C13" s="49"/>
      <c r="D13" s="14"/>
      <c r="E13" s="14"/>
    </row>
    <row r="14" spans="1:5" ht="15.75">
      <c r="A14" s="335" t="s">
        <v>327</v>
      </c>
      <c r="B14" s="336"/>
      <c r="C14" s="49"/>
      <c r="D14" s="337">
        <f>$D$5-1</f>
        <v>2014</v>
      </c>
      <c r="E14" s="338">
        <f>$D$5-2</f>
        <v>2013</v>
      </c>
    </row>
    <row r="15" spans="1:5" ht="15.75">
      <c r="A15" s="22" t="s">
        <v>283</v>
      </c>
      <c r="B15" s="14"/>
      <c r="C15" s="339" t="s">
        <v>282</v>
      </c>
      <c r="D15" s="340" t="s">
        <v>355</v>
      </c>
      <c r="E15" s="341" t="s">
        <v>16</v>
      </c>
    </row>
    <row r="16" spans="1:5" ht="15.75">
      <c r="A16" s="14"/>
      <c r="B16" s="83" t="s">
        <v>284</v>
      </c>
      <c r="C16" s="172" t="s">
        <v>285</v>
      </c>
      <c r="D16" s="200">
        <v>7575</v>
      </c>
      <c r="E16" s="200">
        <v>6443</v>
      </c>
    </row>
    <row r="17" spans="1:5" ht="15.75">
      <c r="A17" s="14"/>
      <c r="B17" s="83" t="s">
        <v>311</v>
      </c>
      <c r="C17" s="172" t="s">
        <v>156</v>
      </c>
      <c r="D17" s="200"/>
      <c r="E17" s="200"/>
    </row>
    <row r="18" spans="1:5" ht="15.75">
      <c r="A18" s="14"/>
      <c r="B18" s="83" t="s">
        <v>286</v>
      </c>
      <c r="C18" s="192" t="s">
        <v>326</v>
      </c>
      <c r="D18" s="200">
        <v>51086</v>
      </c>
      <c r="E18" s="200">
        <v>39521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2014 Budgeted Year</v>
      </c>
      <c r="B25" s="20"/>
      <c r="C25" s="291"/>
      <c r="D25" s="343"/>
      <c r="E25" s="344">
        <f>SUM(E16:E24)</f>
        <v>45964</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2014</v>
      </c>
      <c r="B30" s="345"/>
      <c r="C30" s="283"/>
      <c r="D30" s="169">
        <f>SUM(D16:D24,D28:D29)</f>
        <v>58661</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2012 Tax Rate                    (2013 Column)</v>
      </c>
      <c r="E39" s="14"/>
    </row>
    <row r="40" spans="1:5" ht="15.75">
      <c r="A40" s="335" t="str">
        <f>CONCATENATE("the ",D5-1," Budget, Budget Summary Page:")</f>
        <v>the 2014 Budget, Budget Summary Page:</v>
      </c>
      <c r="B40" s="307"/>
      <c r="C40" s="14"/>
      <c r="D40" s="569"/>
      <c r="E40" s="14"/>
    </row>
    <row r="41" spans="1:5" ht="15.75">
      <c r="A41" s="14"/>
      <c r="B41" s="96" t="str">
        <f aca="true" t="shared" si="0" ref="B41:B49">B16</f>
        <v>General</v>
      </c>
      <c r="C41" s="14"/>
      <c r="D41" s="347">
        <v>4.244</v>
      </c>
      <c r="E41" s="14"/>
    </row>
    <row r="42" spans="1:5" ht="15.75">
      <c r="A42" s="14"/>
      <c r="B42" s="96" t="str">
        <f t="shared" si="0"/>
        <v>Debt Service</v>
      </c>
      <c r="C42" s="14"/>
      <c r="D42" s="348"/>
      <c r="E42" s="14"/>
    </row>
    <row r="43" spans="1:5" ht="15.75">
      <c r="A43" s="14"/>
      <c r="B43" s="96" t="str">
        <f t="shared" si="0"/>
        <v>Road</v>
      </c>
      <c r="C43" s="14"/>
      <c r="D43" s="348">
        <v>25.477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2012 Tax Levy Rate</v>
      </c>
      <c r="B50" s="349"/>
      <c r="C50" s="283"/>
      <c r="D50" s="350">
        <f>SUM(D41:D49)</f>
        <v>29.721</v>
      </c>
      <c r="E50" s="14"/>
    </row>
    <row r="51" spans="1:5" ht="16.5" thickTop="1">
      <c r="A51" s="14"/>
      <c r="B51" s="14"/>
      <c r="C51" s="14"/>
      <c r="D51" s="14"/>
      <c r="E51" s="14"/>
    </row>
    <row r="52" spans="1:5" ht="15.75">
      <c r="A52" s="351" t="str">
        <f>CONCATENATE("Total Tax Levied (",D5-2," budget column)")</f>
        <v>Total Tax Levied (2013 budget column)</v>
      </c>
      <c r="B52" s="352"/>
      <c r="C52" s="20"/>
      <c r="D52" s="283"/>
      <c r="E52" s="200">
        <v>44525</v>
      </c>
    </row>
    <row r="53" spans="1:5" ht="15.75">
      <c r="A53" s="353" t="str">
        <f>CONCATENATE("Assessed Valuation (",D5-2," budget column)")</f>
        <v>Assessed Valuation (2013 budget column)</v>
      </c>
      <c r="B53" s="354"/>
      <c r="C53" s="291"/>
      <c r="D53" s="28"/>
      <c r="E53" s="200">
        <v>1498088</v>
      </c>
    </row>
    <row r="54" spans="1:5" ht="15.75">
      <c r="A54" s="300"/>
      <c r="B54" s="19"/>
      <c r="C54" s="19"/>
      <c r="D54" s="19"/>
      <c r="E54" s="310"/>
    </row>
    <row r="55" spans="1:5" ht="15.75">
      <c r="A55" s="14"/>
      <c r="B55" s="14"/>
      <c r="C55" s="14"/>
      <c r="D55" s="14"/>
      <c r="E55" s="55"/>
    </row>
    <row r="56" spans="1:5" ht="15.75">
      <c r="A56" s="319" t="s">
        <v>209</v>
      </c>
      <c r="B56" s="319"/>
      <c r="C56" s="140"/>
      <c r="D56" s="355">
        <f>D5-3</f>
        <v>2012</v>
      </c>
      <c r="E56" s="355">
        <f>D5-2</f>
        <v>2013</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I9" sqref="I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2015</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KINGMAN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15, 2014 at 8:00 p.m.  at Kingman Township Bldg.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Kingman Township Bldg.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2015 Expenditures and Amount of 2014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2015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2013</v>
      </c>
      <c r="D13" s="162"/>
      <c r="E13" s="161" t="str">
        <f>CONCATENATE("Current Year Estimate ",I1-1,"")</f>
        <v>Current Year Estimate 2014</v>
      </c>
      <c r="F13" s="163"/>
      <c r="G13" s="164" t="str">
        <f>CONCATENATE("Proposed Budget ",I1,"")</f>
        <v>Proposed Budget 2015</v>
      </c>
      <c r="H13" s="165"/>
      <c r="I13" s="163"/>
      <c r="J13" s="160"/>
    </row>
    <row r="14" spans="2:10" ht="22.5" customHeight="1">
      <c r="B14" s="14"/>
      <c r="C14" s="80"/>
      <c r="D14" s="23" t="s">
        <v>32</v>
      </c>
      <c r="E14" s="23"/>
      <c r="F14" s="23" t="s">
        <v>32</v>
      </c>
      <c r="G14" s="166"/>
      <c r="H14" s="584" t="str">
        <f>CONCATENATE("Amount of ",I1-1," Ad Valorem Tax")</f>
        <v>Amount of 2014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10151</v>
      </c>
      <c r="D17" s="549">
        <f>IF(inputPrYr!D41&gt;0,inputPrYr!D41,"  ")</f>
        <v>4.244</v>
      </c>
      <c r="E17" s="32">
        <f>IF(gen!$D$50&lt;&gt;0,gen!$D$50,"  ")</f>
        <v>7575</v>
      </c>
      <c r="F17" s="253">
        <f>IF(inputOth!D17&gt;0,inputOth!D17,"  ")</f>
        <v>4.166</v>
      </c>
      <c r="G17" s="32">
        <f>IF(gen!$E$50&lt;&gt;0,gen!$E$50,"  ")</f>
        <v>7575</v>
      </c>
      <c r="H17" s="32">
        <f>IF(gen!$E$57&lt;&gt;0,gen!$E$57," ")</f>
        <v>6224.74</v>
      </c>
      <c r="I17" s="551">
        <f>IF(gen!E57&gt;0,ROUND(H17/$G$35*1000,3)," ")</f>
        <v>3.851</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48859</v>
      </c>
      <c r="D19" s="549">
        <f>IF(inputPrYr!D43&gt;0,inputPrYr!D43,"  ")</f>
        <v>25.477</v>
      </c>
      <c r="E19" s="32">
        <f>IF(road!$D$43&lt;&gt;0,road!$D$43,"  ")</f>
        <v>51086</v>
      </c>
      <c r="F19" s="253">
        <f>IF(inputOth!D19&gt;0,inputOth!D19,"  ")</f>
        <v>25.554</v>
      </c>
      <c r="G19" s="32">
        <f>IF(road!$E$43&lt;&gt;0,road!$E$43,"  ")</f>
        <v>51461</v>
      </c>
      <c r="H19" s="32">
        <f>IF(road!$E$50&lt;&gt;0,road!$E$50,"  ")</f>
        <v>41811.66</v>
      </c>
      <c r="I19" s="551">
        <f>IF(road!E50&gt;0,ROUND(H19/$G$35*1000,3)," ")</f>
        <v>25.869</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59010</v>
      </c>
      <c r="D30" s="529">
        <f t="shared" si="0"/>
        <v>29.721</v>
      </c>
      <c r="E30" s="552">
        <f t="shared" si="0"/>
        <v>58661</v>
      </c>
      <c r="F30" s="529">
        <f t="shared" si="0"/>
        <v>29.72</v>
      </c>
      <c r="G30" s="552">
        <f t="shared" si="0"/>
        <v>59036</v>
      </c>
      <c r="H30" s="552">
        <f t="shared" si="0"/>
        <v>48036.4</v>
      </c>
      <c r="I30" s="555">
        <f t="shared" si="0"/>
        <v>29.72</v>
      </c>
    </row>
    <row r="31" spans="2:9" ht="15.75">
      <c r="B31" s="83" t="s">
        <v>44</v>
      </c>
      <c r="C31" s="32">
        <f>transfer!C29</f>
        <v>11901</v>
      </c>
      <c r="D31" s="14"/>
      <c r="E31" s="32">
        <f>transfer!D29</f>
        <v>0</v>
      </c>
      <c r="F31" s="62"/>
      <c r="G31" s="32">
        <f>transfer!E29</f>
        <v>0</v>
      </c>
      <c r="H31" s="14"/>
      <c r="I31" s="14"/>
    </row>
    <row r="32" spans="2:9" ht="16.5" thickBot="1">
      <c r="B32" s="83" t="s">
        <v>45</v>
      </c>
      <c r="C32" s="553">
        <f>C30-C31</f>
        <v>47109</v>
      </c>
      <c r="D32" s="14"/>
      <c r="E32" s="553">
        <f>E30-E31</f>
        <v>58661</v>
      </c>
      <c r="F32" s="14"/>
      <c r="G32" s="553">
        <f>G30-G31</f>
        <v>59036</v>
      </c>
      <c r="H32" s="14"/>
      <c r="I32" s="14"/>
    </row>
    <row r="33" spans="2:9" ht="16.5" thickTop="1">
      <c r="B33" s="83" t="s">
        <v>46</v>
      </c>
      <c r="C33" s="554">
        <f>inputPrYr!E52</f>
        <v>44525</v>
      </c>
      <c r="D33" s="62"/>
      <c r="E33" s="554">
        <f>inputPrYr!E25</f>
        <v>45964</v>
      </c>
      <c r="F33" s="14"/>
      <c r="G33" s="545" t="s">
        <v>301</v>
      </c>
      <c r="H33" s="14"/>
      <c r="I33" s="14"/>
    </row>
    <row r="34" spans="2:9" ht="15.75">
      <c r="B34" s="279" t="s">
        <v>47</v>
      </c>
      <c r="C34" s="55"/>
      <c r="D34" s="62"/>
      <c r="E34" s="55"/>
      <c r="F34" s="62"/>
      <c r="G34" s="14"/>
      <c r="H34" s="14"/>
      <c r="I34" s="14"/>
    </row>
    <row r="35" spans="2:9" ht="15.75">
      <c r="B35" s="563" t="s">
        <v>48</v>
      </c>
      <c r="C35" s="31">
        <f>inputPrYr!E53</f>
        <v>1498088</v>
      </c>
      <c r="D35" s="14"/>
      <c r="E35" s="32">
        <f>inputOth!E28</f>
        <v>1546540</v>
      </c>
      <c r="F35" s="14"/>
      <c r="G35" s="32">
        <f>inputOth!E7</f>
        <v>1616283</v>
      </c>
      <c r="H35" s="14"/>
      <c r="I35" s="14"/>
    </row>
    <row r="36" spans="2:9" ht="15.75">
      <c r="B36" s="22" t="s">
        <v>49</v>
      </c>
      <c r="C36" s="14"/>
      <c r="D36" s="14"/>
      <c r="E36" s="14"/>
      <c r="F36" s="14"/>
      <c r="G36" s="14"/>
      <c r="H36" s="14"/>
      <c r="I36" s="14"/>
    </row>
    <row r="37" spans="2:9" ht="15.75">
      <c r="B37" s="22" t="s">
        <v>50</v>
      </c>
      <c r="C37" s="171">
        <f>I1-3</f>
        <v>2012</v>
      </c>
      <c r="D37" s="14"/>
      <c r="E37" s="171">
        <f>I1-2</f>
        <v>2013</v>
      </c>
      <c r="F37" s="14"/>
      <c r="G37" s="171">
        <f>I1-1</f>
        <v>2014</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I9" sqref="I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KINGMAN TOWNSHIP</v>
      </c>
      <c r="B1" s="14"/>
      <c r="C1" s="14"/>
      <c r="D1" s="14"/>
      <c r="E1" s="14"/>
      <c r="F1" s="14">
        <f>inputPrYr!D5</f>
        <v>2015</v>
      </c>
    </row>
    <row r="2" spans="1:6" ht="15.75">
      <c r="A2" s="14"/>
      <c r="B2" s="14"/>
      <c r="C2" s="14"/>
      <c r="D2" s="14"/>
      <c r="E2" s="14"/>
      <c r="F2" s="14"/>
    </row>
    <row r="3" spans="1:6" ht="15.75">
      <c r="A3" s="14"/>
      <c r="B3" s="583" t="str">
        <f>CONCATENATE("",F1," Neighborhood Revitalization Rebate")</f>
        <v>2015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2015</v>
      </c>
      <c r="C5" s="137" t="str">
        <f>CONCATENATE("",F1-1," Ad Valorem before Rebate**")</f>
        <v>2014 Ad Valorem before Rebate**</v>
      </c>
      <c r="D5" s="138" t="str">
        <f>CONCATENATE("",F1-1," Mil Rate before Rebate")</f>
        <v>2014 Mil Rate before Rebate</v>
      </c>
      <c r="E5" s="139" t="str">
        <f>CONCATENATE("Estimate ",F1," NR Rebate")</f>
        <v>Estimate 2015 NR Rebate</v>
      </c>
      <c r="F5" s="140"/>
    </row>
    <row r="6" spans="1:6" ht="15.75">
      <c r="A6" s="14"/>
      <c r="B6" s="83" t="str">
        <f>inputPrYr!B16</f>
        <v>General</v>
      </c>
      <c r="C6" s="141">
        <v>6225</v>
      </c>
      <c r="D6" s="142">
        <f aca="true" t="shared" si="0" ref="D6:D14">IF(C6&gt;0,C6/$D$20,"")</f>
        <v>3.851429483574349</v>
      </c>
      <c r="E6" s="143">
        <f aca="true" t="shared" si="1" ref="E6:E14">IF(C6&gt;0,ROUND(D6*$D$24,0),"")</f>
        <v>335</v>
      </c>
      <c r="F6" s="140"/>
    </row>
    <row r="7" spans="1:6" ht="15.75">
      <c r="A7" s="14"/>
      <c r="B7" s="83" t="str">
        <f>inputPrYr!B17</f>
        <v>Debt Service</v>
      </c>
      <c r="C7" s="141"/>
      <c r="D7" s="142">
        <f t="shared" si="0"/>
      </c>
      <c r="E7" s="143">
        <f t="shared" si="1"/>
      </c>
      <c r="F7" s="140"/>
    </row>
    <row r="8" spans="1:6" ht="15.75">
      <c r="A8" s="14"/>
      <c r="B8" s="83" t="str">
        <f>inputPrYr!B18</f>
        <v>Road</v>
      </c>
      <c r="C8" s="141">
        <v>41812</v>
      </c>
      <c r="D8" s="142">
        <f t="shared" si="0"/>
        <v>25.869232058989667</v>
      </c>
      <c r="E8" s="143">
        <f t="shared" si="1"/>
        <v>2247</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48037</v>
      </c>
      <c r="D15" s="146">
        <f>SUM(D6:D14)</f>
        <v>29.720661542564017</v>
      </c>
      <c r="E15" s="145">
        <f>SUM(E6:E14)</f>
        <v>2582</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2014 July 1 Valuation:</v>
      </c>
      <c r="B18" s="628"/>
      <c r="C18" s="629"/>
      <c r="D18" s="147">
        <f>inputOth!E7</f>
        <v>1616283</v>
      </c>
      <c r="E18" s="14"/>
      <c r="F18" s="140"/>
    </row>
    <row r="19" spans="1:6" ht="15.75">
      <c r="A19" s="14"/>
      <c r="B19" s="14"/>
      <c r="C19" s="14"/>
      <c r="D19" s="14"/>
      <c r="E19" s="14"/>
      <c r="F19" s="140"/>
    </row>
    <row r="20" spans="1:6" ht="15.75">
      <c r="A20" s="14"/>
      <c r="B20" s="629" t="s">
        <v>378</v>
      </c>
      <c r="C20" s="629"/>
      <c r="D20" s="148">
        <f>IF(D18&gt;0,(D18*0.001),"")</f>
        <v>1616.2830000000001</v>
      </c>
      <c r="E20" s="14"/>
      <c r="F20" s="140"/>
    </row>
    <row r="21" spans="1:6" ht="15.75">
      <c r="A21" s="14"/>
      <c r="B21" s="48"/>
      <c r="C21" s="48"/>
      <c r="D21" s="149"/>
      <c r="E21" s="14"/>
      <c r="F21" s="140"/>
    </row>
    <row r="22" spans="1:6" ht="15.75">
      <c r="A22" s="627" t="s">
        <v>380</v>
      </c>
      <c r="B22" s="582"/>
      <c r="C22" s="582"/>
      <c r="D22" s="150">
        <f>inputOth!E13</f>
        <v>86878</v>
      </c>
      <c r="E22" s="151"/>
      <c r="F22" s="151"/>
    </row>
    <row r="23" spans="1:6" ht="15.75">
      <c r="A23" s="151"/>
      <c r="B23" s="151"/>
      <c r="C23" s="151"/>
      <c r="D23" s="152"/>
      <c r="E23" s="151"/>
      <c r="F23" s="151"/>
    </row>
    <row r="24" spans="1:6" ht="15.75">
      <c r="A24" s="151"/>
      <c r="B24" s="627" t="s">
        <v>381</v>
      </c>
      <c r="C24" s="628"/>
      <c r="D24" s="153">
        <f>IF(D22&gt;0,(D22*0.001),"")</f>
        <v>86.878</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2015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I9" sqref="I9"/>
    </sheetView>
  </sheetViews>
  <sheetFormatPr defaultColWidth="8.796875" defaultRowHeight="15.75"/>
  <sheetData>
    <row r="1" spans="1:7" ht="15.75">
      <c r="A1" s="637" t="s">
        <v>133</v>
      </c>
      <c r="B1" s="637"/>
      <c r="C1" s="637"/>
      <c r="D1" s="637"/>
      <c r="E1" s="637"/>
      <c r="F1" s="637"/>
      <c r="G1" s="637"/>
    </row>
    <row r="2" ht="15.75">
      <c r="A2" s="1"/>
    </row>
    <row r="3" spans="1:7" ht="15.75">
      <c r="A3" s="638" t="s">
        <v>823</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KINGMAN TOWNSHIP </v>
      </c>
      <c r="I6">
        <f>CONCATENATE(I7)</f>
      </c>
    </row>
    <row r="7" spans="1:7" ht="15.75">
      <c r="A7" s="639" t="str">
        <f>CONCATENATE("   with respect to financing the ",inputPrYr!D5," annual budget for ",(inputPrYr!D2)," , ",(inputPrYr!D3)," , Kansas.")</f>
        <v>   with respect to financing the 2015 annual budget for KINGMAN TOWNSHIP , KINGMAN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2015 KINGMAN TOWNSHIP budget exceed the amount levied to finance the 2014</v>
      </c>
    </row>
    <row r="12" spans="1:7" ht="15.75">
      <c r="A12" s="635" t="str">
        <f>CONCATENATE((inputPrYr!D2)," Township budget, except with regard to revenue produced and attributable to the taxation of 1) new improvements to real property; 2) increased personal property valuation, other than increased")</f>
        <v>KINGMAN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KINGMAN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KINGMAN TOWNSHIP of KINGMAN COUNTY, Kansas that is our desire to notify the public of increased property taxes to finance the 2015 KINGMAN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_____17____ day of _____July______, ",inputPrYr!D5-1," by the ",(inputPrYr!D2)," Board, ",(inputPrYr!D3),", Kansas.")</f>
        <v>Adopted this _____17____ day of _____July______, 2014 by the KINGMAN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KINGMAN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2013 'total expenditures' exceed your 2013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2015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2013 budget was amended, did you</v>
      </c>
    </row>
    <row r="26" ht="15.75">
      <c r="A26" s="379" t="s">
        <v>407</v>
      </c>
    </row>
    <row r="27" ht="15.75">
      <c r="A27" s="379"/>
    </row>
    <row r="28" ht="15.75">
      <c r="A28" s="379" t="str">
        <f>CONCATENATE("Next, look to see if any of your ",inputPrYr!D5-2," expenditures can be")</f>
        <v>Next, look to see if any of your 2013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2013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2013 financial records have been closed?</v>
      </c>
    </row>
    <row r="76" ht="15.75">
      <c r="A76" s="379" t="s">
        <v>442</v>
      </c>
    </row>
    <row r="77" ht="15.75">
      <c r="A77" s="379" t="str">
        <f>CONCATENATE("(i.e. an audit for ",inputPrYr!D5-2," has been completed, or the ",inputPrYr!D5)</f>
        <v>(i.e. an audit for 2013 has been completed, or the 2015</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2013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2013 are not closed</v>
      </c>
      <c r="B33" s="379"/>
      <c r="C33" s="379"/>
      <c r="D33" s="379"/>
      <c r="E33" s="379"/>
      <c r="F33" s="379"/>
      <c r="G33" s="379"/>
      <c r="H33" s="379"/>
    </row>
    <row r="34" spans="1:8" ht="15.75">
      <c r="A34" s="379" t="str">
        <f>CONCATENATE("(i.e. an audit has not been completed, or the ",inputPrYr!D5," adopted ")</f>
        <v>(i.e. an audit has not been completed, or the 2015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2014 'total expenditures' exceed your 2014</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2014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2014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2014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2015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2014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2014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2015 'total expenditures' exceed your 2015</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2" sqref="E1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KINGMAN TOWNSHIP</v>
      </c>
      <c r="B1" s="101"/>
      <c r="C1" s="101"/>
      <c r="D1" s="101"/>
      <c r="E1" s="101">
        <f>inputPrYr!D5</f>
        <v>2015</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2015:</v>
      </c>
      <c r="B6" s="307"/>
      <c r="C6" s="307"/>
      <c r="D6" s="14"/>
      <c r="E6" s="55"/>
    </row>
    <row r="7" spans="1:5" ht="15.75">
      <c r="A7" s="22" t="str">
        <f>CONCATENATE("Total Assessed Valuation for ",E1-1,"")</f>
        <v>Total Assessed Valuation for 2014</v>
      </c>
      <c r="B7" s="19"/>
      <c r="C7" s="19"/>
      <c r="D7" s="19"/>
      <c r="E7" s="308">
        <v>1616283</v>
      </c>
    </row>
    <row r="8" spans="1:5" ht="15.75">
      <c r="A8" s="22" t="str">
        <f>CONCATENATE("New Improvements for ",E1-1,"")</f>
        <v>New Improvements for 2014</v>
      </c>
      <c r="B8" s="19"/>
      <c r="C8" s="19"/>
      <c r="D8" s="19"/>
      <c r="E8" s="309">
        <v>2845</v>
      </c>
    </row>
    <row r="9" spans="1:5" ht="15.75">
      <c r="A9" s="22" t="str">
        <f>CONCATENATE("Personal Property excluding oil, gas, and mobile homes - ",E1-1,"")</f>
        <v>Personal Property excluding oil, gas, and mobile homes - 2014</v>
      </c>
      <c r="B9" s="19"/>
      <c r="C9" s="19"/>
      <c r="D9" s="19"/>
      <c r="E9" s="309">
        <v>31028</v>
      </c>
    </row>
    <row r="10" spans="1:5" ht="15.75">
      <c r="A10" s="22" t="str">
        <f>CONCATENATE("Property that has changed in use for ",E1-1,"")</f>
        <v>Property that has changed in use for 2014</v>
      </c>
      <c r="B10" s="19"/>
      <c r="C10" s="19"/>
      <c r="D10" s="19"/>
      <c r="E10" s="309">
        <v>0</v>
      </c>
    </row>
    <row r="11" spans="1:5" ht="15.75">
      <c r="A11" s="22" t="str">
        <f>CONCATENATE("Personal Property excluding oil, gas, and mobile homes- ",E1-2,"")</f>
        <v>Personal Property excluding oil, gas, and mobile homes- 2013</v>
      </c>
      <c r="B11" s="19"/>
      <c r="C11" s="19"/>
      <c r="D11" s="19"/>
      <c r="E11" s="309">
        <v>34552</v>
      </c>
    </row>
    <row r="12" spans="1:5" ht="15.75">
      <c r="A12" s="22" t="str">
        <f>CONCATENATE("Gross earnings (intangible) tax estimate for ",E1,"")</f>
        <v>Gross earnings (intangible) tax estimate for 2015</v>
      </c>
      <c r="B12" s="19"/>
      <c r="C12" s="19"/>
      <c r="D12" s="19"/>
      <c r="E12" s="309">
        <v>0</v>
      </c>
    </row>
    <row r="13" spans="1:5" ht="15.75">
      <c r="A13" s="22" t="str">
        <f>CONCATENATE("Neighborhood Revitalization - ",E1,"")</f>
        <v>Neighborhood Revitalization - 2015</v>
      </c>
      <c r="B13" s="19"/>
      <c r="C13" s="19"/>
      <c r="D13" s="19"/>
      <c r="E13" s="309">
        <v>86878</v>
      </c>
    </row>
    <row r="14" spans="1:5" ht="15.75">
      <c r="A14" s="22"/>
      <c r="B14" s="19"/>
      <c r="C14" s="19"/>
      <c r="D14" s="19"/>
      <c r="E14" s="310"/>
    </row>
    <row r="15" spans="1:5" ht="15.75">
      <c r="A15" s="311" t="str">
        <f>CONCATENATE("Actual Tax Rates for the ",E1-1," Budget:")</f>
        <v>Actual Tax Rates for the 2014 Budget:</v>
      </c>
      <c r="B15" s="19"/>
      <c r="C15" s="19"/>
      <c r="D15" s="19"/>
      <c r="E15" s="312"/>
    </row>
    <row r="16" spans="1:5" ht="15.75">
      <c r="A16" s="572" t="s">
        <v>297</v>
      </c>
      <c r="B16" s="573"/>
      <c r="C16" s="101"/>
      <c r="D16" s="313" t="s">
        <v>3</v>
      </c>
      <c r="E16" s="312"/>
    </row>
    <row r="17" spans="1:5" ht="15.75">
      <c r="A17" s="82" t="str">
        <f>inputPrYr!B16</f>
        <v>General</v>
      </c>
      <c r="B17" s="20"/>
      <c r="C17" s="19"/>
      <c r="D17" s="314">
        <v>4.166</v>
      </c>
      <c r="E17" s="312"/>
    </row>
    <row r="18" spans="1:5" ht="15.75">
      <c r="A18" s="82" t="str">
        <f>inputPrYr!B17</f>
        <v>Debt Service</v>
      </c>
      <c r="B18" s="291"/>
      <c r="C18" s="19"/>
      <c r="D18" s="315"/>
      <c r="E18" s="312"/>
    </row>
    <row r="19" spans="1:5" ht="15.75">
      <c r="A19" s="82" t="str">
        <f>inputPrYr!B18</f>
        <v>Road</v>
      </c>
      <c r="B19" s="291"/>
      <c r="C19" s="19"/>
      <c r="D19" s="315">
        <v>25.554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29.72</v>
      </c>
      <c r="E26" s="14"/>
    </row>
    <row r="27" spans="1:5" ht="15.75">
      <c r="A27" s="14"/>
      <c r="B27" s="14"/>
      <c r="C27" s="14"/>
      <c r="D27" s="14"/>
      <c r="E27" s="14"/>
    </row>
    <row r="28" spans="1:5" ht="15.75">
      <c r="A28" s="20" t="str">
        <f>CONCATENATE("Final Assessed Valuation from the November 1, ",E1-2," Abstract:")</f>
        <v>Final Assessed Valuation from the November 1, 2013 Abstract:</v>
      </c>
      <c r="B28" s="20"/>
      <c r="C28" s="20"/>
      <c r="D28" s="20"/>
      <c r="E28" s="36">
        <v>1546540</v>
      </c>
    </row>
    <row r="29" spans="1:5" ht="15.75">
      <c r="A29" s="14"/>
      <c r="B29" s="14"/>
      <c r="C29" s="14"/>
      <c r="D29" s="14"/>
      <c r="E29" s="14"/>
    </row>
    <row r="30" spans="1:5" ht="15.75">
      <c r="A30" s="318" t="str">
        <f>CONCATENATE("From the County Treasurer's Budget Information - ",E1," Budget Year Estimates:")</f>
        <v>From the County Treasurer's Budget Information - 2015 Budget Year Estimates:</v>
      </c>
      <c r="B30" s="319"/>
      <c r="C30" s="319"/>
      <c r="D30" s="320"/>
      <c r="E30" s="55"/>
    </row>
    <row r="31" spans="1:5" ht="15.75">
      <c r="A31" s="82" t="s">
        <v>163</v>
      </c>
      <c r="B31" s="20"/>
      <c r="C31" s="20"/>
      <c r="D31" s="321"/>
      <c r="E31" s="34">
        <v>6495</v>
      </c>
    </row>
    <row r="32" spans="1:5" ht="15.75">
      <c r="A32" s="322" t="s">
        <v>288</v>
      </c>
      <c r="B32" s="291"/>
      <c r="C32" s="291"/>
      <c r="D32" s="31"/>
      <c r="E32" s="34">
        <v>173</v>
      </c>
    </row>
    <row r="33" spans="1:5" ht="15.75">
      <c r="A33" s="322" t="s">
        <v>164</v>
      </c>
      <c r="B33" s="291"/>
      <c r="C33" s="291"/>
      <c r="D33" s="31"/>
      <c r="E33" s="34">
        <v>1358</v>
      </c>
    </row>
    <row r="34" spans="1:5" ht="15.75">
      <c r="A34" s="322" t="s">
        <v>165</v>
      </c>
      <c r="B34" s="291"/>
      <c r="C34" s="291"/>
      <c r="D34" s="31"/>
      <c r="E34" s="34"/>
    </row>
    <row r="35" spans="1:5" ht="15.75">
      <c r="A35" s="322" t="s">
        <v>166</v>
      </c>
      <c r="B35" s="291"/>
      <c r="C35" s="291"/>
      <c r="D35" s="31"/>
      <c r="E35" s="34">
        <v>210</v>
      </c>
    </row>
    <row r="36" spans="1:5" ht="15.75">
      <c r="A36" s="322" t="s">
        <v>104</v>
      </c>
      <c r="B36" s="20"/>
      <c r="C36" s="20"/>
      <c r="D36" s="321"/>
      <c r="E36" s="34">
        <v>2570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2012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2013 Budget Certificate Page</v>
      </c>
      <c r="B43" s="575"/>
      <c r="C43" s="151"/>
      <c r="D43" s="151"/>
      <c r="E43" s="151"/>
    </row>
    <row r="44" spans="1:5" ht="15.75">
      <c r="A44" s="326"/>
      <c r="B44" s="326" t="str">
        <f>CONCATENATE("",E1-2," Expenditure Amounts")</f>
        <v>2013 Expenditure Amounts</v>
      </c>
      <c r="C44" s="576" t="str">
        <f>CONCATENATE("Note: If the ",E1-2," budget was amended, then the")</f>
        <v>Note: If the 2013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5" sqref="G1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820</v>
      </c>
      <c r="C5" s="387"/>
      <c r="D5" s="384" t="s">
        <v>796</v>
      </c>
      <c r="E5" s="383"/>
      <c r="F5" s="383"/>
    </row>
    <row r="6" spans="1:6" ht="15.75">
      <c r="A6" s="384"/>
      <c r="B6" s="388"/>
      <c r="C6" s="389"/>
      <c r="D6" s="384" t="s">
        <v>795</v>
      </c>
      <c r="E6" s="383"/>
      <c r="F6" s="383"/>
    </row>
    <row r="7" spans="1:6" ht="15.75">
      <c r="A7" s="384" t="s">
        <v>386</v>
      </c>
      <c r="B7" s="386" t="s">
        <v>821</v>
      </c>
      <c r="C7" s="390"/>
      <c r="D7" s="384"/>
      <c r="E7" s="383"/>
      <c r="F7" s="383"/>
    </row>
    <row r="8" spans="1:6" ht="15.75">
      <c r="A8" s="384"/>
      <c r="B8" s="384"/>
      <c r="C8" s="384"/>
      <c r="D8" s="384"/>
      <c r="E8" s="383"/>
      <c r="F8" s="383"/>
    </row>
    <row r="9" spans="1:6" ht="15.75">
      <c r="A9" s="384" t="s">
        <v>387</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822</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7">
      <selection activeCell="I9" sqref="I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2015</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KINGMAN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2015; and (3) the</v>
      </c>
      <c r="C8" s="156"/>
      <c r="D8" s="156"/>
      <c r="E8" s="156"/>
      <c r="F8" s="156"/>
      <c r="G8" s="156"/>
    </row>
    <row r="9" spans="2:7" s="14" customFormat="1" ht="15.75" customHeight="1">
      <c r="B9" s="158" t="str">
        <f>CONCATENATE("Amount(s) of ",H1-1," Ad Valorem Tax are within statutory limitations for the ",H1," Budget.")</f>
        <v>Amount(s) of 2014 Ad Valorem Tax are within statutory limitations for the 2015 Budget.</v>
      </c>
      <c r="C9" s="156"/>
      <c r="D9" s="156"/>
      <c r="E9" s="156"/>
      <c r="F9" s="156"/>
      <c r="G9" s="156"/>
    </row>
    <row r="10" spans="5:7" s="14" customFormat="1" ht="15.75" customHeight="1">
      <c r="E10" s="77"/>
      <c r="F10" s="77"/>
      <c r="G10" s="77"/>
    </row>
    <row r="11" spans="4:7" s="14" customFormat="1" ht="15.75">
      <c r="D11" s="19"/>
      <c r="E11" s="587" t="str">
        <f>CONCATENATE("",H1," Adopted Budget")</f>
        <v>2015 Adopted Budget</v>
      </c>
      <c r="F11" s="588"/>
      <c r="G11" s="589"/>
    </row>
    <row r="12" spans="2:7" s="14" customFormat="1" ht="15.75">
      <c r="B12" s="22"/>
      <c r="D12" s="77"/>
      <c r="E12" s="279" t="s">
        <v>289</v>
      </c>
      <c r="F12" s="584" t="str">
        <f>CONCATENATE("Amount of ",H1-1," Ad Valorem Tax")</f>
        <v>Amount of 2014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2015</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7575</v>
      </c>
      <c r="F20" s="172">
        <f>IF(gen!$E$57&lt;&gt;0,gen!$E$57,0)</f>
        <v>6224.74</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51461</v>
      </c>
      <c r="F22" s="172">
        <f>IF(road!$E$50&lt;&gt;0,road!$E$50,"  ")</f>
        <v>41811.66</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59036</v>
      </c>
      <c r="F33" s="292">
        <f>SUM(F20:F28)</f>
        <v>48036.4</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2014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2014</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I9" sqref="I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KINGMAN TOWNSHIP</v>
      </c>
      <c r="D1" s="14"/>
      <c r="E1" s="14"/>
      <c r="F1" s="14"/>
      <c r="G1" s="14"/>
      <c r="H1" s="14"/>
      <c r="I1" s="14"/>
      <c r="J1" s="14">
        <f>inputPrYr!D5</f>
        <v>2015</v>
      </c>
    </row>
    <row r="2" spans="1:10" ht="15.75">
      <c r="A2" s="14"/>
      <c r="B2" s="14"/>
      <c r="C2" s="14"/>
      <c r="D2" s="14"/>
      <c r="E2" s="14"/>
      <c r="F2" s="14"/>
      <c r="G2" s="14"/>
      <c r="H2" s="14"/>
      <c r="I2" s="14"/>
      <c r="J2" s="14"/>
    </row>
    <row r="3" spans="1:10" ht="15.75">
      <c r="A3" s="601" t="str">
        <f>CONCATENATE("Computation to Determine Limit for ",J1,"")</f>
        <v>Computation to Determine Limit for 2015</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2014</v>
      </c>
      <c r="C5" s="14"/>
      <c r="D5" s="14"/>
      <c r="E5" s="55"/>
      <c r="F5" s="55"/>
      <c r="G5" s="55"/>
      <c r="H5" s="270" t="s">
        <v>15</v>
      </c>
      <c r="I5" s="55" t="s">
        <v>2</v>
      </c>
      <c r="J5" s="271">
        <f>inputPrYr!E25</f>
        <v>45964</v>
      </c>
    </row>
    <row r="6" spans="1:10" ht="15.75">
      <c r="A6" s="269" t="s">
        <v>85</v>
      </c>
      <c r="B6" s="14" t="str">
        <f>CONCATENATE("Debt Service Levy in ",J1-1,"")</f>
        <v>Debt Service Levy in 2014</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45964</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2014:</v>
      </c>
      <c r="C11" s="14"/>
      <c r="D11" s="14"/>
      <c r="E11" s="270"/>
      <c r="F11" s="270" t="s">
        <v>15</v>
      </c>
      <c r="G11" s="271">
        <f>inputOth!E8</f>
        <v>2845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2014:</v>
      </c>
      <c r="C13" s="14"/>
      <c r="D13" s="14"/>
      <c r="E13" s="270"/>
      <c r="F13" s="270"/>
      <c r="G13" s="53"/>
      <c r="H13" s="53"/>
      <c r="I13" s="55"/>
      <c r="J13" s="55"/>
    </row>
    <row r="14" spans="1:10" ht="15.75">
      <c r="A14" s="14"/>
      <c r="B14" s="14" t="s">
        <v>90</v>
      </c>
      <c r="C14" s="14" t="str">
        <f>CONCATENATE("Personal Property ",J1-1,"")</f>
        <v>Personal Property 2014</v>
      </c>
      <c r="D14" s="269" t="s">
        <v>15</v>
      </c>
      <c r="E14" s="271">
        <f>inputOth!E9</f>
        <v>31028</v>
      </c>
      <c r="F14" s="270"/>
      <c r="G14" s="55"/>
      <c r="H14" s="55"/>
      <c r="I14" s="53"/>
      <c r="J14" s="55"/>
    </row>
    <row r="15" spans="1:10" ht="15.75">
      <c r="A15" s="269"/>
      <c r="B15" s="14" t="s">
        <v>91</v>
      </c>
      <c r="C15" s="14" t="str">
        <f>CONCATENATE("Personal Property ",J1-2,"")</f>
        <v>Personal Property 2013</v>
      </c>
      <c r="D15" s="269" t="s">
        <v>86</v>
      </c>
      <c r="E15" s="273">
        <f>inputOth!E11</f>
        <v>34552</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2014:</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2845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1,2014</v>
      </c>
      <c r="C22" s="14"/>
      <c r="D22" s="14"/>
      <c r="E22" s="271">
        <f>inputOth!E7</f>
        <v>1616283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1613438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0.001763315355160843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46045</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2015</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46045</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2015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9" sqref="G9:L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KINGMAN TOWNSHIP</v>
      </c>
      <c r="C1" s="14"/>
      <c r="D1" s="14"/>
      <c r="E1" s="14"/>
      <c r="F1" s="14"/>
      <c r="G1" s="14"/>
      <c r="H1" s="14"/>
      <c r="I1" s="14"/>
      <c r="J1" s="15">
        <f>inputPrYr!D5</f>
        <v>2015</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2013</v>
      </c>
      <c r="E9" s="602" t="str">
        <f>CONCATENATE("Budget Tax Levy Rate for ",J1-1,"")</f>
        <v>Budget Tax Levy Rate for 2014</v>
      </c>
      <c r="F9" s="250"/>
      <c r="G9" s="587" t="str">
        <f>CONCATENATE("Allocation for Year ",J1,"")</f>
        <v>Allocation for Year 2015</v>
      </c>
      <c r="H9" s="604"/>
      <c r="I9" s="604"/>
      <c r="J9" s="604"/>
      <c r="K9" s="604"/>
      <c r="L9" s="605"/>
    </row>
    <row r="10" spans="2:12" ht="15.75">
      <c r="B10" s="251" t="str">
        <f>CONCATENATE("",J1-1," Budgeted Funds")</f>
        <v>2014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6443</v>
      </c>
      <c r="E11" s="253">
        <f>IF(inputOth!D17&gt;0,inputOth!D17,"  ")</f>
        <v>4.166</v>
      </c>
      <c r="F11" s="254"/>
      <c r="G11" s="96">
        <f>IF(inputPrYr!E16=0,0,G22-SUM(G12:G19))</f>
        <v>910</v>
      </c>
      <c r="H11" s="255"/>
      <c r="I11" s="96">
        <f>IF(inputPrYr!E16=0,0,I24-SUM(I12:I19))</f>
        <v>24</v>
      </c>
      <c r="J11" s="96">
        <v>194</v>
      </c>
      <c r="K11" s="96">
        <f>IF(inputPrYr!E16=0,0,K28-SUM(K12:K19))</f>
        <v>29</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39521</v>
      </c>
      <c r="E13" s="253">
        <f>IF(inputOth!D19&gt;0,inputOth!D19,"  ")</f>
        <v>25.554</v>
      </c>
      <c r="F13" s="254"/>
      <c r="G13" s="96">
        <f>IF(inputPrYr!E18=0,0,ROUND(D13*$G$30,0))</f>
        <v>5585</v>
      </c>
      <c r="H13" s="255"/>
      <c r="I13" s="96">
        <f>IF(inputPrYr!$E$18=0,0,ROUND($D$13*$I$32,0))</f>
        <v>149</v>
      </c>
      <c r="J13" s="96">
        <v>1164</v>
      </c>
      <c r="K13" s="96">
        <f>IF(inputPrYr!E18=0,0,ROUND($D13*$K$36,0))</f>
        <v>181</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45964</v>
      </c>
      <c r="E20" s="259">
        <f>SUM(E11:E19)</f>
        <v>29.72</v>
      </c>
      <c r="F20" s="260"/>
      <c r="G20" s="258">
        <f>SUM(G11:G19)</f>
        <v>6495</v>
      </c>
      <c r="H20" s="258"/>
      <c r="I20" s="258">
        <f>SUM(I11:I19)</f>
        <v>173</v>
      </c>
      <c r="J20" s="258">
        <f>SUM(J11:J19)</f>
        <v>1358</v>
      </c>
      <c r="K20" s="258">
        <f>SUM(K11:K19)</f>
        <v>210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6495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173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1358</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210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0.14130623966582542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0.0037638151596901923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0.029544861195718388</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0.00456879296841006</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99" t="str">
        <f>inputPrYr!D2</f>
        <v>KINGMAN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2013</v>
      </c>
      <c r="D9" s="236">
        <f>F1-1</f>
        <v>2014</v>
      </c>
      <c r="E9" s="236">
        <f>F1</f>
        <v>2015</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11901</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11901</v>
      </c>
      <c r="D27" s="245">
        <f>SUM(D10:D26)</f>
        <v>0</v>
      </c>
      <c r="E27" s="245">
        <f>SUM(E10:E26)</f>
        <v>0</v>
      </c>
      <c r="F27" s="140"/>
    </row>
    <row r="28" spans="1:6" ht="15.75">
      <c r="A28" s="140"/>
      <c r="B28" s="244" t="s">
        <v>632</v>
      </c>
      <c r="C28" s="140"/>
      <c r="D28" s="241"/>
      <c r="E28" s="241"/>
      <c r="F28" s="140"/>
    </row>
    <row r="29" spans="1:6" ht="15.75">
      <c r="A29" s="140"/>
      <c r="B29" s="192" t="s">
        <v>183</v>
      </c>
      <c r="C29" s="246">
        <f>C27</f>
        <v>11901</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2014 and/or 2015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2014-07-17T14:51:01Z</cp:lastPrinted>
  <dcterms:created xsi:type="dcterms:W3CDTF">1998-08-26T16:30:41Z</dcterms:created>
  <dcterms:modified xsi:type="dcterms:W3CDTF">2014-07-17T14:58:17Z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