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75" windowHeight="7545"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Pub Notice Option 1" sheetId="13" r:id="rId13"/>
    <sheet name="Pub Notice OPtion 2" sheetId="14" r:id="rId14"/>
    <sheet name="nhood" sheetId="15"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Library Grant" sheetId="23" r:id="rId23"/>
    <sheet name="DebtSvs-Library" sheetId="24" r:id="rId24"/>
    <sheet name="levypage10" sheetId="25" r:id="rId25"/>
    <sheet name="levypage11" sheetId="26" r:id="rId26"/>
    <sheet name="nolevypage12" sheetId="27" r:id="rId27"/>
    <sheet name="NonBudFunds" sheetId="28" r:id="rId28"/>
    <sheet name="levypage9"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'gen'!$B$1:$E$54</definedName>
    <definedName name="_xlnm.Print_Area" localSheetId="1">'inputPrYr'!$A$1:$E$85</definedName>
    <definedName name="_xlnm.Print_Area" localSheetId="24">'levypage10'!$A$1:$E$86</definedName>
    <definedName name="_xlnm.Print_Area" localSheetId="25">'levypage11'!$A$1:$E$86</definedName>
    <definedName name="_xlnm.Print_Area" localSheetId="28">'levypage9'!$A$1:$E$86</definedName>
    <definedName name="_xlnm.Print_Area" localSheetId="22">'Library Grant'!$A$1:$J$40</definedName>
    <definedName name="_xlnm.Print_Area" localSheetId="10">'road'!$B$1:$F$66</definedName>
    <definedName name="_xlnm.Print_Area" localSheetId="11">'summ'!$B$2:$I$36</definedName>
  </definedNames>
  <calcPr fullCalcOnLoad="1"/>
</workbook>
</file>

<file path=xl/sharedStrings.xml><?xml version="1.0" encoding="utf-8"?>
<sst xmlns="http://schemas.openxmlformats.org/spreadsheetml/2006/main" count="1580" uniqueCount="954">
  <si>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</si>
  <si>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</si>
  <si>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</si>
  <si>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</si>
  <si>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</si>
  <si>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</si>
  <si>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</si>
  <si>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</si>
  <si>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</si>
  <si>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</si>
  <si>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</si>
  <si>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</si>
  <si>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</si>
  <si>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</si>
  <si>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</si>
  <si>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</si>
  <si>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</si>
  <si>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</si>
  <si>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</si>
  <si>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</si>
  <si>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</si>
  <si>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</si>
  <si>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</si>
  <si>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</si>
  <si>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</si>
  <si>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</si>
  <si>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</si>
  <si>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</si>
  <si>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</si>
  <si>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</si>
  <si>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</si>
  <si>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</si>
  <si>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</si>
  <si>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</si>
  <si>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</si>
  <si>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</si>
  <si>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</si>
  <si>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</si>
  <si>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</si>
  <si>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</si>
  <si>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</si>
  <si>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</si>
  <si>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</si>
  <si>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</si>
  <si>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</si>
  <si>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</si>
  <si>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</si>
  <si>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</si>
  <si>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</si>
  <si>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</si>
  <si>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</si>
  <si>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</si>
  <si>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</si>
  <si>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</si>
  <si>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</si>
  <si>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</si>
  <si>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</si>
  <si>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</si>
  <si>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</si>
  <si>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</si>
  <si>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</si>
  <si>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</si>
  <si>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</si>
  <si>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</si>
  <si>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</si>
  <si>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</si>
  <si>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</si>
  <si>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</si>
  <si>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</si>
  <si>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</si>
  <si>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</si>
  <si>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</si>
  <si>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</si>
  <si>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</si>
  <si>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</si>
  <si>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</si>
  <si>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</si>
  <si>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</si>
  <si>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</si>
  <si>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</si>
  <si>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</si>
  <si>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</si>
  <si>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</si>
  <si>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</si>
  <si>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</si>
  <si>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</si>
  <si>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</si>
  <si>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</si>
  <si>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</si>
  <si>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</si>
  <si>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</si>
  <si>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</si>
  <si>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</si>
  <si>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</si>
  <si>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</si>
  <si>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</si>
  <si>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</si>
  <si>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</si>
  <si>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</si>
  <si>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</si>
  <si>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</si>
  <si>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</si>
  <si>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</si>
  <si>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</si>
  <si>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</si>
  <si>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</si>
  <si>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</si>
  <si>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</si>
  <si>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</si>
  <si>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</si>
  <si>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</si>
  <si>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</si>
  <si>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</si>
  <si>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</si>
  <si>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</si>
  <si>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</si>
  <si>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</si>
  <si>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</si>
  <si>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</si>
  <si>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</si>
  <si>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</si>
  <si>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</si>
  <si>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</si>
  <si>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</si>
  <si>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</si>
  <si>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</si>
  <si>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</si>
  <si>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</si>
  <si>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</si>
  <si>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</si>
  <si>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</si>
  <si>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</si>
  <si>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</si>
  <si>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</si>
  <si>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</si>
  <si>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</si>
  <si>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</si>
  <si>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</si>
  <si>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</si>
  <si>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</si>
  <si>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</si>
  <si>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</si>
  <si>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</si>
  <si>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</si>
  <si>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</si>
  <si>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</si>
  <si>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</si>
  <si>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</si>
  <si>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</si>
  <si>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</si>
  <si>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</si>
  <si>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</si>
  <si>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</si>
  <si>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</si>
  <si>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</si>
  <si>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</si>
  <si>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</si>
  <si>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</si>
  <si>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</si>
  <si>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</si>
  <si>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</si>
  <si>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</si>
  <si>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</si>
  <si>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</si>
  <si>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</si>
  <si>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</si>
  <si>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</si>
  <si>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</si>
  <si>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</si>
  <si>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</si>
  <si>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</si>
  <si>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</si>
  <si>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</si>
  <si>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</si>
  <si>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</si>
  <si>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</si>
  <si>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</si>
  <si>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</si>
  <si>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</si>
  <si>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</si>
  <si>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</si>
  <si>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</si>
  <si>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</si>
  <si>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</si>
  <si>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</si>
  <si>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</si>
  <si>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</si>
  <si>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</si>
  <si>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</si>
  <si>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</si>
  <si>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</si>
  <si>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</si>
  <si>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</si>
  <si>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</si>
  <si>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</si>
  <si>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</si>
  <si>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</si>
  <si>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</si>
  <si>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</si>
  <si>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</si>
  <si>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</si>
  <si>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</si>
  <si>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</si>
  <si>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</si>
  <si>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</si>
  <si>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</si>
  <si>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</si>
  <si>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</si>
  <si>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</si>
  <si>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</si>
  <si>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</si>
  <si>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</si>
  <si>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</si>
  <si>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</si>
  <si>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</si>
  <si>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</si>
  <si>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</si>
  <si>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</si>
  <si>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</si>
  <si>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</si>
  <si>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</si>
  <si>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</si>
  <si>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</si>
  <si>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</si>
  <si>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</si>
  <si>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</si>
  <si>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</si>
  <si>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</si>
  <si>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</si>
  <si>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</si>
  <si>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</si>
  <si>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</si>
  <si>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</si>
  <si>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</si>
  <si>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</si>
  <si>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</si>
  <si>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</si>
  <si>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</si>
  <si>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</si>
  <si>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</si>
  <si>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</si>
  <si>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</si>
  <si>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</si>
  <si>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</si>
  <si>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</si>
  <si>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</si>
  <si>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</si>
  <si>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</si>
  <si>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</si>
  <si>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</si>
  <si>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</si>
  <si>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</si>
  <si>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</si>
  <si>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</si>
  <si>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</si>
  <si>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</si>
  <si>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</si>
  <si>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</si>
  <si>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</si>
  <si>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</si>
  <si>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</si>
  <si>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</si>
  <si>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</si>
  <si>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</si>
  <si>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</si>
  <si>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</si>
  <si>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</si>
  <si>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</si>
  <si>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</si>
  <si>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</si>
  <si>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</si>
  <si>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</si>
  <si>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</si>
  <si>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</si>
  <si>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</si>
  <si>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</si>
  <si>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</si>
  <si>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</si>
  <si>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</si>
  <si>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</si>
  <si>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</si>
  <si>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</si>
  <si>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</si>
  <si>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</si>
  <si>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</si>
  <si>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</si>
  <si>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</si>
  <si>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</si>
  <si>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</si>
  <si>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</si>
  <si>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</si>
  <si>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</si>
  <si>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</si>
  <si>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</si>
  <si>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</si>
  <si>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</si>
  <si>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</si>
  <si>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</si>
  <si>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</si>
  <si>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</si>
  <si>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</si>
  <si>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</si>
  <si>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</si>
  <si>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</si>
  <si>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</si>
  <si>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</si>
  <si>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</si>
  <si>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</si>
  <si>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</si>
  <si>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</si>
  <si>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</si>
  <si>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</si>
  <si>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</si>
  <si>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</si>
  <si>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</si>
  <si>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</si>
  <si>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</si>
  <si>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</si>
  <si>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</si>
  <si>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</si>
  <si>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</si>
  <si>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</si>
  <si>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</si>
  <si>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</si>
  <si>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</si>
  <si>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</si>
  <si>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</si>
  <si>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</si>
  <si>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</si>
  <si>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</si>
  <si>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</si>
  <si>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</si>
  <si>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</si>
  <si>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</si>
  <si>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</si>
  <si>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</si>
  <si>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</si>
  <si>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</si>
  <si>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</si>
  <si>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</si>
  <si>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</si>
  <si>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</si>
  <si>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</si>
  <si>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</si>
  <si>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</si>
  <si>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</si>
  <si>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</si>
  <si>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</si>
  <si>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</si>
  <si>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</si>
  <si>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</si>
  <si>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</si>
  <si>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</si>
  <si>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</si>
  <si>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</si>
  <si>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</si>
  <si>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</si>
  <si>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</si>
  <si>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</si>
  <si>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</si>
  <si>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</si>
  <si>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</si>
  <si>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</si>
  <si>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</si>
  <si>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</si>
  <si>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</si>
  <si>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</si>
  <si>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</si>
  <si>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</si>
  <si>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</si>
  <si>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</si>
  <si>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</si>
  <si>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</si>
  <si>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</si>
  <si>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</si>
  <si>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</si>
  <si>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</si>
  <si>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</si>
  <si>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</si>
  <si>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</si>
  <si>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</si>
  <si>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</si>
  <si>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</si>
  <si>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</si>
  <si>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</si>
  <si>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</si>
  <si>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</si>
  <si>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</si>
  <si>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</si>
  <si>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</si>
  <si>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</si>
  <si>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</si>
  <si>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</si>
  <si>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</si>
  <si>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</si>
  <si>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</si>
  <si>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</si>
  <si>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</si>
  <si>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</si>
  <si>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</si>
  <si>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</si>
  <si>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</si>
  <si>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</si>
  <si>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</si>
  <si>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</si>
  <si>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</si>
  <si>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</si>
  <si>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</si>
  <si>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</si>
  <si>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</si>
  <si>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</si>
  <si>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</si>
  <si>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</si>
  <si>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</si>
  <si>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</si>
  <si>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</si>
  <si>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</si>
  <si>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</si>
  <si>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</si>
  <si>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</si>
  <si>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</si>
  <si>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</si>
  <si>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</si>
  <si>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</si>
  <si>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</si>
  <si>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</si>
  <si>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</si>
  <si>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</si>
  <si>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</si>
  <si>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</si>
  <si>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</si>
  <si>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</si>
  <si>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</si>
  <si>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</si>
  <si>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</si>
  <si>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</si>
  <si>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</si>
  <si>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</si>
  <si>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</si>
  <si>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</si>
  <si>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</si>
  <si>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</si>
  <si>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</si>
  <si>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</si>
  <si>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</si>
  <si>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</si>
  <si>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</si>
  <si>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</si>
  <si>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</si>
  <si>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</si>
  <si>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</si>
  <si>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</si>
  <si>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</si>
  <si>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</si>
  <si>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</si>
  <si>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</si>
  <si>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</si>
  <si>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</si>
  <si>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</si>
  <si>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</si>
  <si>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</si>
  <si>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</si>
  <si>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</si>
  <si>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</si>
  <si>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</si>
  <si>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</si>
  <si>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</si>
  <si>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</si>
  <si>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</si>
  <si>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</si>
  <si>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</si>
  <si>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</si>
  <si>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</si>
  <si>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</si>
  <si>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</si>
  <si>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</si>
  <si>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</si>
  <si>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</si>
  <si>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</si>
  <si>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</si>
  <si>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</si>
  <si>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</si>
  <si>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</si>
  <si>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</si>
  <si>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</si>
  <si>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</si>
  <si>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</si>
  <si>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</si>
  <si>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</si>
  <si>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</si>
  <si>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</si>
  <si>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</si>
  <si>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</si>
  <si>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</si>
  <si>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</si>
  <si>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</si>
  <si>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</si>
  <si>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</si>
  <si>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</si>
  <si>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</si>
  <si>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</si>
  <si>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</si>
  <si>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</si>
  <si>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</si>
  <si>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</si>
  <si>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</si>
  <si>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</si>
  <si>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</si>
  <si>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</si>
  <si>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</si>
  <si>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</si>
  <si>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</si>
  <si>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</si>
  <si>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</si>
  <si>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</si>
  <si>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</si>
  <si>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</si>
  <si>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</si>
  <si>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</si>
  <si>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</si>
  <si>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</si>
  <si>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</si>
  <si>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</si>
  <si>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</si>
  <si>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</si>
  <si>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</si>
  <si>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</si>
  <si>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</si>
  <si>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</si>
  <si>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</si>
  <si>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</si>
  <si>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</si>
  <si>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</si>
  <si>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</si>
  <si>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</si>
  <si>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</si>
  <si>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</si>
  <si>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</si>
  <si>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</si>
  <si>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</si>
  <si>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</si>
  <si>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</si>
  <si>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</si>
  <si>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</si>
  <si>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</si>
  <si>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</si>
  <si>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</si>
  <si>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</si>
  <si>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</si>
  <si>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</si>
  <si>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</si>
  <si>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</si>
  <si>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</si>
  <si>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</si>
  <si>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</si>
  <si>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</si>
  <si>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</si>
  <si>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</si>
  <si>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</si>
  <si>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</si>
  <si>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</si>
  <si>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</si>
  <si>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</si>
  <si>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</si>
  <si>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</si>
  <si>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</si>
  <si>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</si>
  <si>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</si>
  <si>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</si>
  <si>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</si>
  <si>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</si>
  <si>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</si>
  <si>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</si>
  <si>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</si>
  <si>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</si>
  <si>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</si>
  <si>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</si>
  <si>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</si>
  <si>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</si>
  <si>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</si>
  <si>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</si>
  <si>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</si>
  <si>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</si>
  <si>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</si>
  <si>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</si>
  <si>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</si>
  <si>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</si>
  <si>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</si>
  <si>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</si>
  <si>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</si>
  <si>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</si>
  <si>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</si>
  <si>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</si>
  <si>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</si>
  <si>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</si>
  <si>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</si>
  <si>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</si>
  <si>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</si>
  <si>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</si>
  <si>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</si>
  <si>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</si>
  <si>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</si>
  <si>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</si>
  <si>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</si>
  <si>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</si>
  <si>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</si>
  <si>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</si>
  <si>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</si>
  <si>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</si>
  <si>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</si>
  <si>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</si>
  <si>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</si>
  <si>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</si>
  <si>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</si>
  <si>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</si>
  <si>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</si>
  <si>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</si>
  <si>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</si>
  <si>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</si>
  <si>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</si>
  <si>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</si>
  <si>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</si>
  <si>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</si>
  <si>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</si>
  <si>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</si>
  <si>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</si>
  <si>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</si>
  <si>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</si>
  <si>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</si>
  <si>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</si>
  <si>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</si>
  <si>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</si>
  <si>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</si>
  <si>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</si>
  <si>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</si>
  <si>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</si>
  <si>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</si>
  <si>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</si>
  <si>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</si>
  <si>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</si>
  <si>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</si>
  <si>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</si>
  <si>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</si>
  <si>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</si>
  <si>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</si>
  <si>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</si>
  <si>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</si>
  <si>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</si>
  <si>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</si>
  <si>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</si>
  <si>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</si>
  <si>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</si>
  <si>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</si>
  <si>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</si>
  <si>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</si>
  <si>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</si>
  <si>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</si>
  <si>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</si>
  <si>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</si>
  <si>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</si>
  <si>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</si>
  <si>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</si>
  <si>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</si>
  <si>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</si>
  <si>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</si>
  <si>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</si>
  <si>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</si>
  <si>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</si>
  <si>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</si>
  <si>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</si>
  <si>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</si>
  <si>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</si>
  <si>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</si>
  <si>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</si>
  <si>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</si>
  <si>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</si>
  <si>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</si>
  <si>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</si>
  <si>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</si>
  <si>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</si>
  <si>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</si>
  <si>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</si>
  <si>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</si>
  <si>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</si>
  <si>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</si>
  <si>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</si>
  <si>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</si>
  <si>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</si>
  <si>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</si>
  <si>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</si>
  <si>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</si>
  <si>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</si>
  <si>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</si>
  <si>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</si>
  <si>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</si>
  <si>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</si>
  <si>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</si>
  <si>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</si>
  <si>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</si>
  <si>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</si>
  <si>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</si>
  <si>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</si>
  <si>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</si>
  <si>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</si>
  <si>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</si>
  <si>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</si>
  <si>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</si>
  <si>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</si>
  <si>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</si>
  <si>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</si>
  <si>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</si>
  <si>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</si>
  <si>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</si>
  <si>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</si>
  <si>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</si>
  <si>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</si>
  <si>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</si>
  <si>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</si>
  <si>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</si>
  <si>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</si>
  <si>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</si>
  <si>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</si>
  <si>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</si>
  <si>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</si>
  <si>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</si>
  <si>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</si>
  <si>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</si>
  <si>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</si>
  <si>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</si>
  <si>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</si>
  <si>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</si>
  <si>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</si>
  <si>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</si>
  <si>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</si>
  <si>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</si>
  <si>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</si>
  <si>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</si>
  <si>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</si>
  <si>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</si>
  <si>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</si>
  <si>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</si>
  <si>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</si>
  <si>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</si>
  <si>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</si>
  <si>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</si>
  <si>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</si>
  <si>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</si>
  <si>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</si>
  <si>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</si>
  <si>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</si>
  <si>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</si>
  <si>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</si>
  <si>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</si>
  <si>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</si>
  <si>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</si>
  <si>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</si>
  <si>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</si>
  <si>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</si>
  <si>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</si>
  <si>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</si>
  <si>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</si>
  <si>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</si>
  <si>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</si>
  <si>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</si>
  <si>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</si>
  <si>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</si>
  <si>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</si>
  <si>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</si>
  <si>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</si>
  <si>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</si>
  <si>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</si>
  <si>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</si>
  <si>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</si>
  <si>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</si>
  <si>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</si>
  <si>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</si>
  <si>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</si>
  <si>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</si>
  <si>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</si>
  <si>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</si>
  <si>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</si>
  <si>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</si>
  <si>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</si>
  <si>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</si>
  <si>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</si>
  <si>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</si>
  <si>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</si>
  <si>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</si>
  <si>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</si>
  <si>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</si>
  <si>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</si>
  <si>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</si>
  <si>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</si>
  <si>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</si>
  <si>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</si>
  <si>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</si>
  <si>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</si>
  <si>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</si>
  <si>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</si>
  <si>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</si>
  <si>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</si>
  <si>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</si>
  <si>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</si>
  <si>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</si>
  <si>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</si>
  <si>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</si>
  <si>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</si>
  <si>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</si>
  <si>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</si>
  <si>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</si>
  <si>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</si>
  <si>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</si>
  <si>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</si>
  <si>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</si>
  <si>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</si>
  <si>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</si>
  <si>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</si>
  <si>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</si>
  <si>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</si>
  <si>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</si>
  <si>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</si>
  <si>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</si>
  <si>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</si>
  <si>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</si>
  <si>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</si>
  <si>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</si>
  <si>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</si>
  <si>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</si>
  <si>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</si>
  <si>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</si>
  <si>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</si>
  <si>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</si>
  <si>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</si>
  <si>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</si>
  <si>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</si>
  <si>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</si>
  <si>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</si>
  <si>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</si>
  <si>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</si>
  <si>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</si>
  <si>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</si>
  <si>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</si>
  <si>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</si>
  <si>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</si>
  <si>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</si>
  <si>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</si>
  <si>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</si>
  <si>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</si>
  <si>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</si>
  <si>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</si>
  <si>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</si>
  <si>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</si>
  <si>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</si>
  <si>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</si>
  <si>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</si>
  <si>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</si>
  <si>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</si>
  <si>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</si>
  <si>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</si>
  <si>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</si>
  <si>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</si>
  <si>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</si>
  <si>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</si>
  <si>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</si>
  <si>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</si>
  <si>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</si>
  <si>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</si>
  <si>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</si>
  <si>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</si>
  <si>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</si>
  <si>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</si>
  <si>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</si>
  <si>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</si>
  <si>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</si>
  <si>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</si>
  <si>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</si>
  <si>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</si>
  <si>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</si>
  <si>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</si>
  <si>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</si>
  <si>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</si>
  <si>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</si>
  <si>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</si>
  <si>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</si>
  <si>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</si>
  <si>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</si>
  <si>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</si>
  <si>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</si>
  <si>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</si>
  <si>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</si>
  <si>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</si>
  <si>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</si>
  <si>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</si>
  <si>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</si>
  <si>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</si>
  <si>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</si>
  <si>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</si>
  <si>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</si>
  <si>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</si>
  <si>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</si>
  <si>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</si>
  <si>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</si>
  <si>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</si>
  <si>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</si>
  <si>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</si>
  <si>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</si>
  <si>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</si>
  <si>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</si>
  <si>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</si>
  <si>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</si>
  <si>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</si>
  <si>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</si>
  <si>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</si>
  <si>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</si>
  <si>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</si>
  <si>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</si>
  <si>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</si>
  <si>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</si>
  <si>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</si>
  <si>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</si>
  <si>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</si>
  <si>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</si>
  <si>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</si>
  <si>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15.</t>
  </si>
  <si>
    <t>Maximum Tax Levy, excluding debt service,  (3 plus 11)</t>
  </si>
  <si>
    <t>Consumer Price Index Adjustment per HB 2047</t>
  </si>
  <si>
    <t>Maximum levy, including debt service, without a Notice of Vote  (12 plus 13 plus 14)</t>
  </si>
  <si>
    <t>adopt a Notice of Vote to exceed this limit, publish the Notice of Vote, and</t>
  </si>
  <si>
    <t>Is a Notice of Vote required?</t>
  </si>
  <si>
    <t>provide the County Clerk with a copy of the published Notice of Vote.</t>
  </si>
  <si>
    <t>Carolyn Brock</t>
  </si>
  <si>
    <t>612 SW Terrace Ave</t>
  </si>
  <si>
    <t>Topeka, KS 66611-1216</t>
  </si>
  <si>
    <t>brockck@sbcglobal.net</t>
  </si>
  <si>
    <t>Brown County</t>
  </si>
  <si>
    <t>Notice of Vote</t>
  </si>
  <si>
    <t>Brown County Clerk's office</t>
  </si>
  <si>
    <t>Irving Township</t>
  </si>
  <si>
    <t>Curt Blevin's residence</t>
  </si>
  <si>
    <t>Grader</t>
  </si>
  <si>
    <t>Budget &amp; Publications</t>
  </si>
  <si>
    <t>Robinson Fire Department</t>
  </si>
  <si>
    <t>Equipment Repairs</t>
  </si>
  <si>
    <t>Fuel</t>
  </si>
  <si>
    <t xml:space="preserve">Sample Notice of Vote Publication </t>
  </si>
  <si>
    <t>Sample Notice of Vote Publication</t>
  </si>
  <si>
    <t>Pursuant to K.S.A. 79-2925b, as amended by 2014 House Bill 2047</t>
  </si>
  <si>
    <t>Total Property Tax Levied</t>
  </si>
  <si>
    <t xml:space="preserve">Approved (vote) </t>
  </si>
  <si>
    <t>to</t>
  </si>
  <si>
    <t>10:30 AM</t>
  </si>
  <si>
    <t>July 29, 2014</t>
  </si>
  <si>
    <t>Curt Blevin</t>
  </si>
  <si>
    <t>Trustee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</si>
</sst>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 numFmtId="192" formatCode="[$-409]h:mm:ss\ AM/PM"/>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8">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3"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3" fillId="0" borderId="0" xfId="494" applyFont="1" applyAlignment="1">
      <alignment horizontal="left" vertical="center"/>
      <protection/>
    </xf>
    <xf numFmtId="183" fontId="23"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7" fillId="4" borderId="16" xfId="0" applyFont="1" applyFill="1" applyBorder="1" applyAlignment="1" applyProtection="1">
      <alignment horizontal="center" vertical="center"/>
      <protection/>
    </xf>
    <xf numFmtId="3" fontId="17" fillId="4" borderId="16" xfId="0" applyNumberFormat="1" applyFont="1" applyFill="1" applyBorder="1" applyAlignment="1" applyProtection="1">
      <alignment horizontal="center" vertical="center"/>
      <protection/>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6" fillId="23" borderId="0" xfId="95" applyFont="1" applyFill="1" applyAlignment="1">
      <alignment vertical="center"/>
      <protection/>
    </xf>
    <xf numFmtId="0" fontId="16"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6" fillId="4" borderId="0" xfId="95" applyNumberFormat="1" applyFont="1" applyFill="1" applyAlignment="1">
      <alignment horizontal="center" vertical="center"/>
      <protection/>
    </xf>
    <xf numFmtId="0" fontId="16" fillId="23" borderId="0" xfId="95" applyFont="1" applyFill="1" applyAlignment="1">
      <alignment horizontal="center" vertical="center"/>
      <protection/>
    </xf>
    <xf numFmtId="0" fontId="17"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1"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6" fillId="24" borderId="14" xfId="87" applyNumberFormat="1" applyFont="1" applyFill="1" applyBorder="1" applyAlignment="1" applyProtection="1">
      <alignment horizontal="center" vertical="center"/>
      <protection/>
    </xf>
    <xf numFmtId="3" fontId="16"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1" fillId="4" borderId="15" xfId="87" applyNumberFormat="1" applyFont="1" applyFill="1" applyBorder="1" applyAlignment="1" applyProtection="1">
      <alignment horizontal="center" vertical="center"/>
      <protection/>
    </xf>
    <xf numFmtId="0" fontId="41"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1"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3" fillId="4" borderId="10" xfId="87" applyFont="1" applyFill="1" applyBorder="1" applyAlignment="1">
      <alignment horizontal="left" vertical="center"/>
      <protection/>
    </xf>
    <xf numFmtId="187" fontId="41"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6"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39" fillId="0" borderId="0" xfId="87" applyFont="1" applyProtection="1">
      <alignment/>
      <protection locked="0"/>
    </xf>
    <xf numFmtId="0" fontId="44" fillId="0" borderId="0" xfId="87" applyFont="1" applyAlignment="1" applyProtection="1">
      <alignment vertical="center"/>
      <protection/>
    </xf>
    <xf numFmtId="0" fontId="19"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7"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0"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0"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39" fillId="0" borderId="0" xfId="87" applyFont="1" applyAlignment="1" applyProtection="1">
      <alignment horizontal="right" vertical="center"/>
      <protection/>
    </xf>
    <xf numFmtId="187" fontId="23"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3" fillId="4" borderId="25" xfId="87" applyNumberFormat="1" applyFont="1" applyFill="1" applyBorder="1" applyAlignment="1" applyProtection="1">
      <alignment vertical="center"/>
      <protection/>
    </xf>
    <xf numFmtId="0" fontId="23"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39"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19" fillId="0" borderId="0" xfId="87" applyFont="1" applyProtection="1">
      <alignment/>
      <protection locked="0"/>
    </xf>
    <xf numFmtId="0" fontId="19"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6" fillId="0" borderId="0" xfId="0" applyFont="1" applyAlignment="1">
      <alignment/>
    </xf>
    <xf numFmtId="0" fontId="47" fillId="0" borderId="0" xfId="494" applyFont="1">
      <alignment/>
      <protection/>
    </xf>
    <xf numFmtId="182" fontId="48" fillId="0" borderId="0" xfId="494" applyNumberFormat="1" applyFont="1" applyAlignment="1">
      <alignment horizontal="left" vertical="center"/>
      <protection/>
    </xf>
    <xf numFmtId="0" fontId="48" fillId="0" borderId="0" xfId="494" applyNumberFormat="1" applyFont="1" applyAlignment="1">
      <alignment horizontal="left" vertical="center"/>
      <protection/>
    </xf>
    <xf numFmtId="1" fontId="48" fillId="0" borderId="0" xfId="494" applyNumberFormat="1" applyFont="1" applyAlignment="1">
      <alignment horizontal="left" vertical="center"/>
      <protection/>
    </xf>
    <xf numFmtId="0" fontId="49"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39" fillId="0" borderId="25" xfId="87" applyFont="1" applyBorder="1" applyProtection="1">
      <alignment/>
      <protection locked="0"/>
    </xf>
    <xf numFmtId="0" fontId="31"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0"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1"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10" fontId="6" fillId="4" borderId="0" xfId="0" applyNumberFormat="1" applyFont="1" applyFill="1" applyAlignment="1" applyProtection="1">
      <alignment vertical="center"/>
      <protection/>
    </xf>
    <xf numFmtId="0" fontId="12" fillId="22" borderId="10" xfId="69" applyFill="1" applyBorder="1" applyAlignment="1" applyProtection="1">
      <alignment vertical="center"/>
      <protection locked="0"/>
    </xf>
    <xf numFmtId="0" fontId="6" fillId="0" borderId="0" xfId="0" applyNumberFormat="1" applyFont="1" applyAlignment="1" applyProtection="1">
      <alignment vertical="center"/>
      <protection locked="0"/>
    </xf>
    <xf numFmtId="0" fontId="4" fillId="0" borderId="0" xfId="90">
      <alignment/>
      <protection/>
    </xf>
    <xf numFmtId="0" fontId="51" fillId="0" borderId="0" xfId="90" applyFont="1">
      <alignment/>
      <protection/>
    </xf>
    <xf numFmtId="0" fontId="69" fillId="28" borderId="0" xfId="427" applyFill="1" applyBorder="1">
      <alignment/>
      <protection/>
    </xf>
    <xf numFmtId="0" fontId="69" fillId="28" borderId="0" xfId="427" applyFill="1" applyBorder="1" applyAlignment="1">
      <alignment horizontal="left" vertical="center"/>
      <protection/>
    </xf>
    <xf numFmtId="0" fontId="69" fillId="28" borderId="0" xfId="427" applyFill="1" applyBorder="1" applyAlignment="1">
      <alignment horizontal="center" vertical="center"/>
      <protection/>
    </xf>
    <xf numFmtId="0" fontId="69" fillId="28" borderId="0" xfId="427" applyFill="1">
      <alignment/>
      <protection/>
    </xf>
    <xf numFmtId="0" fontId="77" fillId="28" borderId="37" xfId="427" applyFont="1" applyFill="1" applyBorder="1">
      <alignment/>
      <protection/>
    </xf>
    <xf numFmtId="0" fontId="77" fillId="28" borderId="0" xfId="427" applyFont="1" applyFill="1" applyBorder="1" applyAlignment="1">
      <alignment horizontal="right"/>
      <protection/>
    </xf>
    <xf numFmtId="3" fontId="77" fillId="28" borderId="10" xfId="427" applyNumberFormat="1" applyFont="1" applyFill="1" applyBorder="1">
      <alignment/>
      <protection/>
    </xf>
    <xf numFmtId="0" fontId="77" fillId="28" borderId="0" xfId="427" applyFont="1" applyFill="1" applyBorder="1">
      <alignment/>
      <protection/>
    </xf>
    <xf numFmtId="0" fontId="77" fillId="28" borderId="33" xfId="427" applyFont="1" applyFill="1" applyBorder="1">
      <alignment/>
      <protection/>
    </xf>
    <xf numFmtId="3" fontId="77" fillId="28" borderId="21" xfId="427" applyNumberFormat="1" applyFont="1" applyFill="1" applyBorder="1">
      <alignment/>
      <protection/>
    </xf>
    <xf numFmtId="0" fontId="77" fillId="28" borderId="10" xfId="427" applyFont="1" applyFill="1" applyBorder="1" applyAlignment="1" applyProtection="1">
      <alignment horizontal="center"/>
      <protection locked="0"/>
    </xf>
    <xf numFmtId="0" fontId="77" fillId="28" borderId="0" xfId="427" applyFont="1" applyFill="1" applyBorder="1" applyAlignment="1">
      <alignment horizontal="center"/>
      <protection/>
    </xf>
    <xf numFmtId="0" fontId="77" fillId="28" borderId="41" xfId="427" applyFont="1" applyFill="1" applyBorder="1" applyAlignment="1" applyProtection="1">
      <alignment horizontal="center"/>
      <protection locked="0"/>
    </xf>
    <xf numFmtId="0" fontId="77" fillId="28" borderId="34" xfId="427" applyFont="1" applyFill="1" applyBorder="1">
      <alignment/>
      <protection/>
    </xf>
    <xf numFmtId="0" fontId="77" fillId="28" borderId="35" xfId="427" applyFont="1" applyFill="1" applyBorder="1">
      <alignment/>
      <protection/>
    </xf>
    <xf numFmtId="0" fontId="77" fillId="28" borderId="36" xfId="427" applyFont="1" applyFill="1" applyBorder="1">
      <alignment/>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18"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0" fontId="6" fillId="4" borderId="0" xfId="0" applyFont="1" applyFill="1" applyAlignment="1">
      <alignment horizontal="center" vertical="center"/>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16"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79" fillId="28" borderId="42" xfId="427" applyFont="1" applyFill="1" applyBorder="1" applyAlignment="1">
      <alignment horizontal="center"/>
      <protection/>
    </xf>
    <xf numFmtId="0" fontId="69" fillId="28" borderId="43" xfId="427" applyFill="1" applyBorder="1" applyAlignment="1">
      <alignment horizontal="center"/>
      <protection/>
    </xf>
    <xf numFmtId="0" fontId="69" fillId="28" borderId="44" xfId="427" applyFill="1" applyBorder="1" applyAlignment="1">
      <alignment horizontal="center"/>
      <protection/>
    </xf>
    <xf numFmtId="0" fontId="77" fillId="28" borderId="29" xfId="427" applyFont="1" applyFill="1" applyBorder="1" applyAlignment="1">
      <alignment horizontal="center"/>
      <protection/>
    </xf>
    <xf numFmtId="0" fontId="77" fillId="28" borderId="30" xfId="427" applyFont="1" applyFill="1" applyBorder="1" applyAlignment="1">
      <alignment horizontal="center"/>
      <protection/>
    </xf>
    <xf numFmtId="0" fontId="77" fillId="28" borderId="31" xfId="427" applyFont="1" applyFill="1" applyBorder="1" applyAlignment="1">
      <alignment horizontal="center"/>
      <protection/>
    </xf>
    <xf numFmtId="0" fontId="77" fillId="28" borderId="34" xfId="427" applyFont="1" applyFill="1" applyBorder="1" applyAlignment="1">
      <alignment horizontal="left" vertical="top" wrapText="1"/>
      <protection/>
    </xf>
    <xf numFmtId="0" fontId="77" fillId="28" borderId="35" xfId="427" applyFont="1" applyFill="1" applyBorder="1" applyAlignment="1">
      <alignment horizontal="left" vertical="top" wrapText="1"/>
      <protection/>
    </xf>
    <xf numFmtId="0" fontId="77" fillId="28" borderId="36" xfId="427" applyFont="1" applyFill="1" applyBorder="1" applyAlignment="1">
      <alignment horizontal="left" vertical="top" wrapText="1"/>
      <protection/>
    </xf>
    <xf numFmtId="0" fontId="79" fillId="0" borderId="42" xfId="427" applyFont="1" applyBorder="1" applyAlignment="1">
      <alignment horizontal="center"/>
      <protection/>
    </xf>
    <xf numFmtId="0" fontId="79" fillId="0" borderId="43" xfId="427" applyFont="1" applyBorder="1" applyAlignment="1">
      <alignment horizontal="center"/>
      <protection/>
    </xf>
    <xf numFmtId="0" fontId="79" fillId="0" borderId="44" xfId="427" applyFont="1" applyBorder="1" applyAlignment="1">
      <alignment horizontal="center"/>
      <protection/>
    </xf>
    <xf numFmtId="0" fontId="77" fillId="28" borderId="37" xfId="427" applyFont="1" applyFill="1" applyBorder="1" applyAlignment="1">
      <alignment horizontal="center"/>
      <protection/>
    </xf>
    <xf numFmtId="0" fontId="77" fillId="28" borderId="0" xfId="427" applyFont="1" applyFill="1" applyBorder="1" applyAlignment="1">
      <alignment horizontal="center"/>
      <protection/>
    </xf>
    <xf numFmtId="0" fontId="77" fillId="28" borderId="33" xfId="427" applyFont="1" applyFill="1" applyBorder="1" applyAlignment="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5" applyFont="1" applyFill="1" applyAlignment="1">
      <alignment horizontal="center" vertical="center"/>
      <protection/>
    </xf>
    <xf numFmtId="0" fontId="18" fillId="4" borderId="0" xfId="95" applyFont="1" applyFill="1" applyAlignment="1">
      <alignment horizontal="center" vertical="center"/>
      <protection/>
    </xf>
    <xf numFmtId="0" fontId="6" fillId="4" borderId="0" xfId="95" applyFont="1" applyFill="1" applyAlignment="1">
      <alignment vertical="center" wrapText="1"/>
      <protection/>
    </xf>
    <xf numFmtId="0" fontId="18" fillId="4" borderId="0" xfId="515" applyFont="1" applyFill="1" applyAlignment="1">
      <alignment horizontal="center"/>
      <protection/>
    </xf>
    <xf numFmtId="0" fontId="4" fillId="4" borderId="0" xfId="95" applyFill="1" applyAlignment="1">
      <alignment horizontal="center"/>
      <protection/>
    </xf>
    <xf numFmtId="0" fontId="40"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3"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0" fillId="4" borderId="23" xfId="87" applyNumberFormat="1" applyFont="1" applyFill="1" applyBorder="1" applyAlignment="1" applyProtection="1">
      <alignment horizontal="center"/>
      <protection/>
    </xf>
    <xf numFmtId="0" fontId="32" fillId="0" borderId="24" xfId="87" applyFont="1" applyBorder="1" applyAlignment="1">
      <alignment/>
      <protection/>
    </xf>
    <xf numFmtId="0" fontId="32" fillId="0" borderId="18" xfId="87" applyFont="1" applyBorder="1" applyAlignment="1">
      <alignment/>
      <protection/>
    </xf>
    <xf numFmtId="0" fontId="4" fillId="0" borderId="24" xfId="87"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69" customWidth="1"/>
    <col min="2" max="16384" width="8.796875" style="69" customWidth="1"/>
  </cols>
  <sheetData>
    <row r="1" ht="15.75">
      <c r="A1" s="323" t="s">
        <v>169</v>
      </c>
    </row>
    <row r="3" ht="34.5" customHeight="1">
      <c r="A3" s="723" t="s">
        <v>920</v>
      </c>
    </row>
    <row r="4" ht="15.75">
      <c r="A4" s="325"/>
    </row>
    <row r="5" ht="52.5" customHeight="1">
      <c r="A5" s="322" t="s">
        <v>307</v>
      </c>
    </row>
    <row r="6" ht="15.75">
      <c r="A6" s="322"/>
    </row>
    <row r="7" ht="34.5" customHeight="1">
      <c r="A7" s="322" t="s">
        <v>835</v>
      </c>
    </row>
    <row r="8" ht="15.75">
      <c r="A8" s="322"/>
    </row>
    <row r="9" ht="15.75">
      <c r="A9" s="322" t="s">
        <v>161</v>
      </c>
    </row>
    <row r="12" ht="15.75">
      <c r="A12" s="323" t="s">
        <v>204</v>
      </c>
    </row>
    <row r="13" ht="15.75">
      <c r="A13" s="323"/>
    </row>
    <row r="14" ht="18.75" customHeight="1">
      <c r="A14" s="325" t="s">
        <v>206</v>
      </c>
    </row>
    <row r="16" ht="39" customHeight="1">
      <c r="A16" s="326" t="s">
        <v>338</v>
      </c>
    </row>
    <row r="17" ht="9.75" customHeight="1">
      <c r="A17" s="326"/>
    </row>
    <row r="20" ht="15.75">
      <c r="A20" s="323" t="s">
        <v>162</v>
      </c>
    </row>
    <row r="22" ht="34.5" customHeight="1">
      <c r="A22" s="322" t="s">
        <v>207</v>
      </c>
    </row>
    <row r="23" ht="9.75" customHeight="1">
      <c r="A23" s="322"/>
    </row>
    <row r="24" ht="15.75">
      <c r="A24" s="327" t="s">
        <v>163</v>
      </c>
    </row>
    <row r="25" ht="15.75">
      <c r="A25" s="322"/>
    </row>
    <row r="26" ht="17.25" customHeight="1">
      <c r="A26" s="328" t="s">
        <v>164</v>
      </c>
    </row>
    <row r="27" ht="17.25" customHeight="1">
      <c r="A27" s="329"/>
    </row>
    <row r="28" ht="87.75" customHeight="1">
      <c r="A28" s="330" t="s">
        <v>185</v>
      </c>
    </row>
    <row r="30" ht="15.75">
      <c r="A30" s="331" t="s">
        <v>165</v>
      </c>
    </row>
    <row r="32" ht="15.75">
      <c r="A32" s="110" t="s">
        <v>205</v>
      </c>
    </row>
    <row r="34" ht="15.75">
      <c r="A34" s="322" t="s">
        <v>166</v>
      </c>
    </row>
    <row r="37" ht="15.75">
      <c r="A37" s="323" t="s">
        <v>167</v>
      </c>
    </row>
    <row r="39" ht="68.25" customHeight="1">
      <c r="A39" s="322" t="s">
        <v>907</v>
      </c>
    </row>
    <row r="40" ht="32.25" customHeight="1">
      <c r="A40" s="709" t="s">
        <v>836</v>
      </c>
    </row>
    <row r="41" ht="51.75" customHeight="1">
      <c r="A41" s="710" t="s">
        <v>837</v>
      </c>
    </row>
    <row r="42" ht="88.5" customHeight="1">
      <c r="A42" s="710" t="s">
        <v>839</v>
      </c>
    </row>
    <row r="43" ht="10.5" customHeight="1">
      <c r="A43" s="322"/>
    </row>
    <row r="44" ht="65.25" customHeight="1">
      <c r="A44" s="322" t="s">
        <v>703</v>
      </c>
    </row>
    <row r="45" ht="59.25" customHeight="1">
      <c r="A45" s="322" t="s">
        <v>168</v>
      </c>
    </row>
    <row r="46" ht="84.75" customHeight="1">
      <c r="A46" s="322" t="s">
        <v>244</v>
      </c>
    </row>
    <row r="47" ht="12" customHeight="1">
      <c r="A47" s="322"/>
    </row>
    <row r="48" ht="67.5" customHeight="1">
      <c r="A48" s="711" t="s">
        <v>840</v>
      </c>
    </row>
    <row r="49" ht="69.75" customHeight="1">
      <c r="A49" s="353" t="s">
        <v>576</v>
      </c>
    </row>
    <row r="50" ht="54" customHeight="1">
      <c r="A50" s="712" t="s">
        <v>841</v>
      </c>
    </row>
    <row r="51" ht="12" customHeight="1">
      <c r="A51" s="322"/>
    </row>
    <row r="52" ht="68.25" customHeight="1">
      <c r="A52" s="322" t="s">
        <v>577</v>
      </c>
    </row>
    <row r="53" ht="74.25" customHeight="1">
      <c r="A53" s="322" t="s">
        <v>578</v>
      </c>
    </row>
    <row r="54" ht="45" customHeight="1">
      <c r="A54" s="322" t="s">
        <v>842</v>
      </c>
    </row>
    <row r="55" ht="72" customHeight="1">
      <c r="A55" s="709" t="s">
        <v>843</v>
      </c>
    </row>
    <row r="56" ht="15.75" customHeight="1"/>
    <row r="57" ht="80.25" customHeight="1">
      <c r="A57" s="322" t="s">
        <v>579</v>
      </c>
    </row>
    <row r="58" ht="40.5" customHeight="1">
      <c r="A58" s="322" t="s">
        <v>580</v>
      </c>
    </row>
    <row r="59" ht="45" customHeight="1">
      <c r="A59" s="322" t="s">
        <v>581</v>
      </c>
    </row>
    <row r="60" ht="15.75">
      <c r="A60" s="322"/>
    </row>
    <row r="61" ht="68.25" customHeight="1">
      <c r="A61" s="709" t="s">
        <v>844</v>
      </c>
    </row>
    <row r="62" ht="15.75">
      <c r="A62" s="322"/>
    </row>
    <row r="63" ht="40.5" customHeight="1">
      <c r="A63" s="322" t="s">
        <v>582</v>
      </c>
    </row>
    <row r="64" ht="34.5" customHeight="1">
      <c r="A64" s="322" t="s">
        <v>590</v>
      </c>
    </row>
    <row r="65" ht="77.25" customHeight="1">
      <c r="A65" s="322" t="s">
        <v>591</v>
      </c>
    </row>
    <row r="66" ht="41.25" customHeight="1">
      <c r="A66" s="322" t="s">
        <v>588</v>
      </c>
    </row>
    <row r="67" ht="41.25" customHeight="1">
      <c r="A67" s="322" t="s">
        <v>589</v>
      </c>
    </row>
    <row r="68" ht="9" customHeight="1">
      <c r="A68" s="322"/>
    </row>
    <row r="69" ht="58.5" customHeight="1">
      <c r="A69" s="322" t="s">
        <v>583</v>
      </c>
    </row>
    <row r="70" ht="9.75" customHeight="1"/>
    <row r="71" s="322" customFormat="1" ht="69" customHeight="1">
      <c r="A71" s="322" t="s">
        <v>584</v>
      </c>
    </row>
    <row r="72" ht="14.25" customHeight="1"/>
    <row r="73" ht="121.5" customHeight="1">
      <c r="A73" s="709" t="s">
        <v>845</v>
      </c>
    </row>
    <row r="74" ht="12" customHeight="1">
      <c r="A74" s="709"/>
    </row>
    <row r="75" ht="70.5" customHeight="1">
      <c r="A75" s="322" t="s">
        <v>846</v>
      </c>
    </row>
    <row r="76" ht="60.75" customHeight="1">
      <c r="A76" s="709" t="s">
        <v>847</v>
      </c>
    </row>
    <row r="77" ht="90.75" customHeight="1">
      <c r="A77" s="510" t="s">
        <v>848</v>
      </c>
    </row>
    <row r="78" ht="60.75" customHeight="1">
      <c r="A78" s="510" t="s">
        <v>849</v>
      </c>
    </row>
    <row r="79" ht="60.75" customHeight="1">
      <c r="A79" s="510" t="s">
        <v>850</v>
      </c>
    </row>
    <row r="80" ht="60" customHeight="1">
      <c r="A80" s="322" t="s">
        <v>853</v>
      </c>
    </row>
    <row r="81" ht="117.75" customHeight="1">
      <c r="A81" s="322" t="s">
        <v>851</v>
      </c>
    </row>
    <row r="82" ht="59.25" customHeight="1">
      <c r="A82" s="322" t="s">
        <v>852</v>
      </c>
    </row>
    <row r="83" ht="84.75" customHeight="1">
      <c r="A83" s="322" t="s">
        <v>854</v>
      </c>
    </row>
    <row r="84" ht="102.75" customHeight="1">
      <c r="A84" s="322" t="s">
        <v>855</v>
      </c>
    </row>
    <row r="85" ht="102.75" customHeight="1">
      <c r="A85" s="332" t="s">
        <v>856</v>
      </c>
    </row>
    <row r="86" ht="54" customHeight="1">
      <c r="A86" s="324" t="s">
        <v>857</v>
      </c>
    </row>
    <row r="87" ht="115.5" customHeight="1">
      <c r="A87" s="322" t="s">
        <v>908</v>
      </c>
    </row>
    <row r="88" ht="78" customHeight="1">
      <c r="A88" s="332" t="s">
        <v>858</v>
      </c>
    </row>
    <row r="89" ht="124.5" customHeight="1">
      <c r="A89" s="332" t="s">
        <v>909</v>
      </c>
    </row>
    <row r="90" ht="138" customHeight="1">
      <c r="A90" s="322" t="s">
        <v>859</v>
      </c>
    </row>
    <row r="91" ht="147" customHeight="1">
      <c r="A91" s="322" t="s">
        <v>860</v>
      </c>
    </row>
    <row r="92" ht="101.25" customHeight="1">
      <c r="A92" s="322" t="s">
        <v>861</v>
      </c>
    </row>
    <row r="94" ht="102.75" customHeight="1">
      <c r="A94" s="322" t="s">
        <v>862</v>
      </c>
    </row>
    <row r="95" ht="89.25" customHeight="1">
      <c r="A95" s="332" t="s">
        <v>863</v>
      </c>
    </row>
    <row r="96" ht="57" customHeight="1">
      <c r="A96" s="332" t="s">
        <v>864</v>
      </c>
    </row>
    <row r="97" ht="20.25" customHeight="1">
      <c r="A97" s="322" t="s">
        <v>865</v>
      </c>
    </row>
    <row r="99" ht="53.25" customHeight="1">
      <c r="A99" s="322" t="s">
        <v>866</v>
      </c>
    </row>
    <row r="100" ht="21" customHeight="1">
      <c r="A100" s="322" t="s">
        <v>867</v>
      </c>
    </row>
    <row r="101" ht="39.75" customHeight="1">
      <c r="A101" s="510" t="s">
        <v>868</v>
      </c>
    </row>
    <row r="102" ht="103.5" customHeight="1">
      <c r="A102" s="510" t="s">
        <v>869</v>
      </c>
    </row>
    <row r="103" ht="114" customHeight="1">
      <c r="A103" s="510" t="s">
        <v>870</v>
      </c>
    </row>
    <row r="104" ht="74.25" customHeight="1">
      <c r="A104" s="713" t="s">
        <v>872</v>
      </c>
    </row>
    <row r="105" ht="51.75" customHeight="1">
      <c r="A105" s="322" t="s">
        <v>871</v>
      </c>
    </row>
    <row r="106" ht="14.25" customHeight="1"/>
    <row r="107" ht="69.75" customHeight="1">
      <c r="A107" s="322" t="s">
        <v>873</v>
      </c>
    </row>
    <row r="109" ht="54" customHeight="1">
      <c r="A109" s="510" t="s">
        <v>874</v>
      </c>
    </row>
    <row r="110" ht="85.5" customHeight="1">
      <c r="A110" s="510" t="s">
        <v>875</v>
      </c>
    </row>
    <row r="111" ht="99" customHeight="1">
      <c r="A111" s="510" t="s">
        <v>876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4">
      <selection activeCell="E51" sqref="E5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Irving Township</v>
      </c>
      <c r="C1" s="3"/>
      <c r="D1" s="3"/>
      <c r="E1" s="4">
        <f>inputPrYr!D5</f>
        <v>2015</v>
      </c>
    </row>
    <row r="2" spans="2:5" ht="15.75">
      <c r="B2" s="6"/>
      <c r="C2" s="3"/>
      <c r="D2" s="3"/>
      <c r="E2" s="7"/>
    </row>
    <row r="3" spans="2:5" ht="15.75">
      <c r="B3" s="509" t="s">
        <v>702</v>
      </c>
      <c r="C3" s="9"/>
      <c r="D3" s="9"/>
      <c r="E3" s="10"/>
    </row>
    <row r="4" spans="2:5" ht="15.75">
      <c r="B4" s="11" t="s">
        <v>10</v>
      </c>
      <c r="C4" s="373" t="s">
        <v>11</v>
      </c>
      <c r="D4" s="376" t="s">
        <v>12</v>
      </c>
      <c r="E4" s="12" t="s">
        <v>13</v>
      </c>
    </row>
    <row r="5" spans="2:5" ht="15.75">
      <c r="B5" s="384" t="str">
        <f>inputPrYr!B16</f>
        <v>General</v>
      </c>
      <c r="C5" s="374" t="str">
        <f>CONCATENATE("Actual for ",$E$1-2,"")</f>
        <v>Actual for 2013</v>
      </c>
      <c r="D5" s="374" t="str">
        <f>CONCATENATE("Estimate for ",$E$1-1,"")</f>
        <v>Estimate for 2014</v>
      </c>
      <c r="E5" s="15" t="str">
        <f>CONCATENATE("Year for ",$E$1,"")</f>
        <v>Year for 2015</v>
      </c>
    </row>
    <row r="6" spans="2:5" ht="15.75">
      <c r="B6" s="16" t="s">
        <v>115</v>
      </c>
      <c r="C6" s="18">
        <v>10417</v>
      </c>
      <c r="D6" s="375">
        <f>C44</f>
        <v>6076</v>
      </c>
      <c r="E6" s="21">
        <f>D44</f>
        <v>0</v>
      </c>
    </row>
    <row r="7" spans="2:5" ht="15.75">
      <c r="B7" s="16" t="s">
        <v>117</v>
      </c>
      <c r="C7" s="375"/>
      <c r="D7" s="375"/>
      <c r="E7" s="22"/>
    </row>
    <row r="8" spans="2:5" ht="15.75">
      <c r="B8" s="16" t="s">
        <v>16</v>
      </c>
      <c r="C8" s="18">
        <v>14417</v>
      </c>
      <c r="D8" s="375">
        <f>IF(inputPrYr!H15&gt;0,inputPrYr!G16,inputPrYr!E16)</f>
        <v>4835</v>
      </c>
      <c r="E8" s="22" t="s">
        <v>272</v>
      </c>
    </row>
    <row r="9" spans="2:5" ht="15.75">
      <c r="B9" s="16" t="s">
        <v>17</v>
      </c>
      <c r="C9" s="18"/>
      <c r="D9" s="18"/>
      <c r="E9" s="23"/>
    </row>
    <row r="10" spans="2:5" ht="15.75">
      <c r="B10" s="16" t="s">
        <v>18</v>
      </c>
      <c r="C10" s="18"/>
      <c r="D10" s="18">
        <v>829</v>
      </c>
      <c r="E10" s="21">
        <f>mvalloc!G11</f>
        <v>257</v>
      </c>
    </row>
    <row r="11" spans="2:5" ht="15.75">
      <c r="B11" s="16" t="s">
        <v>19</v>
      </c>
      <c r="C11" s="18"/>
      <c r="D11" s="18">
        <v>18</v>
      </c>
      <c r="E11" s="21">
        <f>mvalloc!I11</f>
        <v>9</v>
      </c>
    </row>
    <row r="12" spans="2:5" ht="15.75">
      <c r="B12" s="24" t="s">
        <v>69</v>
      </c>
      <c r="C12" s="18"/>
      <c r="D12" s="18">
        <v>181</v>
      </c>
      <c r="E12" s="21">
        <f>mvalloc!J11</f>
        <v>78</v>
      </c>
    </row>
    <row r="13" spans="2:5" ht="15.75">
      <c r="B13" s="24" t="s">
        <v>144</v>
      </c>
      <c r="C13" s="18"/>
      <c r="D13" s="18"/>
      <c r="E13" s="21">
        <f>inputOth!E35</f>
        <v>0</v>
      </c>
    </row>
    <row r="14" spans="2:5" ht="15.75">
      <c r="B14" s="16" t="s">
        <v>20</v>
      </c>
      <c r="C14" s="18"/>
      <c r="D14" s="18">
        <v>1299</v>
      </c>
      <c r="E14" s="21">
        <f>inputOth!E12</f>
        <v>1484</v>
      </c>
    </row>
    <row r="15" spans="2:5" ht="15.75">
      <c r="B15" s="26"/>
      <c r="C15" s="18"/>
      <c r="D15" s="18"/>
      <c r="E15" s="25"/>
    </row>
    <row r="16" spans="2:5" ht="15.75">
      <c r="B16" s="26"/>
      <c r="C16" s="18"/>
      <c r="D16" s="18"/>
      <c r="E16" s="23"/>
    </row>
    <row r="17" spans="2:5" ht="15.75">
      <c r="B17" s="27" t="s">
        <v>22</v>
      </c>
      <c r="C17" s="18">
        <v>119</v>
      </c>
      <c r="D17" s="18">
        <v>150</v>
      </c>
      <c r="E17" s="23">
        <v>125</v>
      </c>
    </row>
    <row r="18" spans="2:5" ht="15.75">
      <c r="B18" s="28" t="s">
        <v>195</v>
      </c>
      <c r="C18" s="18"/>
      <c r="D18" s="18"/>
      <c r="E18" s="23"/>
    </row>
    <row r="19" spans="2:5" ht="15.75">
      <c r="B19" s="28" t="s">
        <v>196</v>
      </c>
      <c r="C19" s="372">
        <f>IF(C20*0.1&lt;C18,"Exceed 10% Rule","")</f>
      </c>
      <c r="D19" s="372">
        <f>IF(D20*0.1&lt;D18,"Exceed 10% Rule","")</f>
      </c>
      <c r="E19" s="34">
        <f>IF(E20*0.1+E50&lt;E18,"Exceed 10% Rule","")</f>
      </c>
    </row>
    <row r="20" spans="2:5" ht="15.75">
      <c r="B20" s="30" t="s">
        <v>23</v>
      </c>
      <c r="C20" s="377">
        <f>SUM(C8:C18)</f>
        <v>14536</v>
      </c>
      <c r="D20" s="377">
        <f>SUM(D8:D18)</f>
        <v>7312</v>
      </c>
      <c r="E20" s="31">
        <f>SUM(E8:E18)</f>
        <v>1953</v>
      </c>
    </row>
    <row r="21" spans="2:5" ht="15.75">
      <c r="B21" s="32" t="s">
        <v>24</v>
      </c>
      <c r="C21" s="377">
        <f>C20+C6</f>
        <v>24953</v>
      </c>
      <c r="D21" s="377">
        <f>D20+D6</f>
        <v>13388</v>
      </c>
      <c r="E21" s="31">
        <f>E20+E6</f>
        <v>1953</v>
      </c>
    </row>
    <row r="22" spans="2:5" ht="15.75">
      <c r="B22" s="16" t="s">
        <v>25</v>
      </c>
      <c r="C22" s="375"/>
      <c r="D22" s="375"/>
      <c r="E22" s="21"/>
    </row>
    <row r="23" spans="2:5" ht="15.75">
      <c r="B23" s="26"/>
      <c r="C23" s="18"/>
      <c r="D23" s="18"/>
      <c r="E23" s="23"/>
    </row>
    <row r="24" spans="2:5" ht="15.75">
      <c r="B24" s="27" t="s">
        <v>101</v>
      </c>
      <c r="C24" s="18"/>
      <c r="D24" s="18"/>
      <c r="E24" s="23"/>
    </row>
    <row r="25" spans="2:5" ht="15.75">
      <c r="B25" s="27" t="s">
        <v>122</v>
      </c>
      <c r="C25" s="18"/>
      <c r="D25" s="18"/>
      <c r="E25" s="23"/>
    </row>
    <row r="26" spans="2:5" ht="15.75">
      <c r="B26" s="27" t="s">
        <v>102</v>
      </c>
      <c r="C26" s="18"/>
      <c r="D26" s="18"/>
      <c r="E26" s="23"/>
    </row>
    <row r="27" spans="2:5" ht="15.75">
      <c r="B27" s="27" t="s">
        <v>36</v>
      </c>
      <c r="C27" s="18"/>
      <c r="D27" s="18">
        <v>2000</v>
      </c>
      <c r="E27" s="23">
        <v>5000</v>
      </c>
    </row>
    <row r="28" spans="2:5" ht="15.75">
      <c r="B28" s="26" t="s">
        <v>103</v>
      </c>
      <c r="C28" s="18">
        <v>10371</v>
      </c>
      <c r="D28" s="18">
        <v>1000</v>
      </c>
      <c r="E28" s="23">
        <v>1000</v>
      </c>
    </row>
    <row r="29" spans="2:5" ht="15.75">
      <c r="B29" s="26" t="s">
        <v>123</v>
      </c>
      <c r="C29" s="18"/>
      <c r="D29" s="18">
        <v>938</v>
      </c>
      <c r="E29" s="23">
        <v>1000</v>
      </c>
    </row>
    <row r="30" spans="2:5" ht="15.75">
      <c r="B30" s="27" t="s">
        <v>125</v>
      </c>
      <c r="C30" s="18">
        <v>4200</v>
      </c>
      <c r="D30" s="18">
        <v>5200</v>
      </c>
      <c r="E30" s="23">
        <v>5200</v>
      </c>
    </row>
    <row r="31" spans="2:5" ht="15.75">
      <c r="B31" s="27" t="s">
        <v>940</v>
      </c>
      <c r="C31" s="18">
        <v>196</v>
      </c>
      <c r="D31" s="18">
        <v>200</v>
      </c>
      <c r="E31" s="23">
        <v>250</v>
      </c>
    </row>
    <row r="32" spans="2:5" ht="15.75">
      <c r="B32" s="26" t="s">
        <v>941</v>
      </c>
      <c r="C32" s="18">
        <v>4000</v>
      </c>
      <c r="D32" s="18">
        <v>4000</v>
      </c>
      <c r="E32" s="23">
        <v>4000</v>
      </c>
    </row>
    <row r="33" spans="2:5" ht="15.75">
      <c r="B33" s="27"/>
      <c r="C33" s="18"/>
      <c r="D33" s="18"/>
      <c r="E33" s="23"/>
    </row>
    <row r="34" spans="2:10" ht="15.75">
      <c r="B34" s="26"/>
      <c r="C34" s="18"/>
      <c r="D34" s="18"/>
      <c r="E34" s="23"/>
      <c r="G34" s="799" t="str">
        <f>CONCATENATE("Desired Carryover Into ",E1+1,"")</f>
        <v>Desired Carryover Into 2016</v>
      </c>
      <c r="H34" s="800"/>
      <c r="I34" s="800"/>
      <c r="J34" s="801"/>
    </row>
    <row r="35" spans="2:10" ht="15.75">
      <c r="B35" s="27"/>
      <c r="C35" s="18"/>
      <c r="D35" s="18"/>
      <c r="E35" s="23"/>
      <c r="G35" s="483"/>
      <c r="H35" s="8"/>
      <c r="I35" s="475"/>
      <c r="J35" s="484"/>
    </row>
    <row r="36" spans="2:10" ht="15.75">
      <c r="B36" s="24" t="s">
        <v>250</v>
      </c>
      <c r="C36" s="18"/>
      <c r="D36" s="18"/>
      <c r="E36" s="23"/>
      <c r="G36" s="485" t="s">
        <v>697</v>
      </c>
      <c r="H36" s="475"/>
      <c r="I36" s="475"/>
      <c r="J36" s="486">
        <v>0</v>
      </c>
    </row>
    <row r="37" spans="2:10" ht="15.75">
      <c r="B37" s="24" t="s">
        <v>247</v>
      </c>
      <c r="C37" s="371">
        <f>IF(AND($C$36&gt;0,$C$8&gt;0),"Not Authorized","")</f>
      </c>
      <c r="D37" s="371">
        <f>IF(AND($D$36&gt;0,$D$8&gt;0),"Not Authorized","")</f>
      </c>
      <c r="E37" s="33">
        <f>IF(AND(cert!F21&gt;0,$E$36&gt;0),"Not Authorized","")</f>
      </c>
      <c r="G37" s="483" t="s">
        <v>698</v>
      </c>
      <c r="H37" s="8"/>
      <c r="I37" s="8"/>
      <c r="J37" s="672">
        <f>IF(J36=0,"",ROUND((J36+E50-G49)/inputOth!E7*1000,3)-G54)</f>
      </c>
    </row>
    <row r="38" spans="2:10" ht="15.75">
      <c r="B38" s="16" t="s">
        <v>251</v>
      </c>
      <c r="C38" s="18"/>
      <c r="D38" s="18"/>
      <c r="E38" s="23"/>
      <c r="G38" s="673" t="str">
        <f>CONCATENATE("",E1," Tot Exp/Non-Appr Must Be:")</f>
        <v>2015 Tot Exp/Non-Appr Must Be:</v>
      </c>
      <c r="H38" s="555"/>
      <c r="I38" s="667"/>
      <c r="J38" s="674">
        <f>IF(J36&gt;0,IF(E47&lt;E17,IF(J36=G49,E47,((J36-G49)*(1-D49))+E17),E47+(J36-G49)),0)</f>
        <v>0</v>
      </c>
    </row>
    <row r="39" spans="2:10" ht="15.75">
      <c r="B39" s="16" t="s">
        <v>734</v>
      </c>
      <c r="C39" s="372">
        <f>IF(C21*0.25&lt;C38,"Exceeds 25%","")</f>
      </c>
      <c r="D39" s="372">
        <f>IF(D21*0.25&lt;D38,"Exceeds 25%","")</f>
      </c>
      <c r="E39" s="34">
        <f>IF(E21*0.25+E50&lt;E38,"Exceeds 25%","")</f>
      </c>
      <c r="G39" s="675" t="s">
        <v>806</v>
      </c>
      <c r="H39" s="676"/>
      <c r="I39" s="676"/>
      <c r="J39" s="677">
        <f>IF(J36&gt;0,J38-E47,0)</f>
        <v>0</v>
      </c>
    </row>
    <row r="40" spans="2:5" ht="15.75">
      <c r="B40" s="24" t="s">
        <v>197</v>
      </c>
      <c r="C40" s="18"/>
      <c r="D40" s="18">
        <v>50</v>
      </c>
      <c r="E40" s="35">
        <v>50</v>
      </c>
    </row>
    <row r="41" spans="2:10" ht="15.75">
      <c r="B41" s="24" t="s">
        <v>195</v>
      </c>
      <c r="C41" s="18">
        <v>110</v>
      </c>
      <c r="D41" s="18"/>
      <c r="E41" s="23"/>
      <c r="G41" s="799" t="str">
        <f>CONCATENATE("Projected Carryover Into ",E1+1,"")</f>
        <v>Projected Carryover Into 2016</v>
      </c>
      <c r="H41" s="800"/>
      <c r="I41" s="800"/>
      <c r="J41" s="801"/>
    </row>
    <row r="42" spans="2:10" ht="15.75">
      <c r="B42" s="24" t="s">
        <v>604</v>
      </c>
      <c r="C42" s="372">
        <f>IF(C43*0.1&lt;C41,"Exceed 10% Rule","")</f>
      </c>
      <c r="D42" s="372">
        <f>IF(D43*0.1&lt;D41,"Exceed 10% Rule","")</f>
      </c>
      <c r="E42" s="34">
        <f>IF(E43*0.1&lt;E41,"Exceed 10% Rule","")</f>
      </c>
      <c r="G42" s="471"/>
      <c r="H42" s="8"/>
      <c r="I42" s="8"/>
      <c r="J42" s="245"/>
    </row>
    <row r="43" spans="2:10" ht="15.75">
      <c r="B43" s="32" t="s">
        <v>26</v>
      </c>
      <c r="C43" s="369">
        <f>SUM(C23:C41)</f>
        <v>18877</v>
      </c>
      <c r="D43" s="369">
        <f>SUM(D23:D41)</f>
        <v>13388</v>
      </c>
      <c r="E43" s="36">
        <f>SUM(E23:E36,E38,E40:E41)</f>
        <v>16500</v>
      </c>
      <c r="G43" s="472">
        <f>D44</f>
        <v>0</v>
      </c>
      <c r="H43" s="473" t="str">
        <f>CONCATENATE("",E1-1," Ending Cash Balance (est.)")</f>
        <v>2014 Ending Cash Balance (est.)</v>
      </c>
      <c r="I43" s="474"/>
      <c r="J43" s="245"/>
    </row>
    <row r="44" spans="2:10" ht="15.75">
      <c r="B44" s="16" t="s">
        <v>116</v>
      </c>
      <c r="C44" s="370">
        <f>C21-C43</f>
        <v>6076</v>
      </c>
      <c r="D44" s="370">
        <f>SUM(D21-D43)</f>
        <v>0</v>
      </c>
      <c r="E44" s="22" t="s">
        <v>272</v>
      </c>
      <c r="G44" s="472">
        <f>E20</f>
        <v>1953</v>
      </c>
      <c r="H44" s="475" t="str">
        <f>CONCATENATE("",E1," Non-AV Receipts (est.)")</f>
        <v>2015 Non-AV Receipts (est.)</v>
      </c>
      <c r="I44" s="474"/>
      <c r="J44" s="245"/>
    </row>
    <row r="45" spans="2:11" ht="15.75">
      <c r="B45" s="37" t="str">
        <f>CONCATENATE("",E1-2,"/",E1-1," Budget Authority Amount:")</f>
        <v>2013/2014 Budget Authority Amount:</v>
      </c>
      <c r="C45" s="121">
        <f>inputOth!B46</f>
        <v>16400</v>
      </c>
      <c r="D45" s="149">
        <f>inputPrYr!D16</f>
        <v>16400</v>
      </c>
      <c r="E45" s="22" t="s">
        <v>272</v>
      </c>
      <c r="F45" s="39"/>
      <c r="G45" s="476">
        <f>IF(D49&gt;0,E48,E50)</f>
        <v>14547</v>
      </c>
      <c r="H45" s="475" t="str">
        <f>CONCATENATE("",E1," Ad Valorem Tax (est.)")</f>
        <v>2015 Ad Valorem Tax (est.)</v>
      </c>
      <c r="I45" s="474"/>
      <c r="J45" s="245"/>
      <c r="K45" s="678">
        <f>IF(G45=E50,"","Note: Does not include Delinquent Taxes")</f>
      </c>
    </row>
    <row r="46" spans="2:10" ht="15.75">
      <c r="B46" s="37"/>
      <c r="C46" s="795" t="s">
        <v>605</v>
      </c>
      <c r="D46" s="796"/>
      <c r="E46" s="23"/>
      <c r="F46" s="470">
        <f>IF(E43/0.95-E43&lt;E46,"Exceeds 5%","")</f>
      </c>
      <c r="G46" s="472">
        <f>SUM(G43:G45)</f>
        <v>16500</v>
      </c>
      <c r="H46" s="475" t="str">
        <f>CONCATENATE("Total ",E1," Resources Available")</f>
        <v>Total 2015 Resources Available</v>
      </c>
      <c r="I46" s="474"/>
      <c r="J46" s="245"/>
    </row>
    <row r="47" spans="2:10" ht="15.75">
      <c r="B47" s="383" t="str">
        <f>CONCATENATE(C65,"     ",D65)</f>
        <v>See Tab A     </v>
      </c>
      <c r="C47" s="797" t="s">
        <v>606</v>
      </c>
      <c r="D47" s="798"/>
      <c r="E47" s="21">
        <f>E43+E46</f>
        <v>16500</v>
      </c>
      <c r="G47" s="477"/>
      <c r="H47" s="475"/>
      <c r="I47" s="475"/>
      <c r="J47" s="245"/>
    </row>
    <row r="48" spans="2:10" ht="15.75">
      <c r="B48" s="383" t="str">
        <f>CONCATENATE(C66,"     ",D66)</f>
        <v>     </v>
      </c>
      <c r="C48" s="49"/>
      <c r="D48" s="41" t="s">
        <v>28</v>
      </c>
      <c r="E48" s="35">
        <f>IF(E47-E21&gt;0,E47-E21,0)</f>
        <v>14547</v>
      </c>
      <c r="G48" s="476">
        <f>ROUND(C43*0.05+C43,0)</f>
        <v>19821</v>
      </c>
      <c r="H48" s="475" t="str">
        <f>CONCATENATE("Less ",E1-2," Expenditures + 5%")</f>
        <v>Less 2013 Expenditures + 5%</v>
      </c>
      <c r="I48" s="474"/>
      <c r="J48" s="245"/>
    </row>
    <row r="49" spans="2:10" ht="15.75">
      <c r="B49" s="41"/>
      <c r="C49" s="387" t="s">
        <v>607</v>
      </c>
      <c r="D49" s="666">
        <f>inputOth!$E$40</f>
        <v>0</v>
      </c>
      <c r="E49" s="21">
        <f>ROUND(IF(D49&gt;0,(E48*D49),0),0)</f>
        <v>0</v>
      </c>
      <c r="G49" s="478">
        <f>G46-G48</f>
        <v>-3321</v>
      </c>
      <c r="H49" s="479" t="str">
        <f>CONCATENATE("Projected ",E1+1," Carryover (est.)")</f>
        <v>Projected 2016 Carryover (est.)</v>
      </c>
      <c r="I49" s="480"/>
      <c r="J49" s="481"/>
    </row>
    <row r="50" spans="2:5" ht="15.75">
      <c r="B50" s="3"/>
      <c r="C50" s="793" t="str">
        <f>CONCATENATE("Amount of  ",$E$1-1," Ad Valorem Tax")</f>
        <v>Amount of  2014 Ad Valorem Tax</v>
      </c>
      <c r="D50" s="794"/>
      <c r="E50" s="35">
        <f>E48+E49</f>
        <v>14547</v>
      </c>
    </row>
    <row r="51" spans="2:10" ht="15.75">
      <c r="B51" s="3"/>
      <c r="C51" s="3"/>
      <c r="D51" s="3"/>
      <c r="E51" s="3"/>
      <c r="G51" s="802" t="s">
        <v>807</v>
      </c>
      <c r="H51" s="803"/>
      <c r="I51" s="803"/>
      <c r="J51" s="804"/>
    </row>
    <row r="52" spans="2:11" s="43" customFormat="1" ht="15.75">
      <c r="B52" s="8"/>
      <c r="C52" s="8"/>
      <c r="D52" s="42"/>
      <c r="E52" s="8"/>
      <c r="G52" s="679"/>
      <c r="H52" s="473"/>
      <c r="I52" s="668"/>
      <c r="J52" s="680"/>
      <c r="K52" s="5"/>
    </row>
    <row r="53" spans="2:11" s="45" customFormat="1" ht="15.75">
      <c r="B53" s="3"/>
      <c r="C53" s="3"/>
      <c r="D53" s="44"/>
      <c r="E53" s="3"/>
      <c r="G53" s="681">
        <f>summ!I18</f>
        <v>1.831</v>
      </c>
      <c r="H53" s="473" t="str">
        <f>CONCATENATE("",E1," Fund Mill Rate")</f>
        <v>2015 Fund Mill Rate</v>
      </c>
      <c r="I53" s="668"/>
      <c r="J53" s="680"/>
      <c r="K53" s="5"/>
    </row>
    <row r="54" spans="2:10" ht="15.75">
      <c r="B54" s="41" t="s">
        <v>9</v>
      </c>
      <c r="C54" s="389">
        <f>IF(inputPrYr!D18&gt;0,7,6)</f>
        <v>6</v>
      </c>
      <c r="D54" s="3"/>
      <c r="E54" s="44"/>
      <c r="G54" s="682">
        <f>summ!F18</f>
        <v>0.695</v>
      </c>
      <c r="H54" s="473" t="str">
        <f>CONCATENATE("",E1-1," Fund Mill Rate")</f>
        <v>2014 Fund Mill Rate</v>
      </c>
      <c r="I54" s="668"/>
      <c r="J54" s="680"/>
    </row>
    <row r="55" spans="7:10" ht="15.75">
      <c r="G55" s="683">
        <f>summ!I21</f>
        <v>16.343</v>
      </c>
      <c r="H55" s="473" t="str">
        <f>CONCATENATE("Total ",E1," Mill Rate")</f>
        <v>Total 2015 Mill Rate</v>
      </c>
      <c r="I55" s="668"/>
      <c r="J55" s="680"/>
    </row>
    <row r="56" spans="2:10" ht="15.75">
      <c r="B56" s="1"/>
      <c r="G56" s="682">
        <f>summ!F21</f>
        <v>17.765</v>
      </c>
      <c r="H56" s="684" t="str">
        <f>CONCATENATE("Total ",E1-1," Mill Rate")</f>
        <v>Total 2014 Mill Rate</v>
      </c>
      <c r="I56" s="685"/>
      <c r="J56" s="686"/>
    </row>
    <row r="57" spans="7:10" ht="15.75">
      <c r="G57" s="669"/>
      <c r="H57" s="482"/>
      <c r="I57" s="482"/>
      <c r="J57" s="671"/>
    </row>
    <row r="58" spans="7:10" ht="15.75">
      <c r="G58" s="721" t="s">
        <v>915</v>
      </c>
      <c r="H58" s="720"/>
      <c r="I58" s="719" t="str">
        <f>cert!F37</f>
        <v>No</v>
      </c>
      <c r="J58" s="670"/>
    </row>
    <row r="59" ht="15.75">
      <c r="E59" s="46"/>
    </row>
    <row r="61" ht="15.75">
      <c r="E61" s="46"/>
    </row>
    <row r="63" ht="15.75">
      <c r="C63" s="47"/>
    </row>
    <row r="64" spans="3:5" ht="15.75">
      <c r="C64" s="46"/>
      <c r="E64" s="46"/>
    </row>
    <row r="65" spans="3:4" ht="15.75" hidden="1">
      <c r="C65" s="5" t="str">
        <f>IF(C43&gt;C45,"See Tab A","")</f>
        <v>See Tab A</v>
      </c>
      <c r="D65" s="5">
        <f>IF(D43&gt;D45,"See Tab C","")</f>
      </c>
    </row>
    <row r="66" spans="3:4" ht="15.75" hidden="1">
      <c r="C66" s="5">
        <f>IF(C44&lt;0,"See Tab B","")</f>
      </c>
      <c r="D66" s="5">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1" operator="lessThan" stopIfTrue="1">
      <formula>0</formula>
    </cfRule>
  </conditionalFormatting>
  <conditionalFormatting sqref="D43">
    <cfRule type="cellIs" priority="18" dxfId="1" operator="greaterThan" stopIfTrue="1">
      <formula>$D$45</formula>
    </cfRule>
  </conditionalFormatting>
  <conditionalFormatting sqref="C38">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5">
    <cfRule type="expression" priority="23" dxfId="1" stopIfTrue="1">
      <formula>"Mike"</formula>
    </cfRule>
  </conditionalFormatting>
  <conditionalFormatting sqref="D38">
    <cfRule type="cellIs" priority="24" dxfId="130" operator="greaterThan" stopIfTrue="1">
      <formula>$D$21*0.25</formula>
    </cfRule>
  </conditionalFormatting>
  <conditionalFormatting sqref="E38">
    <cfRule type="cellIs" priority="25" dxfId="130" operator="greaterThan" stopIfTrue="1">
      <formula>$E$21*0.25+$E$50</formula>
    </cfRule>
  </conditionalFormatting>
  <conditionalFormatting sqref="C36">
    <cfRule type="expression" priority="26" dxfId="130" stopIfTrue="1">
      <formula>$C$8&gt;0</formula>
    </cfRule>
  </conditionalFormatting>
  <conditionalFormatting sqref="D36">
    <cfRule type="expression" priority="28" dxfId="1" stopIfTrue="1">
      <formula>$D$8&gt;0</formula>
    </cfRule>
  </conditionalFormatting>
  <conditionalFormatting sqref="C43">
    <cfRule type="cellIs" priority="10" dxfId="1"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8">
    <cfRule type="cellIs" priority="29" dxfId="130" operator="greaterThan" stopIfTrue="1">
      <formula>$E$20*0.1+$E$50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4">
      <selection activeCell="E27" sqref="E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1.898437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Irving Township</v>
      </c>
      <c r="C1" s="3"/>
      <c r="D1" s="3"/>
      <c r="E1" s="4">
        <f>inputPrYr!D5</f>
        <v>2015</v>
      </c>
    </row>
    <row r="2" spans="2:5" ht="15.75">
      <c r="B2" s="6"/>
      <c r="C2" s="3"/>
      <c r="D2" s="50"/>
      <c r="E2" s="51"/>
    </row>
    <row r="3" spans="2:5" ht="15.75">
      <c r="B3" s="509" t="s">
        <v>702</v>
      </c>
      <c r="C3" s="55"/>
      <c r="D3" s="55"/>
      <c r="E3" s="55"/>
    </row>
    <row r="4" spans="2:5" ht="15.75">
      <c r="B4" s="11" t="s">
        <v>10</v>
      </c>
      <c r="C4" s="373" t="s">
        <v>11</v>
      </c>
      <c r="D4" s="376" t="s">
        <v>12</v>
      </c>
      <c r="E4" s="12" t="s">
        <v>13</v>
      </c>
    </row>
    <row r="5" spans="2:5" ht="15.75">
      <c r="B5" s="384" t="str">
        <f>inputPrYr!B19</f>
        <v>Road</v>
      </c>
      <c r="C5" s="374" t="str">
        <f>gen!C5</f>
        <v>Actual for 2013</v>
      </c>
      <c r="D5" s="374" t="str">
        <f>gen!D5</f>
        <v>Estimate for 2014</v>
      </c>
      <c r="E5" s="15" t="str">
        <f>gen!E5</f>
        <v>Year for 2015</v>
      </c>
    </row>
    <row r="6" spans="2:5" ht="15.75">
      <c r="B6" s="16" t="s">
        <v>115</v>
      </c>
      <c r="C6" s="18">
        <v>5788</v>
      </c>
      <c r="D6" s="375">
        <f>C42</f>
        <v>4182</v>
      </c>
      <c r="E6" s="21">
        <f>D42</f>
        <v>4182</v>
      </c>
    </row>
    <row r="7" spans="2:5" ht="15.75">
      <c r="B7" s="16" t="s">
        <v>117</v>
      </c>
      <c r="C7" s="375"/>
      <c r="D7" s="375"/>
      <c r="E7" s="22"/>
    </row>
    <row r="8" spans="2:5" ht="15.75">
      <c r="B8" s="16" t="s">
        <v>16</v>
      </c>
      <c r="C8" s="18">
        <v>117513</v>
      </c>
      <c r="D8" s="375">
        <f>IF(inputPrYr!H15&gt;0,inputPrYr!G19,inputPrYr!E19)</f>
        <v>118677</v>
      </c>
      <c r="E8" s="22" t="s">
        <v>272</v>
      </c>
    </row>
    <row r="9" spans="2:5" ht="15.75">
      <c r="B9" s="16" t="s">
        <v>17</v>
      </c>
      <c r="C9" s="18"/>
      <c r="D9" s="18"/>
      <c r="E9" s="23"/>
    </row>
    <row r="10" spans="2:5" ht="15.75">
      <c r="B10" s="16" t="s">
        <v>18</v>
      </c>
      <c r="C10" s="18"/>
      <c r="D10" s="18">
        <v>6843</v>
      </c>
      <c r="E10" s="21">
        <f>mvalloc!G14</f>
        <v>6299</v>
      </c>
    </row>
    <row r="11" spans="2:5" ht="15.75">
      <c r="B11" s="16" t="s">
        <v>19</v>
      </c>
      <c r="C11" s="18"/>
      <c r="D11" s="18">
        <v>144</v>
      </c>
      <c r="E11" s="21">
        <f>mvalloc!I14</f>
        <v>231</v>
      </c>
    </row>
    <row r="12" spans="2:5" ht="15.75">
      <c r="B12" s="16" t="s">
        <v>99</v>
      </c>
      <c r="C12" s="18"/>
      <c r="D12" s="18">
        <v>1494</v>
      </c>
      <c r="E12" s="21">
        <f>mvalloc!J14</f>
        <v>1927</v>
      </c>
    </row>
    <row r="13" spans="2:5" ht="15.75">
      <c r="B13" s="16" t="s">
        <v>100</v>
      </c>
      <c r="C13" s="18"/>
      <c r="D13" s="18">
        <v>3971</v>
      </c>
      <c r="E13" s="21">
        <f>inputOth!E36</f>
        <v>4115</v>
      </c>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195</v>
      </c>
      <c r="C18" s="18"/>
      <c r="D18" s="18"/>
      <c r="E18" s="23"/>
    </row>
    <row r="19" spans="2:5" ht="15.75">
      <c r="B19" s="28" t="s">
        <v>196</v>
      </c>
      <c r="C19" s="372">
        <f>IF(C20*0.1&lt;C18,"Exceed 10% Rule","")</f>
      </c>
      <c r="D19" s="372">
        <f>IF(D20*0.1&lt;D18,"Exceed 10% Rule","")</f>
      </c>
      <c r="E19" s="34">
        <f>IF(E20*0.1+E48&lt;E18,"Exceed 10% Rule","")</f>
      </c>
    </row>
    <row r="20" spans="2:5" ht="15.75">
      <c r="B20" s="30" t="s">
        <v>23</v>
      </c>
      <c r="C20" s="377">
        <f>SUM(C8:C18)</f>
        <v>117513</v>
      </c>
      <c r="D20" s="377">
        <f>SUM(D8:D18)</f>
        <v>131129</v>
      </c>
      <c r="E20" s="31">
        <f>SUM(E8:E18)</f>
        <v>12572</v>
      </c>
    </row>
    <row r="21" spans="2:5" ht="15.75">
      <c r="B21" s="32" t="s">
        <v>24</v>
      </c>
      <c r="C21" s="377">
        <f>C20+C6</f>
        <v>123301</v>
      </c>
      <c r="D21" s="377">
        <f>D20+D6</f>
        <v>135311</v>
      </c>
      <c r="E21" s="31">
        <f>E20+E6</f>
        <v>16754</v>
      </c>
    </row>
    <row r="22" spans="2:5" ht="15.75">
      <c r="B22" s="16" t="s">
        <v>25</v>
      </c>
      <c r="C22" s="375"/>
      <c r="D22" s="375"/>
      <c r="E22" s="21"/>
    </row>
    <row r="23" spans="2:5" ht="15.75">
      <c r="B23" s="27" t="s">
        <v>101</v>
      </c>
      <c r="C23" s="18">
        <v>4000</v>
      </c>
      <c r="D23" s="18">
        <v>3000</v>
      </c>
      <c r="E23" s="23">
        <v>4000</v>
      </c>
    </row>
    <row r="24" spans="2:7" ht="15.75">
      <c r="B24" s="27" t="s">
        <v>122</v>
      </c>
      <c r="C24" s="18">
        <f>984+200+859+984+859+984+859+500+1084+959+1085+959+1084+959+1084+959+1084+959+1084+959+1084+959+1085+959+1084+959</f>
        <v>24618</v>
      </c>
      <c r="D24" s="18">
        <v>23000</v>
      </c>
      <c r="E24" s="23">
        <v>25000</v>
      </c>
      <c r="G24" s="5">
        <f>+(984*3)</f>
        <v>2952</v>
      </c>
    </row>
    <row r="25" spans="2:7" ht="15.75">
      <c r="B25" s="26" t="s">
        <v>102</v>
      </c>
      <c r="C25" s="18">
        <f>900+6+96+134+114+1680+7+(147*6)+(136*5)+7+114+1221+7+1221+114+143+(146*9)+2</f>
        <v>8642</v>
      </c>
      <c r="D25" s="18">
        <v>10000</v>
      </c>
      <c r="E25" s="23">
        <v>10000</v>
      </c>
      <c r="G25" s="5">
        <v>200</v>
      </c>
    </row>
    <row r="26" spans="2:7" ht="15.75">
      <c r="B26" s="27" t="s">
        <v>124</v>
      </c>
      <c r="C26" s="18">
        <f>150+20+682</f>
        <v>852</v>
      </c>
      <c r="D26" s="18">
        <v>5006</v>
      </c>
      <c r="E26" s="23">
        <f>115305-101596</f>
        <v>13709</v>
      </c>
      <c r="G26" s="727">
        <f>859*3</f>
        <v>2577</v>
      </c>
    </row>
    <row r="27" spans="2:7" ht="15.75">
      <c r="B27" s="27" t="s">
        <v>105</v>
      </c>
      <c r="C27" s="18">
        <f>370+3137+3929+1235+5000+5000</f>
        <v>18671</v>
      </c>
      <c r="D27" s="18">
        <v>40000</v>
      </c>
      <c r="E27" s="23">
        <v>40000</v>
      </c>
      <c r="G27" s="5">
        <v>500</v>
      </c>
    </row>
    <row r="28" spans="2:7" ht="15.75">
      <c r="B28" s="27" t="s">
        <v>103</v>
      </c>
      <c r="C28" s="18">
        <v>31000</v>
      </c>
      <c r="D28" s="18">
        <f>20873-100</f>
        <v>20773</v>
      </c>
      <c r="E28" s="23">
        <v>5000</v>
      </c>
      <c r="G28" s="5">
        <f>1084*9</f>
        <v>9756</v>
      </c>
    </row>
    <row r="29" spans="2:7" ht="15.75">
      <c r="B29" s="27" t="s">
        <v>942</v>
      </c>
      <c r="C29" s="18">
        <v>6027</v>
      </c>
      <c r="D29" s="18">
        <v>5000</v>
      </c>
      <c r="E29" s="23">
        <v>7000</v>
      </c>
      <c r="G29" s="5">
        <f>959*9</f>
        <v>8631</v>
      </c>
    </row>
    <row r="30" spans="2:8" ht="15.75">
      <c r="B30" s="27" t="s">
        <v>125</v>
      </c>
      <c r="C30" s="18">
        <v>5239</v>
      </c>
      <c r="D30" s="18">
        <v>4000</v>
      </c>
      <c r="E30" s="23">
        <v>7000</v>
      </c>
      <c r="G30" s="5">
        <f>SUM(G24:G29)</f>
        <v>24616</v>
      </c>
      <c r="H30" s="5">
        <f>129853-14547</f>
        <v>115306</v>
      </c>
    </row>
    <row r="31" spans="2:5" ht="15.75">
      <c r="B31" s="27" t="s">
        <v>943</v>
      </c>
      <c r="C31" s="18">
        <f>10000+10000</f>
        <v>20000</v>
      </c>
      <c r="D31" s="18">
        <v>20000</v>
      </c>
      <c r="E31" s="23">
        <v>20000</v>
      </c>
    </row>
    <row r="32" spans="2:10" ht="15.75">
      <c r="B32" s="26" t="s">
        <v>940</v>
      </c>
      <c r="C32" s="18">
        <v>70</v>
      </c>
      <c r="D32" s="18">
        <v>250</v>
      </c>
      <c r="E32" s="23">
        <v>250</v>
      </c>
      <c r="G32" s="799" t="str">
        <f>CONCATENATE("Desired Carryover Into ",E1+1,"")</f>
        <v>Desired Carryover Into 2016</v>
      </c>
      <c r="H32" s="800"/>
      <c r="I32" s="800"/>
      <c r="J32" s="801"/>
    </row>
    <row r="33" spans="2:10" ht="15.75">
      <c r="B33" s="26"/>
      <c r="C33" s="18"/>
      <c r="D33" s="18"/>
      <c r="E33" s="23"/>
      <c r="G33" s="483"/>
      <c r="H33" s="8"/>
      <c r="I33" s="475"/>
      <c r="J33" s="484"/>
    </row>
    <row r="34" spans="2:10" ht="15.75">
      <c r="B34" s="27"/>
      <c r="C34" s="18"/>
      <c r="D34" s="18"/>
      <c r="E34" s="23"/>
      <c r="G34" s="485" t="s">
        <v>697</v>
      </c>
      <c r="H34" s="475"/>
      <c r="I34" s="475"/>
      <c r="J34" s="486">
        <v>0</v>
      </c>
    </row>
    <row r="35" spans="2:10" ht="15.75">
      <c r="B35" s="27"/>
      <c r="C35" s="18"/>
      <c r="D35" s="18"/>
      <c r="E35" s="23"/>
      <c r="G35" s="483" t="s">
        <v>698</v>
      </c>
      <c r="H35" s="8"/>
      <c r="I35" s="8"/>
      <c r="J35" s="672">
        <f>IF(J34=0,"",ROUND((J34+E48-G47)/inputOth!E7*1000,3)-G52)</f>
      </c>
    </row>
    <row r="36" spans="2:10" ht="15.75">
      <c r="B36" s="16" t="s">
        <v>104</v>
      </c>
      <c r="C36" s="18"/>
      <c r="D36" s="18"/>
      <c r="E36" s="23"/>
      <c r="G36" s="673" t="str">
        <f>CONCATENATE("",E1," Tot Exp/Non-Appr Must Be:")</f>
        <v>2015 Tot Exp/Non-Appr Must Be:</v>
      </c>
      <c r="H36" s="555"/>
      <c r="I36" s="667"/>
      <c r="J36" s="674">
        <f>IF(J34&gt;0,IF(E45&lt;#REF!,IF(J34=G47,E45,((J34-G47)*(1-D47))+#REF!),E45+(J34-G47)),0)</f>
        <v>0</v>
      </c>
    </row>
    <row r="37" spans="2:10" ht="15.75">
      <c r="B37" s="16" t="s">
        <v>608</v>
      </c>
      <c r="C37" s="378">
        <f>IF(C21*0.25&lt;C36,"Not Authorized","")</f>
      </c>
      <c r="D37" s="378">
        <f>IF(D21*0.25&lt;D36,"Not Authorized","")</f>
      </c>
      <c r="E37" s="56">
        <f>IF(E21*0.25+E48&lt;E36,"Not Authorized","")</f>
      </c>
      <c r="G37" s="675" t="s">
        <v>806</v>
      </c>
      <c r="H37" s="676"/>
      <c r="I37" s="676"/>
      <c r="J37" s="677">
        <f>IF(J34&gt;0,J36-E45,0)</f>
        <v>0</v>
      </c>
    </row>
    <row r="38" spans="2:5" ht="15.75">
      <c r="B38" s="24" t="s">
        <v>197</v>
      </c>
      <c r="C38" s="18"/>
      <c r="D38" s="18">
        <v>100</v>
      </c>
      <c r="E38" s="35">
        <v>100</v>
      </c>
    </row>
    <row r="39" spans="2:10" ht="15.75">
      <c r="B39" s="24" t="s">
        <v>195</v>
      </c>
      <c r="C39" s="18"/>
      <c r="D39" s="18"/>
      <c r="E39" s="23"/>
      <c r="G39" s="799" t="str">
        <f>CONCATENATE("Projected Carryover Into ",E1+1,"")</f>
        <v>Projected Carryover Into 2016</v>
      </c>
      <c r="H39" s="800"/>
      <c r="I39" s="800"/>
      <c r="J39" s="801"/>
    </row>
    <row r="40" spans="2:10" ht="15.75">
      <c r="B40" s="24" t="s">
        <v>604</v>
      </c>
      <c r="C40" s="372">
        <f>IF(C41*0.1&lt;C39,"Exceed 10% Rule","")</f>
      </c>
      <c r="D40" s="372">
        <f>IF(D41*0.1&lt;D39,"Exceed 10% Rule","")</f>
      </c>
      <c r="E40" s="34">
        <f>IF(E41*0.1&lt;E39,"Exceed 10% Rule","")</f>
      </c>
      <c r="G40" s="471"/>
      <c r="H40" s="8"/>
      <c r="I40" s="8"/>
      <c r="J40" s="245"/>
    </row>
    <row r="41" spans="2:10" ht="15.75">
      <c r="B41" s="32" t="s">
        <v>26</v>
      </c>
      <c r="C41" s="377">
        <f>SUM(C23:C36,C38:C39)</f>
        <v>119119</v>
      </c>
      <c r="D41" s="377">
        <f>SUM(D23:D36,D38:D39)</f>
        <v>131129</v>
      </c>
      <c r="E41" s="31">
        <f>SUM(E23:E36,E38:E39)</f>
        <v>132059</v>
      </c>
      <c r="G41" s="472">
        <f>D42</f>
        <v>4182</v>
      </c>
      <c r="H41" s="473" t="str">
        <f>CONCATENATE("",E1-1," Ending Cash Balance (est.)")</f>
        <v>2014 Ending Cash Balance (est.)</v>
      </c>
      <c r="I41" s="474"/>
      <c r="J41" s="245"/>
    </row>
    <row r="42" spans="2:10" ht="15.75">
      <c r="B42" s="16" t="s">
        <v>116</v>
      </c>
      <c r="C42" s="370">
        <f>C21-C41</f>
        <v>4182</v>
      </c>
      <c r="D42" s="370">
        <f>D21-D41</f>
        <v>4182</v>
      </c>
      <c r="E42" s="22" t="s">
        <v>272</v>
      </c>
      <c r="G42" s="472">
        <f>E20</f>
        <v>12572</v>
      </c>
      <c r="H42" s="475" t="str">
        <f>CONCATENATE("",E1," Non-AV Receipts (est.)")</f>
        <v>2015 Non-AV Receipts (est.)</v>
      </c>
      <c r="I42" s="474"/>
      <c r="J42" s="245"/>
    </row>
    <row r="43" spans="2:11" ht="15.75">
      <c r="B43" s="37" t="str">
        <f>CONCATENATE("",E1-2,"/",E1-1," Budget Authority Amount:")</f>
        <v>2013/2014 Budget Authority Amount:</v>
      </c>
      <c r="C43" s="121">
        <f>inputOth!B49</f>
        <v>129539</v>
      </c>
      <c r="D43" s="149">
        <f>inputPrYr!D19</f>
        <v>131129</v>
      </c>
      <c r="E43" s="22" t="s">
        <v>272</v>
      </c>
      <c r="F43" s="39"/>
      <c r="G43" s="476">
        <f>IF(D47&gt;0,E46,E48)</f>
        <v>115305</v>
      </c>
      <c r="H43" s="475" t="str">
        <f>CONCATENATE("",E1," Ad Valorem Tax (est.)")</f>
        <v>2015 Ad Valorem Tax (est.)</v>
      </c>
      <c r="I43" s="474"/>
      <c r="J43" s="245"/>
      <c r="K43" s="678">
        <f>IF(G43=E48,"","Note: Does not include Delinquent Taxes")</f>
      </c>
    </row>
    <row r="44" spans="2:10" ht="15.75">
      <c r="B44" s="37"/>
      <c r="C44" s="795" t="s">
        <v>605</v>
      </c>
      <c r="D44" s="796"/>
      <c r="E44" s="23"/>
      <c r="F44" s="470">
        <f>IF(E41/0.95-E41&lt;E44,"Exceeds 5%","")</f>
      </c>
      <c r="G44" s="472">
        <f>SUM(G41:G43)</f>
        <v>132059</v>
      </c>
      <c r="H44" s="475" t="str">
        <f>CONCATENATE("Total ",E1," Resources Available")</f>
        <v>Total 2015 Resources Available</v>
      </c>
      <c r="I44" s="474"/>
      <c r="J44" s="245"/>
    </row>
    <row r="45" spans="2:10" ht="15.75">
      <c r="B45" s="383" t="str">
        <f>CONCATENATE(C72,"     ",D72)</f>
        <v>     </v>
      </c>
      <c r="C45" s="797" t="s">
        <v>606</v>
      </c>
      <c r="D45" s="798"/>
      <c r="E45" s="21">
        <f>E41+E44</f>
        <v>132059</v>
      </c>
      <c r="G45" s="477"/>
      <c r="H45" s="475"/>
      <c r="I45" s="475"/>
      <c r="J45" s="245"/>
    </row>
    <row r="46" spans="2:10" ht="15.75">
      <c r="B46" s="383" t="str">
        <f>CONCATENATE(C73,"     ",D73)</f>
        <v>     </v>
      </c>
      <c r="C46" s="49"/>
      <c r="D46" s="41" t="s">
        <v>28</v>
      </c>
      <c r="E46" s="35">
        <f>IF(E45-E21&gt;0,E45-E21,0)</f>
        <v>115305</v>
      </c>
      <c r="G46" s="476">
        <f>ROUND(C41*0.05+C41,0)</f>
        <v>125075</v>
      </c>
      <c r="H46" s="475" t="str">
        <f>CONCATENATE("Less ",E1-2," Expenditures + 5%")</f>
        <v>Less 2013 Expenditures + 5%</v>
      </c>
      <c r="I46" s="474"/>
      <c r="J46" s="245"/>
    </row>
    <row r="47" spans="2:10" ht="15.75">
      <c r="B47" s="41"/>
      <c r="C47" s="387" t="s">
        <v>607</v>
      </c>
      <c r="D47" s="666">
        <f>inputOth!$E$40</f>
        <v>0</v>
      </c>
      <c r="E47" s="21">
        <f>ROUND(IF(D47&gt;0,(E46*D47),0),0)</f>
        <v>0</v>
      </c>
      <c r="G47" s="478">
        <f>G44-G46</f>
        <v>6984</v>
      </c>
      <c r="H47" s="479" t="str">
        <f>CONCATENATE("Projected ",E1+1," Carryover (est.)")</f>
        <v>Projected 2016 Carryover (est.)</v>
      </c>
      <c r="I47" s="480"/>
      <c r="J47" s="481"/>
    </row>
    <row r="48" spans="2:5" ht="15.75">
      <c r="B48" s="3"/>
      <c r="C48" s="793" t="str">
        <f>CONCATENATE("Amount of  ",$E$1-1," Ad Valorem Tax")</f>
        <v>Amount of  2014 Ad Valorem Tax</v>
      </c>
      <c r="D48" s="794"/>
      <c r="E48" s="35">
        <f>E46+E47</f>
        <v>115305</v>
      </c>
    </row>
    <row r="49" spans="2:10" ht="15.75">
      <c r="B49" s="3"/>
      <c r="C49" s="3"/>
      <c r="D49" s="3"/>
      <c r="E49" s="3"/>
      <c r="G49" s="802" t="s">
        <v>807</v>
      </c>
      <c r="H49" s="803"/>
      <c r="I49" s="803"/>
      <c r="J49" s="804"/>
    </row>
    <row r="50" spans="2:10" ht="15.75">
      <c r="B50" s="3"/>
      <c r="C50" s="3"/>
      <c r="D50" s="3"/>
      <c r="E50" s="3"/>
      <c r="G50" s="679"/>
      <c r="H50" s="473"/>
      <c r="I50" s="668"/>
      <c r="J50" s="680"/>
    </row>
    <row r="51" spans="2:10" ht="15.75">
      <c r="B51" s="57" t="s">
        <v>30</v>
      </c>
      <c r="C51" s="59"/>
      <c r="D51" s="3"/>
      <c r="E51" s="3"/>
      <c r="G51" s="681">
        <f>summ!I19</f>
        <v>14.512</v>
      </c>
      <c r="H51" s="473" t="str">
        <f>CONCATENATE("",E1," Fund Mill Rate")</f>
        <v>2015 Fund Mill Rate</v>
      </c>
      <c r="I51" s="668"/>
      <c r="J51" s="680"/>
    </row>
    <row r="52" spans="2:10" ht="15.75">
      <c r="B52" s="60" t="s">
        <v>31</v>
      </c>
      <c r="C52" s="388" t="str">
        <f>CONCATENATE("",E1-2," Actual Year")</f>
        <v>2013 Actual Year</v>
      </c>
      <c r="D52" s="3"/>
      <c r="E52" s="3"/>
      <c r="G52" s="682">
        <f>summ!F19</f>
        <v>17.07</v>
      </c>
      <c r="H52" s="473" t="str">
        <f>CONCATENATE("",E1-1," Fund Mill Rate")</f>
        <v>2014 Fund Mill Rate</v>
      </c>
      <c r="I52" s="668"/>
      <c r="J52" s="680"/>
    </row>
    <row r="53" spans="2:10" ht="15.75">
      <c r="B53" s="61" t="s">
        <v>14</v>
      </c>
      <c r="C53" s="119"/>
      <c r="D53" s="3"/>
      <c r="E53" s="3"/>
      <c r="G53" s="683">
        <f>summ!I21</f>
        <v>16.343</v>
      </c>
      <c r="H53" s="473" t="str">
        <f>CONCATENATE("Total ",E1," Mill Rate")</f>
        <v>Total 2015 Mill Rate</v>
      </c>
      <c r="I53" s="668"/>
      <c r="J53" s="680"/>
    </row>
    <row r="54" spans="2:10" ht="15.75">
      <c r="B54" s="61" t="s">
        <v>33</v>
      </c>
      <c r="C54" s="121"/>
      <c r="D54" s="3"/>
      <c r="E54" s="3"/>
      <c r="G54" s="682">
        <f>summ!F21</f>
        <v>17.765</v>
      </c>
      <c r="H54" s="684" t="str">
        <f>CONCATENATE("Total ",E1-1," Mill Rate")</f>
        <v>Total 2014 Mill Rate</v>
      </c>
      <c r="I54" s="685"/>
      <c r="J54" s="686"/>
    </row>
    <row r="55" spans="2:5" ht="15.75">
      <c r="B55" s="61" t="s">
        <v>34</v>
      </c>
      <c r="C55" s="386">
        <f>C36</f>
        <v>0</v>
      </c>
      <c r="D55" s="63"/>
      <c r="E55" s="3"/>
    </row>
    <row r="56" spans="2:9" ht="15.75">
      <c r="B56" s="61" t="s">
        <v>229</v>
      </c>
      <c r="C56" s="386">
        <f>gen!C36</f>
        <v>0</v>
      </c>
      <c r="D56" s="805">
        <f>IF(AND(C56&gt;0,C57&gt;0),"Not Auth. Two General Transfers - Only One","")</f>
      </c>
      <c r="E56" s="806"/>
      <c r="G56" s="721" t="s">
        <v>915</v>
      </c>
      <c r="H56" s="720"/>
      <c r="I56" s="719" t="str">
        <f>cert!F37</f>
        <v>No</v>
      </c>
    </row>
    <row r="57" spans="2:5" ht="15.75">
      <c r="B57" s="64" t="s">
        <v>230</v>
      </c>
      <c r="C57" s="386">
        <f>gen!C38</f>
        <v>0</v>
      </c>
      <c r="D57" s="807"/>
      <c r="E57" s="806"/>
    </row>
    <row r="58" spans="2:5" ht="15.75">
      <c r="B58" s="65"/>
      <c r="C58" s="119"/>
      <c r="D58" s="3"/>
      <c r="E58" s="3"/>
    </row>
    <row r="59" spans="2:5" ht="15.75">
      <c r="B59" s="65" t="s">
        <v>22</v>
      </c>
      <c r="C59" s="119"/>
      <c r="D59" s="3"/>
      <c r="E59" s="3"/>
    </row>
    <row r="60" spans="2:5" ht="15.75">
      <c r="B60" s="65" t="s">
        <v>21</v>
      </c>
      <c r="C60" s="119"/>
      <c r="D60" s="3"/>
      <c r="E60" s="3"/>
    </row>
    <row r="61" spans="2:5" ht="15.75">
      <c r="B61" s="66" t="s">
        <v>24</v>
      </c>
      <c r="C61" s="121">
        <f>SUM(C53:C60)</f>
        <v>0</v>
      </c>
      <c r="D61" s="3"/>
      <c r="E61" s="3"/>
    </row>
    <row r="62" spans="2:5" ht="15.75">
      <c r="B62" s="66" t="s">
        <v>26</v>
      </c>
      <c r="C62" s="119"/>
      <c r="D62" s="3"/>
      <c r="E62" s="3"/>
    </row>
    <row r="63" spans="2:5" ht="15.75">
      <c r="B63" s="66" t="s">
        <v>27</v>
      </c>
      <c r="C63" s="385">
        <f>SUM(C61-C62)</f>
        <v>0</v>
      </c>
      <c r="D63" s="3"/>
      <c r="E63" s="3"/>
    </row>
    <row r="64" spans="2:5" ht="15.75">
      <c r="B64" s="3"/>
      <c r="C64" s="3"/>
      <c r="D64" s="3"/>
      <c r="E64" s="3"/>
    </row>
    <row r="65" spans="2:5" ht="15.75">
      <c r="B65" s="41" t="s">
        <v>9</v>
      </c>
      <c r="C65" s="54">
        <v>7</v>
      </c>
      <c r="D65" s="3"/>
      <c r="E65" s="3"/>
    </row>
    <row r="67" ht="15.75">
      <c r="B67" s="1"/>
    </row>
    <row r="72" spans="3:4" ht="15.75" hidden="1">
      <c r="C72" s="5">
        <f>IF(C41&gt;C43,"See Tab A","")</f>
      </c>
      <c r="D72" s="5">
        <f>IF(D41&gt;D43,"See Tab C","")</f>
      </c>
    </row>
    <row r="73" spans="3:4" ht="15.75" hidden="1">
      <c r="C73" s="5">
        <f>IF(C42&lt;0,"See Tab B","")</f>
      </c>
      <c r="D73" s="5">
        <f>IF(D42&lt;0,"See Tab D","")</f>
      </c>
    </row>
  </sheetData>
  <sheetProtection/>
  <mergeCells count="7">
    <mergeCell ref="C48:D48"/>
    <mergeCell ref="C44:D44"/>
    <mergeCell ref="C45:D45"/>
    <mergeCell ref="D56:E57"/>
    <mergeCell ref="G32:J32"/>
    <mergeCell ref="G39:J39"/>
    <mergeCell ref="G49:J49"/>
  </mergeCells>
  <conditionalFormatting sqref="E44">
    <cfRule type="cellIs" priority="3" dxfId="130" operator="greaterThan" stopIfTrue="1">
      <formula>$E$41/0.95-$E$41</formula>
    </cfRule>
  </conditionalFormatting>
  <conditionalFormatting sqref="C39">
    <cfRule type="cellIs" priority="4" dxfId="130" operator="greaterThan" stopIfTrue="1">
      <formula>$C$41*0.1</formula>
    </cfRule>
  </conditionalFormatting>
  <conditionalFormatting sqref="D39">
    <cfRule type="cellIs" priority="5" dxfId="130" operator="greaterThan" stopIfTrue="1">
      <formula>$D$41*0.1</formula>
    </cfRule>
  </conditionalFormatting>
  <conditionalFormatting sqref="E39">
    <cfRule type="cellIs" priority="6" dxfId="130" operator="greaterThan" stopIfTrue="1">
      <formula>$E$41*0.1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6">
    <cfRule type="cellIs" priority="9" dxfId="130" operator="greaterThan" stopIfTrue="1">
      <formula>$C$21*0.25</formula>
    </cfRule>
  </conditionalFormatting>
  <conditionalFormatting sqref="E18">
    <cfRule type="cellIs" priority="10" dxfId="130" operator="greaterThan" stopIfTrue="1">
      <formula>$E$20*0.1+$E$48</formula>
    </cfRule>
  </conditionalFormatting>
  <conditionalFormatting sqref="C42">
    <cfRule type="cellIs" priority="11" dxfId="130" operator="lessThan" stopIfTrue="1">
      <formula>0</formula>
    </cfRule>
  </conditionalFormatting>
  <conditionalFormatting sqref="C41">
    <cfRule type="cellIs" priority="1" dxfId="0" operator="greaterThan" stopIfTrue="1">
      <formula>$C$43</formula>
    </cfRule>
    <cfRule type="cellIs" priority="12" dxfId="1" operator="greaterThan" stopIfTrue="1">
      <formula>#REF!</formula>
    </cfRule>
  </conditionalFormatting>
  <conditionalFormatting sqref="D41">
    <cfRule type="cellIs" priority="13" dxfId="1" operator="greaterThan" stopIfTrue="1">
      <formula>$D$43</formula>
    </cfRule>
  </conditionalFormatting>
  <conditionalFormatting sqref="D36">
    <cfRule type="cellIs" priority="14" dxfId="1" operator="greaterThan" stopIfTrue="1">
      <formula>$D$21*0.25</formula>
    </cfRule>
  </conditionalFormatting>
  <conditionalFormatting sqref="E36">
    <cfRule type="cellIs" priority="15" dxfId="1" operator="greaterThan" stopIfTrue="1">
      <formula>$E$21*0.25+$E$48</formula>
    </cfRule>
  </conditionalFormatting>
  <conditionalFormatting sqref="D42">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B1:N95"/>
  <sheetViews>
    <sheetView zoomScalePageLayoutView="0" workbookViewId="0" topLeftCell="A16">
      <selection activeCell="D37" sqref="D3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785" t="s">
        <v>71</v>
      </c>
      <c r="C2" s="766"/>
      <c r="D2" s="766"/>
      <c r="E2" s="766"/>
      <c r="F2" s="766"/>
      <c r="G2" s="766"/>
      <c r="H2" s="766"/>
      <c r="I2" s="766"/>
    </row>
    <row r="3" spans="2:9" ht="15.75">
      <c r="B3" s="3"/>
      <c r="C3" s="3"/>
      <c r="D3" s="3"/>
      <c r="E3" s="3"/>
      <c r="F3" s="3"/>
      <c r="G3" s="11" t="s">
        <v>37</v>
      </c>
      <c r="H3" s="11" t="s">
        <v>38</v>
      </c>
      <c r="I3" s="3"/>
    </row>
    <row r="4" spans="2:9" ht="15.75">
      <c r="B4" s="762" t="s">
        <v>39</v>
      </c>
      <c r="C4" s="762"/>
      <c r="D4" s="762"/>
      <c r="E4" s="762"/>
      <c r="F4" s="762"/>
      <c r="G4" s="762"/>
      <c r="H4" s="762"/>
      <c r="I4" s="762"/>
    </row>
    <row r="5" spans="2:9" ht="15.75">
      <c r="B5" s="764" t="str">
        <f>inputPrYr!D2</f>
        <v>Irving Township</v>
      </c>
      <c r="C5" s="764"/>
      <c r="D5" s="764"/>
      <c r="E5" s="764"/>
      <c r="F5" s="764"/>
      <c r="G5" s="764"/>
      <c r="H5" s="764"/>
      <c r="I5" s="764"/>
    </row>
    <row r="6" spans="2:9" ht="15.75">
      <c r="B6" s="764" t="str">
        <f>inputPrYr!D3</f>
        <v>Brown County</v>
      </c>
      <c r="C6" s="764"/>
      <c r="D6" s="764"/>
      <c r="E6" s="764"/>
      <c r="F6" s="764"/>
      <c r="G6" s="764"/>
      <c r="H6" s="764"/>
      <c r="I6" s="764"/>
    </row>
    <row r="7" spans="2:9" ht="15.75">
      <c r="B7" s="762" t="str">
        <f>CONCATENATE("will meet on ",inputBudSum!B8," at ",inputBudSum!B10," at ",inputBudSum!B12," for the purpose of hearing and")</f>
        <v>will meet on July 29, 2014 at 10:30 AM at Curt Blevin's residence for the purpose of hearing and</v>
      </c>
      <c r="C7" s="762"/>
      <c r="D7" s="762"/>
      <c r="E7" s="762"/>
      <c r="F7" s="762"/>
      <c r="G7" s="762"/>
      <c r="H7" s="762"/>
      <c r="I7" s="762"/>
    </row>
    <row r="8" spans="2:9" ht="15.75">
      <c r="B8" s="136" t="s">
        <v>585</v>
      </c>
      <c r="C8" s="134"/>
      <c r="D8" s="134"/>
      <c r="E8" s="134"/>
      <c r="F8" s="134"/>
      <c r="G8" s="134"/>
      <c r="H8" s="134"/>
      <c r="I8" s="134"/>
    </row>
    <row r="9" spans="2:9" ht="15.75">
      <c r="B9" s="136" t="str">
        <f>CONCATENATE("Detailed budget information is available at ",inputBudSum!B15," and will be available at this hearing.")</f>
        <v>Detailed budget information is available at Brown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68" t="str">
        <f>CONCATENATE("Amount of ",I1-1," Ad Valorem Tax")</f>
        <v>Amount of 2014 Ad Valorem Tax</v>
      </c>
      <c r="I15" s="12" t="s">
        <v>40</v>
      </c>
      <c r="J15" s="138"/>
    </row>
    <row r="16" spans="2:10" ht="15.75">
      <c r="B16" s="3"/>
      <c r="C16" s="145"/>
      <c r="D16" s="145" t="s">
        <v>41</v>
      </c>
      <c r="E16" s="145"/>
      <c r="F16" s="145" t="s">
        <v>41</v>
      </c>
      <c r="G16" s="145" t="s">
        <v>191</v>
      </c>
      <c r="H16" s="818"/>
      <c r="I16" s="145" t="s">
        <v>41</v>
      </c>
      <c r="J16" s="138"/>
    </row>
    <row r="17" spans="2:10" ht="15.75">
      <c r="B17" s="14" t="s">
        <v>268</v>
      </c>
      <c r="C17" s="15" t="s">
        <v>42</v>
      </c>
      <c r="D17" s="15" t="s">
        <v>43</v>
      </c>
      <c r="E17" s="15" t="s">
        <v>42</v>
      </c>
      <c r="F17" s="15" t="s">
        <v>43</v>
      </c>
      <c r="G17" s="15" t="s">
        <v>701</v>
      </c>
      <c r="H17" s="819"/>
      <c r="I17" s="15" t="s">
        <v>43</v>
      </c>
      <c r="J17" s="138"/>
    </row>
    <row r="18" spans="2:10" ht="15.75">
      <c r="B18" s="74" t="str">
        <f>inputPrYr!B16</f>
        <v>General</v>
      </c>
      <c r="C18" s="52">
        <f>IF(gen!$C$43&lt;&gt;0,gen!$C$43,"  ")</f>
        <v>18877</v>
      </c>
      <c r="D18" s="501">
        <f>IF(inputPrYr!D42&gt;0,inputPrYr!D42,"  ")</f>
        <v>2.208</v>
      </c>
      <c r="E18" s="21">
        <f>IF(gen!$D$43&lt;&gt;0,gen!$D$43,"  ")</f>
        <v>13388</v>
      </c>
      <c r="F18" s="223">
        <f>IF(inputOth!D17&gt;0,inputOth!D17,"  ")</f>
        <v>0.695</v>
      </c>
      <c r="G18" s="21">
        <f>IF(gen!$E$43&lt;&gt;0,gen!$E$43,"  ")</f>
        <v>16500</v>
      </c>
      <c r="H18" s="21">
        <f>IF(gen!$E$50&lt;&gt;0,gen!$E$50," ")</f>
        <v>14547</v>
      </c>
      <c r="I18" s="503">
        <f>IF(gen!E50&gt;0,ROUND(H18/$G$26*1000,3)," ")</f>
        <v>1.831</v>
      </c>
      <c r="J18" s="138"/>
    </row>
    <row r="19" spans="2:14" ht="15.75">
      <c r="B19" s="74" t="str">
        <f>IF(inputPrYr!$B19&gt;"  ",inputPrYr!$B19,"  ")</f>
        <v>Road</v>
      </c>
      <c r="C19" s="21">
        <f>IF(road!$C$41&lt;&gt;0,road!$C$41,"  ")</f>
        <v>119119</v>
      </c>
      <c r="D19" s="501">
        <f>IF(inputPrYr!D45&gt;0,inputPrYr!D45,"  ")</f>
        <v>18.216</v>
      </c>
      <c r="E19" s="21">
        <f>IF(road!$D$41&lt;&gt;0,road!$D$41,"  ")</f>
        <v>131129</v>
      </c>
      <c r="F19" s="223">
        <f>IF(inputOth!D20&gt;0,inputOth!D20,"  ")</f>
        <v>17.07</v>
      </c>
      <c r="G19" s="21">
        <f>IF(road!$E$41&lt;&gt;0,road!$E$41,"  ")</f>
        <v>132059</v>
      </c>
      <c r="H19" s="21">
        <f>IF(road!$E$48&lt;&gt;0,road!$E$48,"  ")</f>
        <v>115305</v>
      </c>
      <c r="I19" s="503">
        <f>IF(road!E48&gt;0,ROUND(H19/$G$26*1000,3)," ")</f>
        <v>14.512</v>
      </c>
      <c r="K19" s="811" t="str">
        <f>CONCATENATE("Estimated Value Of One Mill For ",I1,"")</f>
        <v>Estimated Value Of One Mill For 2015</v>
      </c>
      <c r="L19" s="816"/>
      <c r="M19" s="816"/>
      <c r="N19" s="817"/>
    </row>
    <row r="20" spans="2:14" ht="16.5" thickBot="1">
      <c r="B20" s="61"/>
      <c r="C20" s="467" t="str">
        <f>IF(road!C62&lt;&gt;0,road!C62,"  ")</f>
        <v>  </v>
      </c>
      <c r="D20" s="468"/>
      <c r="E20" s="502"/>
      <c r="F20" s="468"/>
      <c r="G20" s="502"/>
      <c r="H20" s="502"/>
      <c r="I20" s="468"/>
      <c r="K20" s="495"/>
      <c r="L20" s="495"/>
      <c r="M20" s="495"/>
      <c r="N20" s="495"/>
    </row>
    <row r="21" spans="2:14" ht="15.75">
      <c r="B21" s="61" t="s">
        <v>271</v>
      </c>
      <c r="C21" s="504">
        <f aca="true" t="shared" si="0" ref="C21:I21">SUM(C18:C20)</f>
        <v>137996</v>
      </c>
      <c r="D21" s="466">
        <f t="shared" si="0"/>
        <v>20.424</v>
      </c>
      <c r="E21" s="504">
        <f t="shared" si="0"/>
        <v>144517</v>
      </c>
      <c r="F21" s="466">
        <f t="shared" si="0"/>
        <v>17.765</v>
      </c>
      <c r="G21" s="504">
        <f t="shared" si="0"/>
        <v>148559</v>
      </c>
      <c r="H21" s="504">
        <f t="shared" si="0"/>
        <v>129852</v>
      </c>
      <c r="I21" s="507">
        <f t="shared" si="0"/>
        <v>16.343</v>
      </c>
      <c r="K21" s="811" t="str">
        <f>CONCATENATE("Impact On Keeping The Same Mill Rate As For ",I1-1,"")</f>
        <v>Impact On Keeping The Same Mill Rate As For 2014</v>
      </c>
      <c r="L21" s="812"/>
      <c r="M21" s="812"/>
      <c r="N21" s="813"/>
    </row>
    <row r="22" spans="2:14" ht="15.75">
      <c r="B22" s="262" t="s">
        <v>44</v>
      </c>
      <c r="C22" s="21">
        <f>transfer!C29</f>
        <v>0</v>
      </c>
      <c r="D22" s="3"/>
      <c r="E22" s="21">
        <f>transfer!D29</f>
        <v>0</v>
      </c>
      <c r="F22" s="50"/>
      <c r="G22" s="21">
        <f>transfer!E29</f>
        <v>0</v>
      </c>
      <c r="H22" s="3"/>
      <c r="I22" s="3"/>
      <c r="K22" s="491"/>
      <c r="L22" s="487"/>
      <c r="M22" s="487"/>
      <c r="N22" s="492"/>
    </row>
    <row r="23" spans="2:14" ht="16.5" thickBot="1">
      <c r="B23" s="262" t="s">
        <v>45</v>
      </c>
      <c r="C23" s="505">
        <f>C21-C22</f>
        <v>137996</v>
      </c>
      <c r="D23" s="3"/>
      <c r="E23" s="505">
        <f>E21-E22</f>
        <v>144517</v>
      </c>
      <c r="F23" s="3"/>
      <c r="G23" s="505">
        <f>G21-G22</f>
        <v>148559</v>
      </c>
      <c r="H23" s="3"/>
      <c r="I23" s="3"/>
      <c r="K23" s="491" t="str">
        <f>CONCATENATE("",I1," Ad Valorem Tax Revenue:")</f>
        <v>2015 Ad Valorem Tax Revenue:</v>
      </c>
      <c r="L23" s="487"/>
      <c r="M23" s="487"/>
      <c r="N23" s="488">
        <f>H21</f>
        <v>129852</v>
      </c>
    </row>
    <row r="24" spans="2:14" ht="16.5" thickTop="1">
      <c r="B24" s="262" t="s">
        <v>46</v>
      </c>
      <c r="C24" s="506">
        <f>inputPrYr!E54</f>
        <v>123512</v>
      </c>
      <c r="D24" s="50"/>
      <c r="E24" s="506">
        <f>inputPrYr!E26</f>
        <v>123512</v>
      </c>
      <c r="F24" s="3"/>
      <c r="G24" s="497" t="s">
        <v>272</v>
      </c>
      <c r="H24" s="3"/>
      <c r="I24" s="3"/>
      <c r="K24" s="491" t="str">
        <f>CONCATENATE("",I1-1," Ad Valorem Tax Revenue:")</f>
        <v>2014 Ad Valorem Tax Revenue:</v>
      </c>
      <c r="L24" s="487"/>
      <c r="M24" s="487"/>
      <c r="N24" s="496" t="e">
        <f>ROUND(G26*#REF!/1000,0)</f>
        <v>#REF!</v>
      </c>
    </row>
    <row r="25" spans="2:14" ht="15.75">
      <c r="B25" s="262" t="s">
        <v>47</v>
      </c>
      <c r="C25" s="44"/>
      <c r="D25" s="50"/>
      <c r="E25" s="44"/>
      <c r="F25" s="50"/>
      <c r="G25" s="3"/>
      <c r="H25" s="3"/>
      <c r="I25" s="3"/>
      <c r="K25" s="493" t="s">
        <v>699</v>
      </c>
      <c r="L25" s="494"/>
      <c r="M25" s="494"/>
      <c r="N25" s="489" t="e">
        <f>N23-N24</f>
        <v>#REF!</v>
      </c>
    </row>
    <row r="26" spans="2:14" ht="15.75">
      <c r="B26" s="262" t="s">
        <v>48</v>
      </c>
      <c r="C26" s="21">
        <f>inputPrYr!E55</f>
        <v>6047484</v>
      </c>
      <c r="D26" s="3"/>
      <c r="E26" s="21">
        <f>inputOth!E29</f>
        <v>6952558</v>
      </c>
      <c r="F26" s="3"/>
      <c r="G26" s="21">
        <f>inputOth!E7</f>
        <v>7945740</v>
      </c>
      <c r="H26" s="3"/>
      <c r="I26" s="3"/>
      <c r="K26" s="490"/>
      <c r="L26" s="490"/>
      <c r="M26" s="490"/>
      <c r="N26" s="495"/>
    </row>
    <row r="27" spans="2:14" ht="15.75">
      <c r="B27" s="11" t="s">
        <v>49</v>
      </c>
      <c r="C27" s="3"/>
      <c r="D27" s="3"/>
      <c r="E27" s="3"/>
      <c r="F27" s="3"/>
      <c r="G27" s="3"/>
      <c r="H27" s="3"/>
      <c r="I27" s="3"/>
      <c r="K27" s="811" t="s">
        <v>700</v>
      </c>
      <c r="L27" s="814"/>
      <c r="M27" s="814"/>
      <c r="N27" s="815"/>
    </row>
    <row r="28" spans="2:14" ht="15.75">
      <c r="B28" s="11" t="s">
        <v>50</v>
      </c>
      <c r="C28" s="148">
        <f>I1-3</f>
        <v>2012</v>
      </c>
      <c r="D28" s="3"/>
      <c r="E28" s="148">
        <f>I1-2</f>
        <v>2013</v>
      </c>
      <c r="F28" s="3"/>
      <c r="G28" s="148">
        <f>I1-1</f>
        <v>2014</v>
      </c>
      <c r="H28" s="3"/>
      <c r="I28" s="3"/>
      <c r="K28" s="491"/>
      <c r="L28" s="487"/>
      <c r="M28" s="487"/>
      <c r="N28" s="492"/>
    </row>
    <row r="29" spans="2:14" ht="15.75">
      <c r="B29" s="11" t="s">
        <v>726</v>
      </c>
      <c r="C29" s="149">
        <f>inputPrYr!D61</f>
        <v>0</v>
      </c>
      <c r="D29" s="48"/>
      <c r="E29" s="149">
        <f>inputPrYr!E61</f>
        <v>40704</v>
      </c>
      <c r="F29" s="48"/>
      <c r="G29" s="149">
        <f>'debt-lease'!G36</f>
        <v>27136</v>
      </c>
      <c r="H29" s="3"/>
      <c r="I29" s="3"/>
      <c r="K29" s="491" t="str">
        <f>CONCATENATE("",I1," Ad Valorem Tax:")</f>
        <v>2015 Ad Valorem Tax:</v>
      </c>
      <c r="L29" s="487"/>
      <c r="M29" s="487"/>
      <c r="N29" s="496" t="e">
        <f>ROUND(G26*#REF!/1000,0)</f>
        <v>#REF!</v>
      </c>
    </row>
    <row r="30" spans="2:14" ht="16.5" thickBot="1">
      <c r="B30" s="11" t="s">
        <v>52</v>
      </c>
      <c r="C30" s="150">
        <f>SUM(C29:C29)</f>
        <v>0</v>
      </c>
      <c r="D30" s="48"/>
      <c r="E30" s="150">
        <f>SUM(E29:E29)</f>
        <v>40704</v>
      </c>
      <c r="F30" s="48"/>
      <c r="G30" s="150">
        <f>SUM(G29:G29)</f>
        <v>27136</v>
      </c>
      <c r="H30" s="3"/>
      <c r="I30" s="3"/>
      <c r="K30" s="493" t="str">
        <f>CONCATENATE("",I1," Tax Levy Fund Exp. Changed By:")</f>
        <v>2015 Tax Levy Fund Exp. Changed By:</v>
      </c>
      <c r="L30" s="494"/>
      <c r="M30" s="494"/>
      <c r="N30" s="489" t="e">
        <f>IF(#REF!=0,0,(N29-H21))</f>
        <v>#REF!</v>
      </c>
    </row>
    <row r="31" spans="2:9" ht="16.5" thickTop="1">
      <c r="B31" s="11" t="s">
        <v>53</v>
      </c>
      <c r="C31" s="3"/>
      <c r="D31" s="3"/>
      <c r="E31" s="3"/>
      <c r="F31" s="3"/>
      <c r="G31" s="3"/>
      <c r="H31" s="3"/>
      <c r="I31" s="3"/>
    </row>
    <row r="32" spans="2:9" ht="15.75">
      <c r="B32" s="3"/>
      <c r="C32" s="3"/>
      <c r="D32" s="3"/>
      <c r="E32" s="3"/>
      <c r="F32" s="3"/>
      <c r="G32" s="3"/>
      <c r="H32" s="3"/>
      <c r="I32" s="3"/>
    </row>
    <row r="33" spans="2:9" ht="15.75">
      <c r="B33" s="810" t="str">
        <f>inputBudSum!B4</f>
        <v>Curt Blevin</v>
      </c>
      <c r="C33" s="810"/>
      <c r="D33" s="3"/>
      <c r="E33" s="3"/>
      <c r="F33" s="3"/>
      <c r="G33" s="3"/>
      <c r="H33" s="3"/>
      <c r="I33" s="3"/>
    </row>
    <row r="34" spans="2:9" ht="15.75">
      <c r="B34" s="808" t="str">
        <f>inputBudSum!B6</f>
        <v>Trustee</v>
      </c>
      <c r="C34" s="809"/>
      <c r="D34" s="3"/>
      <c r="E34" s="3"/>
      <c r="F34" s="3"/>
      <c r="G34" s="3"/>
      <c r="H34" s="3"/>
      <c r="I34" s="3"/>
    </row>
    <row r="35" spans="2:9" ht="15.75">
      <c r="B35" s="3"/>
      <c r="C35" s="3"/>
      <c r="D35" s="3"/>
      <c r="E35" s="3"/>
      <c r="F35" s="3"/>
      <c r="G35" s="3"/>
      <c r="H35" s="3"/>
      <c r="I35" s="3"/>
    </row>
    <row r="36" spans="2:9" ht="15.75">
      <c r="B36" s="3"/>
      <c r="C36" s="41" t="s">
        <v>9</v>
      </c>
      <c r="D36" s="70">
        <v>8</v>
      </c>
      <c r="E36" s="3"/>
      <c r="F36" s="3"/>
      <c r="G36" s="3"/>
      <c r="H36" s="3"/>
      <c r="I36" s="3"/>
    </row>
    <row r="37" spans="2:4" ht="15.75">
      <c r="B37" s="69"/>
      <c r="C37" s="69"/>
      <c r="D37" s="69" t="s">
        <v>260</v>
      </c>
    </row>
    <row r="39" spans="2:8" ht="15.75">
      <c r="B39" s="69"/>
      <c r="C39" s="69"/>
      <c r="D39" s="69"/>
      <c r="E39" s="69"/>
      <c r="F39" s="69"/>
      <c r="G39" s="69"/>
      <c r="H39" s="69"/>
    </row>
    <row r="40" ht="15.75">
      <c r="I40" s="69"/>
    </row>
    <row r="61" spans="2:7" ht="15.75">
      <c r="B61" s="69"/>
      <c r="C61" s="69"/>
      <c r="D61" s="69"/>
      <c r="E61" s="69"/>
      <c r="F61" s="69"/>
      <c r="G61" s="69"/>
    </row>
    <row r="68" spans="2:8" ht="15.75">
      <c r="B68" s="69"/>
      <c r="C68" s="69"/>
      <c r="D68" s="69"/>
      <c r="E68" s="69"/>
      <c r="F68" s="69"/>
      <c r="G68" s="69"/>
      <c r="H68" s="69"/>
    </row>
    <row r="69" ht="15.75">
      <c r="I69" s="69"/>
    </row>
    <row r="74" spans="2:8" ht="15.75">
      <c r="B74" s="69"/>
      <c r="C74" s="69"/>
      <c r="D74" s="69"/>
      <c r="E74" s="69"/>
      <c r="F74" s="69"/>
      <c r="G74" s="69"/>
      <c r="H74" s="69"/>
    </row>
    <row r="75" ht="15.75">
      <c r="I75" s="69"/>
    </row>
    <row r="95" spans="2:8" ht="15.75">
      <c r="B95" s="69"/>
      <c r="C95" s="69"/>
      <c r="D95" s="69"/>
      <c r="E95" s="69"/>
      <c r="F95" s="69"/>
      <c r="G95" s="69"/>
      <c r="H95" s="69"/>
    </row>
  </sheetData>
  <sheetProtection/>
  <mergeCells count="11">
    <mergeCell ref="B6:I6"/>
    <mergeCell ref="B5:I5"/>
    <mergeCell ref="B2:I2"/>
    <mergeCell ref="B34:C34"/>
    <mergeCell ref="B33:C33"/>
    <mergeCell ref="K21:N21"/>
    <mergeCell ref="K27:N27"/>
    <mergeCell ref="K19:N19"/>
    <mergeCell ref="B4:I4"/>
    <mergeCell ref="H15:H17"/>
    <mergeCell ref="B7:I7"/>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G10" sqref="G10"/>
    </sheetView>
  </sheetViews>
  <sheetFormatPr defaultColWidth="8.796875" defaultRowHeight="15.75"/>
  <sheetData>
    <row r="2" spans="3:9" ht="15.75">
      <c r="C2" s="728"/>
      <c r="D2" s="728"/>
      <c r="E2" s="728"/>
      <c r="F2" s="728"/>
      <c r="G2" s="728"/>
      <c r="H2" s="728"/>
      <c r="I2" s="729">
        <f>inputPrYr!D5</f>
        <v>2015</v>
      </c>
    </row>
    <row r="3" spans="3:9" ht="16.5" thickBot="1">
      <c r="C3" s="728"/>
      <c r="D3" s="728"/>
      <c r="E3" s="728"/>
      <c r="F3" s="728"/>
      <c r="G3" s="728"/>
      <c r="H3" s="728"/>
      <c r="I3" s="728"/>
    </row>
    <row r="4" spans="3:9" ht="19.5" thickBot="1">
      <c r="C4" s="820" t="s">
        <v>944</v>
      </c>
      <c r="D4" s="821"/>
      <c r="E4" s="821"/>
      <c r="F4" s="821"/>
      <c r="G4" s="821"/>
      <c r="H4" s="821"/>
      <c r="I4" s="822"/>
    </row>
    <row r="5" spans="3:9" ht="16.5" thickBot="1">
      <c r="C5" s="730"/>
      <c r="D5" s="730"/>
      <c r="E5" s="731"/>
      <c r="F5" s="732"/>
      <c r="G5" s="730"/>
      <c r="H5" s="730"/>
      <c r="I5" s="730"/>
    </row>
    <row r="6" spans="3:9" ht="15.75">
      <c r="C6" s="823" t="str">
        <f>CONCATENATE("Notice of Vote - ",inputPrYr!D2)</f>
        <v>Notice of Vote - Irving Township</v>
      </c>
      <c r="D6" s="824"/>
      <c r="E6" s="824"/>
      <c r="F6" s="824"/>
      <c r="G6" s="824"/>
      <c r="H6" s="824"/>
      <c r="I6" s="825"/>
    </row>
    <row r="7" spans="3:9" ht="60.75" customHeight="1" thickBot="1">
      <c r="C7" s="82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27"/>
      <c r="E7" s="827"/>
      <c r="F7" s="827"/>
      <c r="G7" s="827"/>
      <c r="H7" s="827"/>
      <c r="I7" s="828"/>
    </row>
  </sheetData>
  <sheetProtection/>
  <mergeCells count="3">
    <mergeCell ref="C4:I4"/>
    <mergeCell ref="C6:I6"/>
    <mergeCell ref="C7:I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A8" sqref="A8"/>
    </sheetView>
  </sheetViews>
  <sheetFormatPr defaultColWidth="8.796875" defaultRowHeight="15.75"/>
  <cols>
    <col min="5" max="5" width="12.19921875" style="0" customWidth="1"/>
    <col min="7" max="7" width="3.296875" style="0" customWidth="1"/>
  </cols>
  <sheetData>
    <row r="2" spans="3:8" ht="15.75">
      <c r="C2" s="728"/>
      <c r="D2" s="728"/>
      <c r="E2" s="728"/>
      <c r="F2" s="728"/>
      <c r="G2" s="728"/>
      <c r="H2" s="729">
        <f>inputPrYr!D5</f>
        <v>2015</v>
      </c>
    </row>
    <row r="3" spans="3:8" ht="16.5" thickBot="1">
      <c r="C3" s="728"/>
      <c r="D3" s="728"/>
      <c r="E3" s="728"/>
      <c r="F3" s="728"/>
      <c r="G3" s="728"/>
      <c r="H3" s="728"/>
    </row>
    <row r="4" spans="3:8" ht="19.5" thickBot="1">
      <c r="C4" s="829" t="s">
        <v>945</v>
      </c>
      <c r="D4" s="830"/>
      <c r="E4" s="830"/>
      <c r="F4" s="830"/>
      <c r="G4" s="830"/>
      <c r="H4" s="831"/>
    </row>
    <row r="5" spans="3:8" ht="16.5" thickBot="1">
      <c r="C5" s="733"/>
      <c r="D5" s="733"/>
      <c r="E5" s="733"/>
      <c r="F5" s="733"/>
      <c r="G5" s="733"/>
      <c r="H5" s="733"/>
    </row>
    <row r="6" spans="3:8" ht="15.75">
      <c r="C6" s="823" t="str">
        <f>CONCATENATE("Notice of Vote - ",inputPrYr!D2)</f>
        <v>Notice of Vote - Irving Township</v>
      </c>
      <c r="D6" s="824"/>
      <c r="E6" s="824"/>
      <c r="F6" s="824"/>
      <c r="G6" s="824"/>
      <c r="H6" s="825"/>
    </row>
    <row r="7" spans="3:8" ht="15.75">
      <c r="C7" s="832" t="s">
        <v>946</v>
      </c>
      <c r="D7" s="833"/>
      <c r="E7" s="833"/>
      <c r="F7" s="833"/>
      <c r="G7" s="833"/>
      <c r="H7" s="834"/>
    </row>
    <row r="8" spans="3:8" ht="15.75">
      <c r="C8" s="832" t="s">
        <v>947</v>
      </c>
      <c r="D8" s="833"/>
      <c r="E8" s="833"/>
      <c r="F8" s="833"/>
      <c r="G8" s="833"/>
      <c r="H8" s="834"/>
    </row>
    <row r="9" spans="3:8" ht="15.75">
      <c r="C9" s="734" t="str">
        <f>CONCATENATE(H2-1," Budget")</f>
        <v>2014 Budget</v>
      </c>
      <c r="D9" s="735" t="s">
        <v>2</v>
      </c>
      <c r="E9" s="736">
        <f>inputPrYr!E26</f>
        <v>123512</v>
      </c>
      <c r="F9" s="737"/>
      <c r="G9" s="737"/>
      <c r="H9" s="738"/>
    </row>
    <row r="10" spans="3:8" ht="15.75">
      <c r="C10" s="734" t="str">
        <f>CONCATENATE(H2," Budget")</f>
        <v>2015 Budget</v>
      </c>
      <c r="D10" s="735" t="s">
        <v>2</v>
      </c>
      <c r="E10" s="739">
        <f>cert!F35</f>
        <v>129852</v>
      </c>
      <c r="F10" s="737"/>
      <c r="G10" s="737"/>
      <c r="H10" s="738"/>
    </row>
    <row r="11" spans="3:8" ht="15.75">
      <c r="C11" s="734"/>
      <c r="D11" s="737"/>
      <c r="E11" s="737" t="s">
        <v>948</v>
      </c>
      <c r="F11" s="740"/>
      <c r="G11" s="741" t="s">
        <v>949</v>
      </c>
      <c r="H11" s="742"/>
    </row>
    <row r="12" spans="3:8" ht="16.5" thickBot="1">
      <c r="C12" s="743"/>
      <c r="D12" s="744"/>
      <c r="E12" s="744"/>
      <c r="F12" s="744"/>
      <c r="G12" s="744"/>
      <c r="H12" s="745"/>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Irving Township</v>
      </c>
      <c r="B1" s="3"/>
      <c r="C1" s="3"/>
      <c r="D1" s="3"/>
      <c r="E1" s="3"/>
      <c r="F1" s="3">
        <f>inputPrYr!D5</f>
        <v>2015</v>
      </c>
    </row>
    <row r="2" spans="1:6" ht="15.75">
      <c r="A2" s="3"/>
      <c r="B2" s="3"/>
      <c r="C2" s="3"/>
      <c r="D2" s="3"/>
      <c r="E2" s="3"/>
      <c r="F2" s="3"/>
    </row>
    <row r="3" spans="1:6" ht="15.75">
      <c r="A3" s="3"/>
      <c r="B3" s="767" t="str">
        <f>CONCATENATE("",F1," Neighborhood Revitalization Rebate")</f>
        <v>2015 Neighborhood Revitalization Rebate</v>
      </c>
      <c r="C3" s="775"/>
      <c r="D3" s="775"/>
      <c r="E3" s="775"/>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194</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37" t="str">
        <f>CONCATENATE("",F1-1," July 1 Valuation:")</f>
        <v>2014 July 1 Valuation:</v>
      </c>
      <c r="B19" s="836"/>
      <c r="C19" s="837"/>
      <c r="D19" s="125">
        <f>inputOth!E7</f>
        <v>7945740</v>
      </c>
      <c r="E19" s="3"/>
      <c r="F19" s="118"/>
    </row>
    <row r="20" spans="1:6" ht="15.75">
      <c r="A20" s="3"/>
      <c r="B20" s="3"/>
      <c r="C20" s="3"/>
      <c r="D20" s="3"/>
      <c r="E20" s="3"/>
      <c r="F20" s="118"/>
    </row>
    <row r="21" spans="1:6" ht="15.75">
      <c r="A21" s="3"/>
      <c r="B21" s="837" t="s">
        <v>348</v>
      </c>
      <c r="C21" s="837"/>
      <c r="D21" s="126">
        <f>IF(D19&gt;0,(D19*0.001),"")</f>
        <v>7945.74</v>
      </c>
      <c r="E21" s="3"/>
      <c r="F21" s="118"/>
    </row>
    <row r="22" spans="1:6" ht="15.75">
      <c r="A22" s="3"/>
      <c r="B22" s="37"/>
      <c r="C22" s="37"/>
      <c r="D22" s="127"/>
      <c r="E22" s="3"/>
      <c r="F22" s="118"/>
    </row>
    <row r="23" spans="1:6" ht="15.75">
      <c r="A23" s="835" t="s">
        <v>350</v>
      </c>
      <c r="B23" s="766"/>
      <c r="C23" s="766"/>
      <c r="D23" s="128">
        <f>inputOth!E13</f>
        <v>27591</v>
      </c>
      <c r="E23" s="129"/>
      <c r="F23" s="129"/>
    </row>
    <row r="24" spans="1:6" ht="15.75">
      <c r="A24" s="129"/>
      <c r="B24" s="129"/>
      <c r="C24" s="129"/>
      <c r="D24" s="130"/>
      <c r="E24" s="129"/>
      <c r="F24" s="129"/>
    </row>
    <row r="25" spans="1:6" ht="15.75">
      <c r="A25" s="129"/>
      <c r="B25" s="835" t="s">
        <v>351</v>
      </c>
      <c r="C25" s="836"/>
      <c r="D25" s="131">
        <f>IF(D23&gt;0,(D23*0.001),"")</f>
        <v>27.591</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60"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60" t="s">
        <v>586</v>
      </c>
      <c r="B30" s="129"/>
      <c r="C30" s="129"/>
      <c r="D30" s="129"/>
      <c r="E30" s="129"/>
      <c r="F30" s="129"/>
    </row>
    <row r="31" spans="1:6" ht="15.75">
      <c r="A31" s="360"/>
      <c r="B31" s="129"/>
      <c r="C31" s="129"/>
      <c r="D31" s="129"/>
      <c r="E31" s="129"/>
      <c r="F31" s="129"/>
    </row>
    <row r="32" spans="1:6" ht="15.75">
      <c r="A32" s="360"/>
      <c r="B32" s="129"/>
      <c r="C32" s="129"/>
      <c r="D32" s="129"/>
      <c r="E32" s="129"/>
      <c r="F32" s="129"/>
    </row>
    <row r="33" spans="1:6" ht="15.75">
      <c r="A33" s="360"/>
      <c r="B33" s="129"/>
      <c r="C33" s="129"/>
      <c r="D33" s="129"/>
      <c r="E33" s="129"/>
      <c r="F33" s="129"/>
    </row>
    <row r="34" spans="1:6" ht="15.75">
      <c r="A34" s="360"/>
      <c r="B34" s="129"/>
      <c r="C34" s="129"/>
      <c r="D34" s="129"/>
      <c r="E34" s="129"/>
      <c r="F34" s="129"/>
    </row>
    <row r="35" spans="1:6" ht="15.75">
      <c r="A35" s="360"/>
      <c r="B35" s="129"/>
      <c r="C35" s="129"/>
      <c r="D35" s="129"/>
      <c r="E35" s="129"/>
      <c r="F35" s="129"/>
    </row>
    <row r="36" spans="1:6" ht="15.75">
      <c r="A36" s="360"/>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0" t="s">
        <v>364</v>
      </c>
      <c r="B3" s="340"/>
      <c r="C3" s="340"/>
      <c r="D3" s="340"/>
      <c r="E3" s="340"/>
      <c r="F3" s="340"/>
      <c r="G3" s="340"/>
      <c r="H3" s="340"/>
      <c r="I3" s="340"/>
      <c r="J3" s="340"/>
      <c r="K3" s="340"/>
      <c r="L3" s="340"/>
    </row>
    <row r="5" ht="15.75">
      <c r="A5" s="339" t="s">
        <v>365</v>
      </c>
    </row>
    <row r="6" ht="15.75">
      <c r="A6" s="339" t="str">
        <f>CONCATENATE(inputPrYr!D5-2," 'total expenditures' exceed your ",inputPrYr!D5-2," 'budget authority.'")</f>
        <v>2013 'total expenditures' exceed your 2013 'budget authority.'</v>
      </c>
    </row>
    <row r="7" ht="15.75">
      <c r="A7" s="339"/>
    </row>
    <row r="8" ht="15.75">
      <c r="A8" s="339" t="s">
        <v>366</v>
      </c>
    </row>
    <row r="9" ht="15.75">
      <c r="A9" s="339" t="s">
        <v>367</v>
      </c>
    </row>
    <row r="10" ht="15.75">
      <c r="A10" s="339" t="s">
        <v>368</v>
      </c>
    </row>
    <row r="11" ht="15.75">
      <c r="A11" s="339"/>
    </row>
    <row r="12" ht="15.75">
      <c r="A12" s="339"/>
    </row>
    <row r="13" ht="15.75">
      <c r="A13" s="338" t="s">
        <v>369</v>
      </c>
    </row>
    <row r="15" ht="15.75">
      <c r="A15" s="339" t="s">
        <v>370</v>
      </c>
    </row>
    <row r="16" ht="15.75">
      <c r="A16" s="339" t="str">
        <f>CONCATENATE("(i.e. an audit has not been completed, or the ",inputPrYr!D5," adopted")</f>
        <v>(i.e. an audit has not been completed, or the 2015 adopted</v>
      </c>
    </row>
    <row r="17" ht="15.75">
      <c r="A17" s="339" t="s">
        <v>371</v>
      </c>
    </row>
    <row r="18" ht="15.75">
      <c r="A18" s="339" t="s">
        <v>372</v>
      </c>
    </row>
    <row r="19" ht="15.75">
      <c r="A19" s="339" t="s">
        <v>373</v>
      </c>
    </row>
    <row r="21" ht="15.75">
      <c r="A21" s="338" t="s">
        <v>374</v>
      </c>
    </row>
    <row r="22" ht="15.75">
      <c r="A22" s="338"/>
    </row>
    <row r="23" ht="15.75">
      <c r="A23" s="339" t="s">
        <v>375</v>
      </c>
    </row>
    <row r="24" ht="15.75">
      <c r="A24" s="339" t="s">
        <v>376</v>
      </c>
    </row>
    <row r="25" ht="15.75">
      <c r="A25" s="339" t="str">
        <f>CONCATENATE("particular fund.  If your ",inputPrYr!D5-2," budget was amended, did you")</f>
        <v>particular fund.  If your 2013 budget was amended, did you</v>
      </c>
    </row>
    <row r="26" ht="15.75">
      <c r="A26" s="339" t="s">
        <v>377</v>
      </c>
    </row>
    <row r="27" ht="15.75">
      <c r="A27" s="339"/>
    </row>
    <row r="28" ht="15.75">
      <c r="A28" s="339" t="str">
        <f>CONCATENATE("Next, look to see if any of your ",inputPrYr!D5-2," expenditures can be")</f>
        <v>Next, look to see if any of your 2013 expenditures can be</v>
      </c>
    </row>
    <row r="29" ht="15.75">
      <c r="A29" s="339" t="s">
        <v>378</v>
      </c>
    </row>
    <row r="30" ht="15.75">
      <c r="A30" s="339" t="s">
        <v>379</v>
      </c>
    </row>
    <row r="31" ht="15.75">
      <c r="A31" s="339" t="s">
        <v>380</v>
      </c>
    </row>
    <row r="32" ht="15.75">
      <c r="A32" s="339"/>
    </row>
    <row r="33" ht="15.75">
      <c r="A33" s="339" t="str">
        <f>CONCATENATE("Additionally, do your ",inputPrYr!D5-2," receipts contain a reimbursement")</f>
        <v>Additionally, do your 2013 receipts contain a reimbursement</v>
      </c>
    </row>
    <row r="34" ht="15.75">
      <c r="A34" s="339" t="s">
        <v>381</v>
      </c>
    </row>
    <row r="35" ht="15.75">
      <c r="A35" s="339" t="s">
        <v>382</v>
      </c>
    </row>
    <row r="36" ht="15.75">
      <c r="A36" s="339"/>
    </row>
    <row r="37" ht="15.75">
      <c r="A37" s="339" t="s">
        <v>383</v>
      </c>
    </row>
    <row r="38" ht="15.75">
      <c r="A38" s="339" t="s">
        <v>569</v>
      </c>
    </row>
    <row r="39" ht="15.75">
      <c r="A39" s="339" t="s">
        <v>570</v>
      </c>
    </row>
    <row r="40" ht="15.75">
      <c r="A40" s="339" t="s">
        <v>384</v>
      </c>
    </row>
    <row r="41" ht="15.75">
      <c r="A41" s="339" t="s">
        <v>385</v>
      </c>
    </row>
    <row r="42" ht="15.75">
      <c r="A42" s="339" t="s">
        <v>386</v>
      </c>
    </row>
    <row r="43" ht="15.75">
      <c r="A43" s="339" t="s">
        <v>387</v>
      </c>
    </row>
    <row r="44" ht="15.75">
      <c r="A44" s="339" t="s">
        <v>388</v>
      </c>
    </row>
    <row r="45" ht="15.75">
      <c r="A45" s="339"/>
    </row>
    <row r="46" ht="15.75">
      <c r="A46" s="339" t="s">
        <v>389</v>
      </c>
    </row>
    <row r="47" ht="15.75">
      <c r="A47" s="339" t="s">
        <v>390</v>
      </c>
    </row>
    <row r="48" ht="15.75">
      <c r="A48" s="339" t="s">
        <v>391</v>
      </c>
    </row>
    <row r="49" ht="15.75">
      <c r="A49" s="339"/>
    </row>
    <row r="50" ht="15.75">
      <c r="A50" s="339" t="s">
        <v>392</v>
      </c>
    </row>
    <row r="51" ht="15.75">
      <c r="A51" s="339" t="s">
        <v>393</v>
      </c>
    </row>
    <row r="52" ht="15.75">
      <c r="A52" s="339" t="s">
        <v>394</v>
      </c>
    </row>
    <row r="53" ht="15.75">
      <c r="A53" s="339"/>
    </row>
    <row r="54" ht="15.75">
      <c r="A54" s="338" t="s">
        <v>395</v>
      </c>
    </row>
    <row r="55" ht="15.75">
      <c r="A55" s="339"/>
    </row>
    <row r="56" ht="15.75">
      <c r="A56" s="339" t="s">
        <v>396</v>
      </c>
    </row>
    <row r="57" ht="15.75">
      <c r="A57" s="339" t="s">
        <v>397</v>
      </c>
    </row>
    <row r="58" ht="15.75">
      <c r="A58" s="339" t="s">
        <v>398</v>
      </c>
    </row>
    <row r="59" ht="15.75">
      <c r="A59" s="339" t="s">
        <v>399</v>
      </c>
    </row>
    <row r="60" ht="15.75">
      <c r="A60" s="339" t="s">
        <v>400</v>
      </c>
    </row>
    <row r="61" ht="15.75">
      <c r="A61" s="339" t="s">
        <v>401</v>
      </c>
    </row>
    <row r="62" ht="15.75">
      <c r="A62" s="339" t="s">
        <v>402</v>
      </c>
    </row>
    <row r="63" ht="15.75">
      <c r="A63" s="339" t="s">
        <v>403</v>
      </c>
    </row>
    <row r="64" ht="15.75">
      <c r="A64" s="339" t="s">
        <v>404</v>
      </c>
    </row>
    <row r="65" ht="15.75">
      <c r="A65" s="339" t="s">
        <v>405</v>
      </c>
    </row>
    <row r="66" ht="15.75">
      <c r="A66" s="339" t="s">
        <v>406</v>
      </c>
    </row>
    <row r="67" ht="15.75">
      <c r="A67" s="339" t="s">
        <v>407</v>
      </c>
    </row>
    <row r="68" ht="15.75">
      <c r="A68" s="339" t="s">
        <v>408</v>
      </c>
    </row>
    <row r="69" ht="15.75">
      <c r="A69" s="339"/>
    </row>
    <row r="70" ht="15.75">
      <c r="A70" s="339" t="s">
        <v>409</v>
      </c>
    </row>
    <row r="71" ht="15.75">
      <c r="A71" s="339" t="s">
        <v>410</v>
      </c>
    </row>
    <row r="72" ht="15.75">
      <c r="A72" s="339" t="s">
        <v>411</v>
      </c>
    </row>
    <row r="73" ht="15.75">
      <c r="A73" s="339"/>
    </row>
    <row r="74" ht="15.75">
      <c r="A74" s="338" t="str">
        <f>CONCATENATE("What if the ",inputPrYr!D5-2," financial records have been closed?")</f>
        <v>What if the 2013 financial records have been closed?</v>
      </c>
    </row>
    <row r="76" ht="15.75">
      <c r="A76" s="339" t="s">
        <v>412</v>
      </c>
    </row>
    <row r="77" ht="15.75">
      <c r="A77" s="339" t="str">
        <f>CONCATENATE("(i.e. an audit for ",inputPrYr!D5-2," has been completed, or the ",inputPrYr!D5)</f>
        <v>(i.e. an audit for 2013 has been completed, or the 2015</v>
      </c>
    </row>
    <row r="78" ht="15.75">
      <c r="A78" s="339" t="s">
        <v>413</v>
      </c>
    </row>
    <row r="79" ht="15.75">
      <c r="A79" s="339" t="s">
        <v>414</v>
      </c>
    </row>
    <row r="80" ht="15.75">
      <c r="A80" s="339"/>
    </row>
    <row r="81" ht="15.75">
      <c r="A81" s="339" t="s">
        <v>415</v>
      </c>
    </row>
    <row r="82" ht="15.75">
      <c r="A82" s="339" t="s">
        <v>416</v>
      </c>
    </row>
    <row r="83" ht="15.75">
      <c r="A83" s="339" t="s">
        <v>417</v>
      </c>
    </row>
    <row r="84" ht="15.75">
      <c r="A84" s="339"/>
    </row>
    <row r="85" ht="15.75">
      <c r="A85" s="339" t="s">
        <v>418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0" t="s">
        <v>419</v>
      </c>
      <c r="B3" s="340"/>
      <c r="C3" s="340"/>
      <c r="D3" s="340"/>
      <c r="E3" s="340"/>
      <c r="F3" s="340"/>
      <c r="G3" s="340"/>
      <c r="H3" s="337"/>
      <c r="I3" s="337"/>
      <c r="J3" s="337"/>
    </row>
    <row r="5" ht="15.75">
      <c r="A5" s="339" t="s">
        <v>420</v>
      </c>
    </row>
    <row r="6" ht="15.75">
      <c r="A6" t="str">
        <f>CONCATENATE(inputPrYr!D5-2," expenditures show that you finished the year with a ")</f>
        <v>2013 expenditures show that you finished the year with a </v>
      </c>
    </row>
    <row r="7" ht="15.75">
      <c r="A7" t="s">
        <v>421</v>
      </c>
    </row>
    <row r="9" ht="15.75">
      <c r="A9" t="s">
        <v>422</v>
      </c>
    </row>
    <row r="10" ht="15.75">
      <c r="A10" t="s">
        <v>423</v>
      </c>
    </row>
    <row r="11" ht="15.75">
      <c r="A11" t="s">
        <v>424</v>
      </c>
    </row>
    <row r="13" ht="15.75">
      <c r="A13" s="338" t="s">
        <v>425</v>
      </c>
    </row>
    <row r="14" ht="15.75">
      <c r="A14" s="338"/>
    </row>
    <row r="15" ht="15.75">
      <c r="A15" s="339" t="s">
        <v>426</v>
      </c>
    </row>
    <row r="16" ht="15.75">
      <c r="A16" s="339" t="s">
        <v>427</v>
      </c>
    </row>
    <row r="17" ht="15.75">
      <c r="A17" s="339" t="s">
        <v>428</v>
      </c>
    </row>
    <row r="18" ht="15.75">
      <c r="A18" s="339"/>
    </row>
    <row r="19" ht="15.75">
      <c r="A19" s="338" t="s">
        <v>429</v>
      </c>
    </row>
    <row r="20" ht="15.75">
      <c r="A20" s="338"/>
    </row>
    <row r="21" ht="15.75">
      <c r="A21" s="339" t="s">
        <v>430</v>
      </c>
    </row>
    <row r="22" ht="15.75">
      <c r="A22" s="339" t="s">
        <v>431</v>
      </c>
    </row>
    <row r="23" ht="15.75">
      <c r="A23" s="339" t="s">
        <v>432</v>
      </c>
    </row>
    <row r="24" ht="15.75">
      <c r="A24" s="339"/>
    </row>
    <row r="25" ht="15.75">
      <c r="A25" s="338" t="s">
        <v>433</v>
      </c>
    </row>
    <row r="26" ht="15.75">
      <c r="A26" s="338"/>
    </row>
    <row r="27" ht="15.75">
      <c r="A27" s="339" t="s">
        <v>434</v>
      </c>
    </row>
    <row r="28" ht="15.75">
      <c r="A28" s="339" t="s">
        <v>435</v>
      </c>
    </row>
    <row r="29" ht="15.75">
      <c r="A29" s="339" t="s">
        <v>436</v>
      </c>
    </row>
    <row r="30" ht="15.75">
      <c r="A30" s="339"/>
    </row>
    <row r="31" ht="15.75">
      <c r="A31" s="338" t="s">
        <v>437</v>
      </c>
    </row>
    <row r="32" ht="15.75">
      <c r="A32" s="338"/>
    </row>
    <row r="33" spans="1:8" ht="15.75">
      <c r="A33" s="339" t="str">
        <f>CONCATENATE("If your financial records for ",inputPrYr!D5-2," are not closed")</f>
        <v>If your financial records for 2013 are not closed</v>
      </c>
      <c r="B33" s="339"/>
      <c r="C33" s="339"/>
      <c r="D33" s="339"/>
      <c r="E33" s="339"/>
      <c r="F33" s="339"/>
      <c r="G33" s="339"/>
      <c r="H33" s="339"/>
    </row>
    <row r="34" spans="1:8" ht="15.75">
      <c r="A34" s="339" t="str">
        <f>CONCATENATE("(i.e. an audit has not been completed, or the ",inputPrYr!D5," adopted ")</f>
        <v>(i.e. an audit has not been completed, or the 2015 adopted </v>
      </c>
      <c r="B34" s="339"/>
      <c r="C34" s="339"/>
      <c r="D34" s="339"/>
      <c r="E34" s="339"/>
      <c r="F34" s="339"/>
      <c r="G34" s="339"/>
      <c r="H34" s="339"/>
    </row>
    <row r="35" spans="1:8" ht="15.75">
      <c r="A35" s="339" t="s">
        <v>438</v>
      </c>
      <c r="B35" s="339"/>
      <c r="C35" s="339"/>
      <c r="D35" s="339"/>
      <c r="E35" s="339"/>
      <c r="F35" s="339"/>
      <c r="G35" s="339"/>
      <c r="H35" s="339"/>
    </row>
    <row r="36" spans="1:8" ht="15.75">
      <c r="A36" s="339" t="s">
        <v>439</v>
      </c>
      <c r="B36" s="339"/>
      <c r="C36" s="339"/>
      <c r="D36" s="339"/>
      <c r="E36" s="339"/>
      <c r="F36" s="339"/>
      <c r="G36" s="339"/>
      <c r="H36" s="339"/>
    </row>
    <row r="37" spans="1:8" ht="15.75">
      <c r="A37" s="339" t="s">
        <v>440</v>
      </c>
      <c r="B37" s="339"/>
      <c r="C37" s="339"/>
      <c r="D37" s="339"/>
      <c r="E37" s="339"/>
      <c r="F37" s="339"/>
      <c r="G37" s="339"/>
      <c r="H37" s="339"/>
    </row>
    <row r="38" spans="1:8" ht="15.75">
      <c r="A38" s="339" t="s">
        <v>441</v>
      </c>
      <c r="B38" s="339"/>
      <c r="C38" s="339"/>
      <c r="D38" s="339"/>
      <c r="E38" s="339"/>
      <c r="F38" s="339"/>
      <c r="G38" s="339"/>
      <c r="H38" s="339"/>
    </row>
    <row r="39" spans="1:8" ht="15.75">
      <c r="A39" s="339" t="s">
        <v>442</v>
      </c>
      <c r="B39" s="339"/>
      <c r="C39" s="339"/>
      <c r="D39" s="339"/>
      <c r="E39" s="339"/>
      <c r="F39" s="339"/>
      <c r="G39" s="339"/>
      <c r="H39" s="339"/>
    </row>
    <row r="40" spans="1:8" ht="15.75">
      <c r="A40" s="339"/>
      <c r="B40" s="339"/>
      <c r="C40" s="339"/>
      <c r="D40" s="339"/>
      <c r="E40" s="339"/>
      <c r="F40" s="339"/>
      <c r="G40" s="339"/>
      <c r="H40" s="339"/>
    </row>
    <row r="41" spans="1:8" ht="15.75">
      <c r="A41" s="339" t="s">
        <v>443</v>
      </c>
      <c r="B41" s="339"/>
      <c r="C41" s="339"/>
      <c r="D41" s="339"/>
      <c r="E41" s="339"/>
      <c r="F41" s="339"/>
      <c r="G41" s="339"/>
      <c r="H41" s="339"/>
    </row>
    <row r="42" spans="1:8" ht="15.75">
      <c r="A42" s="339" t="s">
        <v>444</v>
      </c>
      <c r="B42" s="339"/>
      <c r="C42" s="339"/>
      <c r="D42" s="339"/>
      <c r="E42" s="339"/>
      <c r="F42" s="339"/>
      <c r="G42" s="339"/>
      <c r="H42" s="339"/>
    </row>
    <row r="43" spans="1:8" ht="15.75">
      <c r="A43" s="339" t="s">
        <v>445</v>
      </c>
      <c r="B43" s="339"/>
      <c r="C43" s="339"/>
      <c r="D43" s="339"/>
      <c r="E43" s="339"/>
      <c r="F43" s="339"/>
      <c r="G43" s="339"/>
      <c r="H43" s="339"/>
    </row>
    <row r="44" spans="1:8" ht="15.75">
      <c r="A44" s="339" t="s">
        <v>446</v>
      </c>
      <c r="B44" s="339"/>
      <c r="C44" s="339"/>
      <c r="D44" s="339"/>
      <c r="E44" s="339"/>
      <c r="F44" s="339"/>
      <c r="G44" s="339"/>
      <c r="H44" s="339"/>
    </row>
    <row r="45" spans="1:8" ht="15.75">
      <c r="A45" s="339"/>
      <c r="B45" s="339"/>
      <c r="C45" s="339"/>
      <c r="D45" s="339"/>
      <c r="E45" s="339"/>
      <c r="F45" s="339"/>
      <c r="G45" s="339"/>
      <c r="H45" s="339"/>
    </row>
    <row r="46" spans="1:8" ht="15.75">
      <c r="A46" s="339" t="s">
        <v>447</v>
      </c>
      <c r="B46" s="339"/>
      <c r="C46" s="339"/>
      <c r="D46" s="339"/>
      <c r="E46" s="339"/>
      <c r="F46" s="339"/>
      <c r="G46" s="339"/>
      <c r="H46" s="339"/>
    </row>
    <row r="47" spans="1:8" ht="15.75">
      <c r="A47" s="339" t="s">
        <v>448</v>
      </c>
      <c r="B47" s="339"/>
      <c r="C47" s="339"/>
      <c r="D47" s="339"/>
      <c r="E47" s="339"/>
      <c r="F47" s="339"/>
      <c r="G47" s="339"/>
      <c r="H47" s="339"/>
    </row>
    <row r="48" spans="1:8" ht="15.75">
      <c r="A48" s="339" t="s">
        <v>449</v>
      </c>
      <c r="B48" s="339"/>
      <c r="C48" s="339"/>
      <c r="D48" s="339"/>
      <c r="E48" s="339"/>
      <c r="F48" s="339"/>
      <c r="G48" s="339"/>
      <c r="H48" s="339"/>
    </row>
    <row r="49" spans="1:8" ht="15.75">
      <c r="A49" s="339" t="s">
        <v>450</v>
      </c>
      <c r="B49" s="339"/>
      <c r="C49" s="339"/>
      <c r="D49" s="339"/>
      <c r="E49" s="339"/>
      <c r="F49" s="339"/>
      <c r="G49" s="339"/>
      <c r="H49" s="339"/>
    </row>
    <row r="50" spans="1:8" ht="15.75">
      <c r="A50" s="339" t="s">
        <v>451</v>
      </c>
      <c r="B50" s="339"/>
      <c r="C50" s="339"/>
      <c r="D50" s="339"/>
      <c r="E50" s="339"/>
      <c r="F50" s="339"/>
      <c r="G50" s="339"/>
      <c r="H50" s="339"/>
    </row>
    <row r="51" spans="1:8" ht="15.75">
      <c r="A51" s="339"/>
      <c r="B51" s="339"/>
      <c r="C51" s="339"/>
      <c r="D51" s="339"/>
      <c r="E51" s="339"/>
      <c r="F51" s="339"/>
      <c r="G51" s="339"/>
      <c r="H51" s="339"/>
    </row>
    <row r="52" spans="1:8" ht="15.75">
      <c r="A52" s="338" t="s">
        <v>452</v>
      </c>
      <c r="B52" s="338"/>
      <c r="C52" s="338"/>
      <c r="D52" s="338"/>
      <c r="E52" s="338"/>
      <c r="F52" s="338"/>
      <c r="G52" s="338"/>
      <c r="H52" s="339"/>
    </row>
    <row r="53" spans="1:8" ht="15.75">
      <c r="A53" s="338" t="s">
        <v>453</v>
      </c>
      <c r="B53" s="338"/>
      <c r="C53" s="338"/>
      <c r="D53" s="338"/>
      <c r="E53" s="338"/>
      <c r="F53" s="338"/>
      <c r="G53" s="338"/>
      <c r="H53" s="339"/>
    </row>
    <row r="54" spans="1:8" ht="15.75">
      <c r="A54" s="339"/>
      <c r="B54" s="339"/>
      <c r="C54" s="339"/>
      <c r="D54" s="339"/>
      <c r="E54" s="339"/>
      <c r="F54" s="339"/>
      <c r="G54" s="339"/>
      <c r="H54" s="339"/>
    </row>
    <row r="55" spans="1:8" ht="15.75">
      <c r="A55" s="339" t="s">
        <v>454</v>
      </c>
      <c r="B55" s="339"/>
      <c r="C55" s="339"/>
      <c r="D55" s="339"/>
      <c r="E55" s="339"/>
      <c r="F55" s="339"/>
      <c r="G55" s="339"/>
      <c r="H55" s="339"/>
    </row>
    <row r="56" spans="1:8" ht="15.75">
      <c r="A56" s="339" t="s">
        <v>455</v>
      </c>
      <c r="B56" s="339"/>
      <c r="C56" s="339"/>
      <c r="D56" s="339"/>
      <c r="E56" s="339"/>
      <c r="F56" s="339"/>
      <c r="G56" s="339"/>
      <c r="H56" s="339"/>
    </row>
    <row r="57" spans="1:8" ht="15.75">
      <c r="A57" s="339" t="s">
        <v>456</v>
      </c>
      <c r="B57" s="339"/>
      <c r="C57" s="339"/>
      <c r="D57" s="339"/>
      <c r="E57" s="339"/>
      <c r="F57" s="339"/>
      <c r="G57" s="339"/>
      <c r="H57" s="339"/>
    </row>
    <row r="58" spans="1:8" ht="15.75">
      <c r="A58" s="339" t="s">
        <v>457</v>
      </c>
      <c r="B58" s="339"/>
      <c r="C58" s="339"/>
      <c r="D58" s="339"/>
      <c r="E58" s="339"/>
      <c r="F58" s="339"/>
      <c r="G58" s="339"/>
      <c r="H58" s="339"/>
    </row>
    <row r="59" spans="1:8" ht="15.75">
      <c r="A59" s="339"/>
      <c r="B59" s="339"/>
      <c r="C59" s="339"/>
      <c r="D59" s="339"/>
      <c r="E59" s="339"/>
      <c r="F59" s="339"/>
      <c r="G59" s="339"/>
      <c r="H59" s="339"/>
    </row>
    <row r="60" spans="1:8" ht="15.75">
      <c r="A60" s="339" t="s">
        <v>458</v>
      </c>
      <c r="B60" s="339"/>
      <c r="C60" s="339"/>
      <c r="D60" s="339"/>
      <c r="E60" s="339"/>
      <c r="F60" s="339"/>
      <c r="G60" s="339"/>
      <c r="H60" s="339"/>
    </row>
    <row r="61" spans="1:8" ht="15.75">
      <c r="A61" s="339" t="s">
        <v>459</v>
      </c>
      <c r="B61" s="339"/>
      <c r="C61" s="339"/>
      <c r="D61" s="339"/>
      <c r="E61" s="339"/>
      <c r="F61" s="339"/>
      <c r="G61" s="339"/>
      <c r="H61" s="339"/>
    </row>
    <row r="62" spans="1:8" ht="15.75">
      <c r="A62" s="339" t="s">
        <v>460</v>
      </c>
      <c r="B62" s="339"/>
      <c r="C62" s="339"/>
      <c r="D62" s="339"/>
      <c r="E62" s="339"/>
      <c r="F62" s="339"/>
      <c r="G62" s="339"/>
      <c r="H62" s="339"/>
    </row>
    <row r="63" spans="1:8" ht="15.75">
      <c r="A63" s="339" t="s">
        <v>461</v>
      </c>
      <c r="B63" s="339"/>
      <c r="C63" s="339"/>
      <c r="D63" s="339"/>
      <c r="E63" s="339"/>
      <c r="F63" s="339"/>
      <c r="G63" s="339"/>
      <c r="H63" s="339"/>
    </row>
    <row r="64" spans="1:8" ht="15.75">
      <c r="A64" s="339" t="s">
        <v>462</v>
      </c>
      <c r="B64" s="339"/>
      <c r="C64" s="339"/>
      <c r="D64" s="339"/>
      <c r="E64" s="339"/>
      <c r="F64" s="339"/>
      <c r="G64" s="339"/>
      <c r="H64" s="339"/>
    </row>
    <row r="65" spans="1:8" ht="15.75">
      <c r="A65" s="339" t="s">
        <v>463</v>
      </c>
      <c r="B65" s="339"/>
      <c r="C65" s="339"/>
      <c r="D65" s="339"/>
      <c r="E65" s="339"/>
      <c r="F65" s="339"/>
      <c r="G65" s="339"/>
      <c r="H65" s="339"/>
    </row>
    <row r="66" spans="1:8" ht="15.75">
      <c r="A66" s="339"/>
      <c r="B66" s="339"/>
      <c r="C66" s="339"/>
      <c r="D66" s="339"/>
      <c r="E66" s="339"/>
      <c r="F66" s="339"/>
      <c r="G66" s="339"/>
      <c r="H66" s="339"/>
    </row>
    <row r="67" spans="1:8" ht="15.75">
      <c r="A67" s="339" t="s">
        <v>464</v>
      </c>
      <c r="B67" s="339"/>
      <c r="C67" s="339"/>
      <c r="D67" s="339"/>
      <c r="E67" s="339"/>
      <c r="F67" s="339"/>
      <c r="G67" s="339"/>
      <c r="H67" s="339"/>
    </row>
    <row r="68" spans="1:8" ht="15.75">
      <c r="A68" s="339" t="s">
        <v>465</v>
      </c>
      <c r="B68" s="339"/>
      <c r="C68" s="339"/>
      <c r="D68" s="339"/>
      <c r="E68" s="339"/>
      <c r="F68" s="339"/>
      <c r="G68" s="339"/>
      <c r="H68" s="339"/>
    </row>
    <row r="69" spans="1:8" ht="15.75">
      <c r="A69" s="339" t="s">
        <v>466</v>
      </c>
      <c r="B69" s="339"/>
      <c r="C69" s="339"/>
      <c r="D69" s="339"/>
      <c r="E69" s="339"/>
      <c r="F69" s="339"/>
      <c r="G69" s="339"/>
      <c r="H69" s="339"/>
    </row>
    <row r="70" spans="1:8" ht="15.75">
      <c r="A70" s="339" t="s">
        <v>467</v>
      </c>
      <c r="B70" s="339"/>
      <c r="C70" s="339"/>
      <c r="D70" s="339"/>
      <c r="E70" s="339"/>
      <c r="F70" s="339"/>
      <c r="G70" s="339"/>
      <c r="H70" s="339"/>
    </row>
    <row r="71" spans="1:8" ht="15.75">
      <c r="A71" s="339" t="s">
        <v>468</v>
      </c>
      <c r="B71" s="339"/>
      <c r="C71" s="339"/>
      <c r="D71" s="339"/>
      <c r="E71" s="339"/>
      <c r="F71" s="339"/>
      <c r="G71" s="339"/>
      <c r="H71" s="339"/>
    </row>
    <row r="72" spans="1:8" ht="15.75">
      <c r="A72" s="339" t="s">
        <v>469</v>
      </c>
      <c r="B72" s="339"/>
      <c r="C72" s="339"/>
      <c r="D72" s="339"/>
      <c r="E72" s="339"/>
      <c r="F72" s="339"/>
      <c r="G72" s="339"/>
      <c r="H72" s="339"/>
    </row>
    <row r="73" spans="1:8" ht="15.75">
      <c r="A73" s="339" t="s">
        <v>470</v>
      </c>
      <c r="B73" s="339"/>
      <c r="C73" s="339"/>
      <c r="D73" s="339"/>
      <c r="E73" s="339"/>
      <c r="F73" s="339"/>
      <c r="G73" s="339"/>
      <c r="H73" s="339"/>
    </row>
    <row r="74" spans="1:8" ht="15.75">
      <c r="A74" s="339"/>
      <c r="B74" s="339"/>
      <c r="C74" s="339"/>
      <c r="D74" s="339"/>
      <c r="E74" s="339"/>
      <c r="F74" s="339"/>
      <c r="G74" s="339"/>
      <c r="H74" s="339"/>
    </row>
    <row r="75" spans="1:8" ht="15.75">
      <c r="A75" s="339" t="s">
        <v>471</v>
      </c>
      <c r="B75" s="339"/>
      <c r="C75" s="339"/>
      <c r="D75" s="339"/>
      <c r="E75" s="339"/>
      <c r="F75" s="339"/>
      <c r="G75" s="339"/>
      <c r="H75" s="339"/>
    </row>
    <row r="76" spans="1:8" ht="15.75">
      <c r="A76" s="339" t="s">
        <v>472</v>
      </c>
      <c r="B76" s="339"/>
      <c r="C76" s="339"/>
      <c r="D76" s="339"/>
      <c r="E76" s="339"/>
      <c r="F76" s="339"/>
      <c r="G76" s="339"/>
      <c r="H76" s="339"/>
    </row>
    <row r="77" spans="1:8" ht="15.75">
      <c r="A77" s="339" t="s">
        <v>473</v>
      </c>
      <c r="B77" s="339"/>
      <c r="C77" s="339"/>
      <c r="D77" s="339"/>
      <c r="E77" s="339"/>
      <c r="F77" s="339"/>
      <c r="G77" s="339"/>
      <c r="H77" s="339"/>
    </row>
    <row r="78" spans="1:8" ht="15.75">
      <c r="A78" s="339"/>
      <c r="B78" s="339"/>
      <c r="C78" s="339"/>
      <c r="D78" s="339"/>
      <c r="E78" s="339"/>
      <c r="F78" s="339"/>
      <c r="G78" s="339"/>
      <c r="H78" s="339"/>
    </row>
    <row r="79" ht="15.75">
      <c r="A79" s="339" t="s">
        <v>418</v>
      </c>
    </row>
    <row r="80" ht="15.75">
      <c r="A80" s="338"/>
    </row>
    <row r="81" ht="15.75">
      <c r="A81" s="339"/>
    </row>
    <row r="82" ht="15.75">
      <c r="A82" s="339"/>
    </row>
    <row r="83" ht="15.75">
      <c r="A83" s="339"/>
    </row>
    <row r="84" ht="15.75">
      <c r="A84" s="339"/>
    </row>
    <row r="85" ht="15.75">
      <c r="A85" s="339"/>
    </row>
    <row r="86" ht="15.75">
      <c r="A86" s="339"/>
    </row>
    <row r="87" ht="15.75">
      <c r="A87" s="339"/>
    </row>
    <row r="88" ht="15.75">
      <c r="A88" s="339"/>
    </row>
    <row r="89" ht="15.75">
      <c r="A89" s="339"/>
    </row>
    <row r="90" ht="15.75">
      <c r="A90" s="339"/>
    </row>
    <row r="91" ht="15.75">
      <c r="A91" s="339"/>
    </row>
    <row r="92" ht="15.75">
      <c r="A92" s="339"/>
    </row>
    <row r="93" ht="15.75">
      <c r="A93" s="339"/>
    </row>
    <row r="94" ht="15.75">
      <c r="A94" s="339"/>
    </row>
    <row r="95" ht="15.75">
      <c r="A95" s="339"/>
    </row>
    <row r="96" ht="15.75">
      <c r="A96" s="339"/>
    </row>
    <row r="97" ht="15.75">
      <c r="A97" s="339"/>
    </row>
    <row r="98" ht="15.75">
      <c r="A98" s="339"/>
    </row>
    <row r="99" ht="15.75">
      <c r="A99" s="339"/>
    </row>
    <row r="100" ht="15.75">
      <c r="A100" s="339"/>
    </row>
    <row r="101" ht="15.75">
      <c r="A101" s="339"/>
    </row>
    <row r="103" ht="15.75">
      <c r="A103" s="339"/>
    </row>
    <row r="104" ht="15.75">
      <c r="A104" s="339"/>
    </row>
    <row r="105" ht="15.75">
      <c r="A105" s="339"/>
    </row>
    <row r="107" ht="15.75">
      <c r="A107" s="338"/>
    </row>
    <row r="108" ht="15.75">
      <c r="A108" s="338"/>
    </row>
    <row r="109" ht="15.75">
      <c r="A109" s="33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0" t="s">
        <v>474</v>
      </c>
      <c r="B3" s="340"/>
      <c r="C3" s="340"/>
      <c r="D3" s="340"/>
      <c r="E3" s="340"/>
      <c r="F3" s="340"/>
      <c r="G3" s="340"/>
      <c r="H3" s="340"/>
      <c r="I3" s="340"/>
      <c r="J3" s="340"/>
      <c r="K3" s="340"/>
      <c r="L3" s="340"/>
    </row>
    <row r="4" spans="1:12" ht="15.75">
      <c r="A4" s="340"/>
      <c r="B4" s="340"/>
      <c r="C4" s="340"/>
      <c r="D4" s="340"/>
      <c r="E4" s="340"/>
      <c r="F4" s="340"/>
      <c r="G4" s="340"/>
      <c r="H4" s="340"/>
      <c r="I4" s="340"/>
      <c r="J4" s="340"/>
      <c r="K4" s="340"/>
      <c r="L4" s="340"/>
    </row>
    <row r="5" spans="1:12" ht="15.75">
      <c r="A5" s="339" t="s">
        <v>365</v>
      </c>
      <c r="I5" s="340"/>
      <c r="J5" s="340"/>
      <c r="K5" s="340"/>
      <c r="L5" s="340"/>
    </row>
    <row r="6" spans="1:12" ht="15.75">
      <c r="A6" s="339" t="str">
        <f>CONCATENATE("estimated ",inputPrYr!D5-1," 'total expenditures' exceed your ",inputPrYr!D5-1,"")</f>
        <v>estimated 2014 'total expenditures' exceed your 2014</v>
      </c>
      <c r="I6" s="340"/>
      <c r="J6" s="340"/>
      <c r="K6" s="340"/>
      <c r="L6" s="340"/>
    </row>
    <row r="7" spans="1:12" ht="15.75">
      <c r="A7" s="354" t="s">
        <v>475</v>
      </c>
      <c r="I7" s="340"/>
      <c r="J7" s="340"/>
      <c r="K7" s="340"/>
      <c r="L7" s="340"/>
    </row>
    <row r="8" spans="1:12" ht="15.75">
      <c r="A8" s="339"/>
      <c r="I8" s="340"/>
      <c r="J8" s="340"/>
      <c r="K8" s="340"/>
      <c r="L8" s="340"/>
    </row>
    <row r="9" spans="1:12" ht="15.75">
      <c r="A9" s="339" t="s">
        <v>476</v>
      </c>
      <c r="I9" s="340"/>
      <c r="J9" s="340"/>
      <c r="K9" s="340"/>
      <c r="L9" s="340"/>
    </row>
    <row r="10" spans="1:12" ht="15.75">
      <c r="A10" s="339" t="s">
        <v>477</v>
      </c>
      <c r="I10" s="340"/>
      <c r="J10" s="340"/>
      <c r="K10" s="340"/>
      <c r="L10" s="340"/>
    </row>
    <row r="11" spans="1:12" ht="15.75">
      <c r="A11" s="339" t="s">
        <v>478</v>
      </c>
      <c r="I11" s="340"/>
      <c r="J11" s="340"/>
      <c r="K11" s="340"/>
      <c r="L11" s="340"/>
    </row>
    <row r="12" spans="1:12" ht="15.75">
      <c r="A12" s="339" t="s">
        <v>479</v>
      </c>
      <c r="I12" s="340"/>
      <c r="J12" s="340"/>
      <c r="K12" s="340"/>
      <c r="L12" s="340"/>
    </row>
    <row r="13" spans="1:12" ht="15.75">
      <c r="A13" s="339" t="s">
        <v>480</v>
      </c>
      <c r="I13" s="340"/>
      <c r="J13" s="340"/>
      <c r="K13" s="340"/>
      <c r="L13" s="340"/>
    </row>
    <row r="14" spans="1:12" ht="15.75">
      <c r="A14" s="340"/>
      <c r="B14" s="340"/>
      <c r="C14" s="340"/>
      <c r="D14" s="340"/>
      <c r="E14" s="340"/>
      <c r="F14" s="340"/>
      <c r="G14" s="340"/>
      <c r="H14" s="340"/>
      <c r="I14" s="340"/>
      <c r="J14" s="340"/>
      <c r="K14" s="340"/>
      <c r="L14" s="340"/>
    </row>
    <row r="15" ht="15.75">
      <c r="A15" s="338" t="s">
        <v>481</v>
      </c>
    </row>
    <row r="16" ht="15.75">
      <c r="A16" s="338" t="s">
        <v>482</v>
      </c>
    </row>
    <row r="17" ht="15.75">
      <c r="A17" s="338"/>
    </row>
    <row r="18" spans="1:7" ht="15.75">
      <c r="A18" s="339" t="s">
        <v>483</v>
      </c>
      <c r="B18" s="339"/>
      <c r="C18" s="339"/>
      <c r="D18" s="339"/>
      <c r="E18" s="339"/>
      <c r="F18" s="339"/>
      <c r="G18" s="339"/>
    </row>
    <row r="19" spans="1:7" ht="15.75">
      <c r="A19" s="339" t="str">
        <f>CONCATENATE("your ",inputPrYr!D5-1," numbers to see what steps might be necessary to")</f>
        <v>your 2014 numbers to see what steps might be necessary to</v>
      </c>
      <c r="B19" s="339"/>
      <c r="C19" s="339"/>
      <c r="D19" s="339"/>
      <c r="E19" s="339"/>
      <c r="F19" s="339"/>
      <c r="G19" s="339"/>
    </row>
    <row r="20" spans="1:7" ht="15.75">
      <c r="A20" s="339" t="s">
        <v>484</v>
      </c>
      <c r="B20" s="339"/>
      <c r="C20" s="339"/>
      <c r="D20" s="339"/>
      <c r="E20" s="339"/>
      <c r="F20" s="339"/>
      <c r="G20" s="339"/>
    </row>
    <row r="21" spans="1:7" ht="15.75">
      <c r="A21" s="339" t="s">
        <v>485</v>
      </c>
      <c r="B21" s="339"/>
      <c r="C21" s="339"/>
      <c r="D21" s="339"/>
      <c r="E21" s="339"/>
      <c r="F21" s="339"/>
      <c r="G21" s="339"/>
    </row>
    <row r="22" ht="15.75">
      <c r="A22" s="339"/>
    </row>
    <row r="23" ht="15.75">
      <c r="A23" s="338" t="s">
        <v>486</v>
      </c>
    </row>
    <row r="24" ht="15.75">
      <c r="A24" s="338"/>
    </row>
    <row r="25" ht="15.75">
      <c r="A25" s="339" t="s">
        <v>487</v>
      </c>
    </row>
    <row r="26" spans="1:6" ht="15.75">
      <c r="A26" s="339" t="s">
        <v>488</v>
      </c>
      <c r="B26" s="339"/>
      <c r="C26" s="339"/>
      <c r="D26" s="339"/>
      <c r="E26" s="339"/>
      <c r="F26" s="339"/>
    </row>
    <row r="27" spans="1:6" ht="15.75">
      <c r="A27" s="339" t="s">
        <v>489</v>
      </c>
      <c r="B27" s="339"/>
      <c r="C27" s="339"/>
      <c r="D27" s="339"/>
      <c r="E27" s="339"/>
      <c r="F27" s="339"/>
    </row>
    <row r="28" spans="1:6" ht="15.75">
      <c r="A28" s="339" t="s">
        <v>490</v>
      </c>
      <c r="B28" s="339"/>
      <c r="C28" s="339"/>
      <c r="D28" s="339"/>
      <c r="E28" s="339"/>
      <c r="F28" s="339"/>
    </row>
    <row r="29" spans="1:6" ht="15.75">
      <c r="A29" s="339"/>
      <c r="B29" s="339"/>
      <c r="C29" s="339"/>
      <c r="D29" s="339"/>
      <c r="E29" s="339"/>
      <c r="F29" s="339"/>
    </row>
    <row r="30" spans="1:7" ht="15.75">
      <c r="A30" s="338" t="s">
        <v>491</v>
      </c>
      <c r="B30" s="338"/>
      <c r="C30" s="338"/>
      <c r="D30" s="338"/>
      <c r="E30" s="338"/>
      <c r="F30" s="338"/>
      <c r="G30" s="338"/>
    </row>
    <row r="31" spans="1:7" ht="15.75">
      <c r="A31" s="338" t="s">
        <v>492</v>
      </c>
      <c r="B31" s="338"/>
      <c r="C31" s="338"/>
      <c r="D31" s="338"/>
      <c r="E31" s="338"/>
      <c r="F31" s="338"/>
      <c r="G31" s="338"/>
    </row>
    <row r="32" spans="1:6" ht="15.75">
      <c r="A32" s="339"/>
      <c r="B32" s="339"/>
      <c r="C32" s="339"/>
      <c r="D32" s="339"/>
      <c r="E32" s="339"/>
      <c r="F32" s="339"/>
    </row>
    <row r="33" spans="1:6" ht="15.75">
      <c r="A33" s="351" t="str">
        <f>CONCATENATE("Well, let's look to see if any of your ",inputPrYr!D5-1," expenditures can")</f>
        <v>Well, let's look to see if any of your 2014 expenditures can</v>
      </c>
      <c r="B33" s="339"/>
      <c r="C33" s="339"/>
      <c r="D33" s="339"/>
      <c r="E33" s="339"/>
      <c r="F33" s="339"/>
    </row>
    <row r="34" spans="1:6" ht="15.75">
      <c r="A34" s="351" t="s">
        <v>493</v>
      </c>
      <c r="B34" s="339"/>
      <c r="C34" s="339"/>
      <c r="D34" s="339"/>
      <c r="E34" s="339"/>
      <c r="F34" s="339"/>
    </row>
    <row r="35" spans="1:6" ht="15.75">
      <c r="A35" s="351" t="s">
        <v>379</v>
      </c>
      <c r="B35" s="339"/>
      <c r="C35" s="339"/>
      <c r="D35" s="339"/>
      <c r="E35" s="339"/>
      <c r="F35" s="339"/>
    </row>
    <row r="36" spans="1:6" ht="15.75">
      <c r="A36" s="351" t="s">
        <v>380</v>
      </c>
      <c r="B36" s="339"/>
      <c r="C36" s="339"/>
      <c r="D36" s="339"/>
      <c r="E36" s="339"/>
      <c r="F36" s="339"/>
    </row>
    <row r="37" spans="1:6" ht="15.75">
      <c r="A37" s="351"/>
      <c r="B37" s="339"/>
      <c r="C37" s="339"/>
      <c r="D37" s="339"/>
      <c r="E37" s="339"/>
      <c r="F37" s="339"/>
    </row>
    <row r="38" spans="1:6" ht="15.75">
      <c r="A38" s="351" t="str">
        <f>CONCATENATE("Additionally, do your ",inputPrYr!D5-1," receipts contain a reimbursement")</f>
        <v>Additionally, do your 2014 receipts contain a reimbursement</v>
      </c>
      <c r="B38" s="339"/>
      <c r="C38" s="339"/>
      <c r="D38" s="339"/>
      <c r="E38" s="339"/>
      <c r="F38" s="339"/>
    </row>
    <row r="39" spans="1:6" ht="15.75">
      <c r="A39" s="351" t="s">
        <v>381</v>
      </c>
      <c r="B39" s="339"/>
      <c r="C39" s="339"/>
      <c r="D39" s="339"/>
      <c r="E39" s="339"/>
      <c r="F39" s="339"/>
    </row>
    <row r="40" spans="1:6" ht="15.75">
      <c r="A40" s="351" t="s">
        <v>382</v>
      </c>
      <c r="B40" s="339"/>
      <c r="C40" s="339"/>
      <c r="D40" s="339"/>
      <c r="E40" s="339"/>
      <c r="F40" s="339"/>
    </row>
    <row r="41" spans="1:6" ht="15.75">
      <c r="A41" s="351"/>
      <c r="B41" s="339"/>
      <c r="C41" s="339"/>
      <c r="D41" s="339"/>
      <c r="E41" s="339"/>
      <c r="F41" s="339"/>
    </row>
    <row r="42" spans="1:6" ht="15.75">
      <c r="A42" s="351" t="s">
        <v>383</v>
      </c>
      <c r="B42" s="339"/>
      <c r="C42" s="339"/>
      <c r="D42" s="339"/>
      <c r="E42" s="339"/>
      <c r="F42" s="339"/>
    </row>
    <row r="43" spans="1:6" ht="15.75">
      <c r="A43" s="351" t="s">
        <v>569</v>
      </c>
      <c r="B43" s="339"/>
      <c r="C43" s="339"/>
      <c r="D43" s="339"/>
      <c r="E43" s="339"/>
      <c r="F43" s="339"/>
    </row>
    <row r="44" spans="1:6" ht="15.75">
      <c r="A44" s="351" t="s">
        <v>570</v>
      </c>
      <c r="B44" s="339"/>
      <c r="C44" s="339"/>
      <c r="D44" s="339"/>
      <c r="E44" s="339"/>
      <c r="F44" s="339"/>
    </row>
    <row r="45" spans="1:6" ht="15.75">
      <c r="A45" s="351" t="s">
        <v>494</v>
      </c>
      <c r="B45" s="339"/>
      <c r="C45" s="339"/>
      <c r="D45" s="339"/>
      <c r="E45" s="339"/>
      <c r="F45" s="339"/>
    </row>
    <row r="46" spans="1:6" ht="15.75">
      <c r="A46" s="351" t="s">
        <v>385</v>
      </c>
      <c r="B46" s="339"/>
      <c r="C46" s="339"/>
      <c r="D46" s="339"/>
      <c r="E46" s="339"/>
      <c r="F46" s="339"/>
    </row>
    <row r="47" spans="1:6" ht="15.75">
      <c r="A47" s="351" t="s">
        <v>495</v>
      </c>
      <c r="B47" s="339"/>
      <c r="C47" s="339"/>
      <c r="D47" s="339"/>
      <c r="E47" s="339"/>
      <c r="F47" s="339"/>
    </row>
    <row r="48" spans="1:6" ht="15.75">
      <c r="A48" s="351" t="s">
        <v>496</v>
      </c>
      <c r="B48" s="339"/>
      <c r="C48" s="339"/>
      <c r="D48" s="339"/>
      <c r="E48" s="339"/>
      <c r="F48" s="339"/>
    </row>
    <row r="49" spans="1:6" ht="15.75">
      <c r="A49" s="351" t="s">
        <v>388</v>
      </c>
      <c r="B49" s="339"/>
      <c r="C49" s="339"/>
      <c r="D49" s="339"/>
      <c r="E49" s="339"/>
      <c r="F49" s="339"/>
    </row>
    <row r="50" spans="1:6" ht="15.75">
      <c r="A50" s="351"/>
      <c r="B50" s="339"/>
      <c r="C50" s="339"/>
      <c r="D50" s="339"/>
      <c r="E50" s="339"/>
      <c r="F50" s="339"/>
    </row>
    <row r="51" spans="1:6" ht="15.75">
      <c r="A51" s="351" t="s">
        <v>389</v>
      </c>
      <c r="B51" s="339"/>
      <c r="C51" s="339"/>
      <c r="D51" s="339"/>
      <c r="E51" s="339"/>
      <c r="F51" s="339"/>
    </row>
    <row r="52" spans="1:6" ht="15.75">
      <c r="A52" s="351" t="s">
        <v>390</v>
      </c>
      <c r="B52" s="339"/>
      <c r="C52" s="339"/>
      <c r="D52" s="339"/>
      <c r="E52" s="339"/>
      <c r="F52" s="339"/>
    </row>
    <row r="53" spans="1:6" ht="15.75">
      <c r="A53" s="351" t="s">
        <v>391</v>
      </c>
      <c r="B53" s="339"/>
      <c r="C53" s="339"/>
      <c r="D53" s="339"/>
      <c r="E53" s="339"/>
      <c r="F53" s="339"/>
    </row>
    <row r="54" spans="1:6" ht="15.75">
      <c r="A54" s="351"/>
      <c r="B54" s="339"/>
      <c r="C54" s="339"/>
      <c r="D54" s="339"/>
      <c r="E54" s="339"/>
      <c r="F54" s="339"/>
    </row>
    <row r="55" spans="1:6" ht="15.75">
      <c r="A55" s="351" t="s">
        <v>497</v>
      </c>
      <c r="B55" s="339"/>
      <c r="C55" s="339"/>
      <c r="D55" s="339"/>
      <c r="E55" s="339"/>
      <c r="F55" s="339"/>
    </row>
    <row r="56" spans="1:6" ht="15.75">
      <c r="A56" s="351" t="s">
        <v>498</v>
      </c>
      <c r="B56" s="339"/>
      <c r="C56" s="339"/>
      <c r="D56" s="339"/>
      <c r="E56" s="339"/>
      <c r="F56" s="339"/>
    </row>
    <row r="57" spans="1:6" ht="15.75">
      <c r="A57" s="351" t="s">
        <v>499</v>
      </c>
      <c r="B57" s="339"/>
      <c r="C57" s="339"/>
      <c r="D57" s="339"/>
      <c r="E57" s="339"/>
      <c r="F57" s="339"/>
    </row>
    <row r="58" spans="1:6" ht="15.75">
      <c r="A58" s="351" t="s">
        <v>500</v>
      </c>
      <c r="B58" s="339"/>
      <c r="C58" s="339"/>
      <c r="D58" s="339"/>
      <c r="E58" s="339"/>
      <c r="F58" s="339"/>
    </row>
    <row r="59" spans="1:6" ht="15.75">
      <c r="A59" s="351" t="s">
        <v>501</v>
      </c>
      <c r="B59" s="339"/>
      <c r="C59" s="339"/>
      <c r="D59" s="339"/>
      <c r="E59" s="339"/>
      <c r="F59" s="339"/>
    </row>
    <row r="60" spans="1:6" ht="15.75">
      <c r="A60" s="351"/>
      <c r="B60" s="339"/>
      <c r="C60" s="339"/>
      <c r="D60" s="339"/>
      <c r="E60" s="339"/>
      <c r="F60" s="339"/>
    </row>
    <row r="61" spans="1:6" ht="15.75">
      <c r="A61" s="352" t="s">
        <v>502</v>
      </c>
      <c r="B61" s="339"/>
      <c r="C61" s="339"/>
      <c r="D61" s="339"/>
      <c r="E61" s="339"/>
      <c r="F61" s="339"/>
    </row>
    <row r="62" spans="1:6" ht="15.75">
      <c r="A62" s="352" t="s">
        <v>503</v>
      </c>
      <c r="B62" s="339"/>
      <c r="C62" s="339"/>
      <c r="D62" s="339"/>
      <c r="E62" s="339"/>
      <c r="F62" s="339"/>
    </row>
    <row r="63" spans="1:6" ht="15.75">
      <c r="A63" s="352" t="s">
        <v>504</v>
      </c>
      <c r="B63" s="339"/>
      <c r="C63" s="339"/>
      <c r="D63" s="339"/>
      <c r="E63" s="339"/>
      <c r="F63" s="339"/>
    </row>
    <row r="64" ht="15.75">
      <c r="A64" s="352" t="s">
        <v>505</v>
      </c>
    </row>
    <row r="65" ht="15.75">
      <c r="A65" s="352" t="s">
        <v>506</v>
      </c>
    </row>
    <row r="66" ht="15.75">
      <c r="A66" s="352" t="s">
        <v>507</v>
      </c>
    </row>
    <row r="68" ht="15.75">
      <c r="A68" s="339" t="s">
        <v>508</v>
      </c>
    </row>
    <row r="69" ht="15.75">
      <c r="A69" s="339" t="s">
        <v>509</v>
      </c>
    </row>
    <row r="70" ht="15.75">
      <c r="A70" s="339" t="s">
        <v>510</v>
      </c>
    </row>
    <row r="71" ht="15.75">
      <c r="A71" s="339" t="s">
        <v>511</v>
      </c>
    </row>
    <row r="72" ht="15.75">
      <c r="A72" s="339" t="s">
        <v>512</v>
      </c>
    </row>
    <row r="73" ht="15.75">
      <c r="A73" s="339" t="s">
        <v>513</v>
      </c>
    </row>
    <row r="75" ht="15.75">
      <c r="A75" s="339" t="s">
        <v>418</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0" t="s">
        <v>514</v>
      </c>
      <c r="B3" s="340"/>
      <c r="C3" s="340"/>
      <c r="D3" s="340"/>
      <c r="E3" s="340"/>
      <c r="F3" s="340"/>
      <c r="G3" s="340"/>
    </row>
    <row r="4" spans="1:7" ht="15.75">
      <c r="A4" s="340"/>
      <c r="B4" s="340"/>
      <c r="C4" s="340"/>
      <c r="D4" s="340"/>
      <c r="E4" s="340"/>
      <c r="F4" s="340"/>
      <c r="G4" s="340"/>
    </row>
    <row r="5" ht="15.75">
      <c r="A5" s="339" t="s">
        <v>420</v>
      </c>
    </row>
    <row r="6" ht="15.75">
      <c r="A6" s="339" t="str">
        <f>CONCATENATE(inputPrYr!D5," estimated expenditures show that at the end of this year")</f>
        <v>2015 estimated expenditures show that at the end of this year</v>
      </c>
    </row>
    <row r="7" ht="15.75">
      <c r="A7" s="339" t="s">
        <v>515</v>
      </c>
    </row>
    <row r="8" ht="15.75">
      <c r="A8" s="339" t="s">
        <v>516</v>
      </c>
    </row>
    <row r="10" ht="15.75">
      <c r="A10" t="s">
        <v>422</v>
      </c>
    </row>
    <row r="11" ht="15.75">
      <c r="A11" t="s">
        <v>423</v>
      </c>
    </row>
    <row r="12" ht="15.75">
      <c r="A12" t="s">
        <v>424</v>
      </c>
    </row>
    <row r="13" spans="1:7" ht="15.75">
      <c r="A13" s="340"/>
      <c r="B13" s="340"/>
      <c r="C13" s="340"/>
      <c r="D13" s="340"/>
      <c r="E13" s="340"/>
      <c r="F13" s="340"/>
      <c r="G13" s="340"/>
    </row>
    <row r="14" ht="15.75">
      <c r="A14" s="338" t="s">
        <v>517</v>
      </c>
    </row>
    <row r="15" ht="15.75">
      <c r="A15" s="339"/>
    </row>
    <row r="16" ht="15.75">
      <c r="A16" s="339" t="s">
        <v>518</v>
      </c>
    </row>
    <row r="17" ht="15.75">
      <c r="A17" s="339" t="s">
        <v>519</v>
      </c>
    </row>
    <row r="18" ht="15.75">
      <c r="A18" s="339" t="s">
        <v>520</v>
      </c>
    </row>
    <row r="19" ht="15.75">
      <c r="A19" s="339"/>
    </row>
    <row r="20" ht="15.75">
      <c r="A20" s="339" t="s">
        <v>521</v>
      </c>
    </row>
    <row r="21" ht="15.75">
      <c r="A21" s="339" t="s">
        <v>522</v>
      </c>
    </row>
    <row r="22" ht="15.75">
      <c r="A22" s="339" t="s">
        <v>523</v>
      </c>
    </row>
    <row r="23" ht="15.75">
      <c r="A23" s="339" t="s">
        <v>524</v>
      </c>
    </row>
    <row r="24" ht="15.75">
      <c r="A24" s="339"/>
    </row>
    <row r="25" ht="15.75">
      <c r="A25" s="338" t="s">
        <v>486</v>
      </c>
    </row>
    <row r="26" ht="15.75">
      <c r="A26" s="338"/>
    </row>
    <row r="27" ht="15.75">
      <c r="A27" s="339" t="s">
        <v>487</v>
      </c>
    </row>
    <row r="28" spans="1:6" ht="15.75">
      <c r="A28" s="339" t="s">
        <v>488</v>
      </c>
      <c r="B28" s="339"/>
      <c r="C28" s="339"/>
      <c r="D28" s="339"/>
      <c r="E28" s="339"/>
      <c r="F28" s="339"/>
    </row>
    <row r="29" spans="1:6" ht="15.75">
      <c r="A29" s="339" t="s">
        <v>489</v>
      </c>
      <c r="B29" s="339"/>
      <c r="C29" s="339"/>
      <c r="D29" s="339"/>
      <c r="E29" s="339"/>
      <c r="F29" s="339"/>
    </row>
    <row r="30" spans="1:6" ht="15.75">
      <c r="A30" s="339" t="s">
        <v>490</v>
      </c>
      <c r="B30" s="339"/>
      <c r="C30" s="339"/>
      <c r="D30" s="339"/>
      <c r="E30" s="339"/>
      <c r="F30" s="339"/>
    </row>
    <row r="31" ht="15.75">
      <c r="A31" s="339"/>
    </row>
    <row r="32" spans="1:7" ht="15.75">
      <c r="A32" s="338" t="s">
        <v>491</v>
      </c>
      <c r="B32" s="338"/>
      <c r="C32" s="338"/>
      <c r="D32" s="338"/>
      <c r="E32" s="338"/>
      <c r="F32" s="338"/>
      <c r="G32" s="338"/>
    </row>
    <row r="33" spans="1:7" ht="15.75">
      <c r="A33" s="338" t="s">
        <v>492</v>
      </c>
      <c r="B33" s="338"/>
      <c r="C33" s="338"/>
      <c r="D33" s="338"/>
      <c r="E33" s="338"/>
      <c r="F33" s="338"/>
      <c r="G33" s="338"/>
    </row>
    <row r="34" spans="1:7" ht="15.75">
      <c r="A34" s="338"/>
      <c r="B34" s="338"/>
      <c r="C34" s="338"/>
      <c r="D34" s="338"/>
      <c r="E34" s="338"/>
      <c r="F34" s="338"/>
      <c r="G34" s="338"/>
    </row>
    <row r="35" spans="1:7" ht="15.75">
      <c r="A35" s="339" t="s">
        <v>525</v>
      </c>
      <c r="B35" s="339"/>
      <c r="C35" s="339"/>
      <c r="D35" s="339"/>
      <c r="E35" s="339"/>
      <c r="F35" s="339"/>
      <c r="G35" s="339"/>
    </row>
    <row r="36" spans="1:7" ht="15.75">
      <c r="A36" s="339" t="s">
        <v>526</v>
      </c>
      <c r="B36" s="339"/>
      <c r="C36" s="339"/>
      <c r="D36" s="339"/>
      <c r="E36" s="339"/>
      <c r="F36" s="339"/>
      <c r="G36" s="339"/>
    </row>
    <row r="37" spans="1:7" ht="15.75">
      <c r="A37" s="339" t="s">
        <v>527</v>
      </c>
      <c r="B37" s="339"/>
      <c r="C37" s="339"/>
      <c r="D37" s="339"/>
      <c r="E37" s="339"/>
      <c r="F37" s="339"/>
      <c r="G37" s="339"/>
    </row>
    <row r="38" spans="1:7" ht="15.75">
      <c r="A38" s="339" t="s">
        <v>528</v>
      </c>
      <c r="B38" s="339"/>
      <c r="C38" s="339"/>
      <c r="D38" s="339"/>
      <c r="E38" s="339"/>
      <c r="F38" s="339"/>
      <c r="G38" s="339"/>
    </row>
    <row r="39" spans="1:7" ht="15.75">
      <c r="A39" s="339" t="s">
        <v>529</v>
      </c>
      <c r="B39" s="339"/>
      <c r="C39" s="339"/>
      <c r="D39" s="339"/>
      <c r="E39" s="339"/>
      <c r="F39" s="339"/>
      <c r="G39" s="339"/>
    </row>
    <row r="40" spans="1:7" ht="15.75">
      <c r="A40" s="338"/>
      <c r="B40" s="338"/>
      <c r="C40" s="338"/>
      <c r="D40" s="338"/>
      <c r="E40" s="338"/>
      <c r="F40" s="338"/>
      <c r="G40" s="338"/>
    </row>
    <row r="41" spans="1:6" ht="15.75">
      <c r="A41" s="351" t="str">
        <f>CONCATENATE("So, let's look to see if any of your ",inputPrYr!D5-1," expenditures can")</f>
        <v>So, let's look to see if any of your 2014 expenditures can</v>
      </c>
      <c r="B41" s="339"/>
      <c r="C41" s="339"/>
      <c r="D41" s="339"/>
      <c r="E41" s="339"/>
      <c r="F41" s="339"/>
    </row>
    <row r="42" spans="1:6" ht="15.75">
      <c r="A42" s="351" t="s">
        <v>493</v>
      </c>
      <c r="B42" s="339"/>
      <c r="C42" s="339"/>
      <c r="D42" s="339"/>
      <c r="E42" s="339"/>
      <c r="F42" s="339"/>
    </row>
    <row r="43" spans="1:6" ht="15.75">
      <c r="A43" s="351" t="s">
        <v>379</v>
      </c>
      <c r="B43" s="339"/>
      <c r="C43" s="339"/>
      <c r="D43" s="339"/>
      <c r="E43" s="339"/>
      <c r="F43" s="339"/>
    </row>
    <row r="44" spans="1:6" ht="15.75">
      <c r="A44" s="351" t="s">
        <v>380</v>
      </c>
      <c r="B44" s="339"/>
      <c r="C44" s="339"/>
      <c r="D44" s="339"/>
      <c r="E44" s="339"/>
      <c r="F44" s="339"/>
    </row>
    <row r="45" ht="15.75">
      <c r="A45" s="339"/>
    </row>
    <row r="46" spans="1:6" ht="15.75">
      <c r="A46" s="351" t="str">
        <f>CONCATENATE("Additionally, do your ",inputPrYr!D5-1," receipts contain a reimbursement")</f>
        <v>Additionally, do your 2014 receipts contain a reimbursement</v>
      </c>
      <c r="B46" s="339"/>
      <c r="C46" s="339"/>
      <c r="D46" s="339"/>
      <c r="E46" s="339"/>
      <c r="F46" s="339"/>
    </row>
    <row r="47" spans="1:6" ht="15.75">
      <c r="A47" s="351" t="s">
        <v>381</v>
      </c>
      <c r="B47" s="339"/>
      <c r="C47" s="339"/>
      <c r="D47" s="339"/>
      <c r="E47" s="339"/>
      <c r="F47" s="339"/>
    </row>
    <row r="48" spans="1:6" ht="15.75">
      <c r="A48" s="351" t="s">
        <v>382</v>
      </c>
      <c r="B48" s="339"/>
      <c r="C48" s="339"/>
      <c r="D48" s="339"/>
      <c r="E48" s="339"/>
      <c r="F48" s="339"/>
    </row>
    <row r="49" spans="1:7" ht="15.75">
      <c r="A49" s="339"/>
      <c r="B49" s="339"/>
      <c r="C49" s="339"/>
      <c r="D49" s="339"/>
      <c r="E49" s="339"/>
      <c r="F49" s="339"/>
      <c r="G49" s="339"/>
    </row>
    <row r="50" spans="1:7" ht="15.75">
      <c r="A50" s="339" t="s">
        <v>447</v>
      </c>
      <c r="B50" s="339"/>
      <c r="C50" s="339"/>
      <c r="D50" s="339"/>
      <c r="E50" s="339"/>
      <c r="F50" s="339"/>
      <c r="G50" s="339"/>
    </row>
    <row r="51" spans="1:7" ht="15.75">
      <c r="A51" s="339" t="s">
        <v>448</v>
      </c>
      <c r="B51" s="339"/>
      <c r="C51" s="339"/>
      <c r="D51" s="339"/>
      <c r="E51" s="339"/>
      <c r="F51" s="339"/>
      <c r="G51" s="339"/>
    </row>
    <row r="52" spans="1:7" ht="15.75">
      <c r="A52" s="339" t="s">
        <v>449</v>
      </c>
      <c r="B52" s="339"/>
      <c r="C52" s="339"/>
      <c r="D52" s="339"/>
      <c r="E52" s="339"/>
      <c r="F52" s="339"/>
      <c r="G52" s="339"/>
    </row>
    <row r="53" spans="1:7" ht="15.75">
      <c r="A53" s="339" t="s">
        <v>450</v>
      </c>
      <c r="B53" s="339"/>
      <c r="C53" s="339"/>
      <c r="D53" s="339"/>
      <c r="E53" s="339"/>
      <c r="F53" s="339"/>
      <c r="G53" s="339"/>
    </row>
    <row r="54" spans="1:7" ht="15.75">
      <c r="A54" s="339" t="s">
        <v>451</v>
      </c>
      <c r="B54" s="339"/>
      <c r="C54" s="339"/>
      <c r="D54" s="339"/>
      <c r="E54" s="339"/>
      <c r="F54" s="339"/>
      <c r="G54" s="339"/>
    </row>
    <row r="55" spans="1:7" ht="15.75">
      <c r="A55" s="339"/>
      <c r="B55" s="339"/>
      <c r="C55" s="339"/>
      <c r="D55" s="339"/>
      <c r="E55" s="339"/>
      <c r="F55" s="339"/>
      <c r="G55" s="339"/>
    </row>
    <row r="56" spans="1:6" ht="15.75">
      <c r="A56" s="351" t="s">
        <v>389</v>
      </c>
      <c r="B56" s="339"/>
      <c r="C56" s="339"/>
      <c r="D56" s="339"/>
      <c r="E56" s="339"/>
      <c r="F56" s="339"/>
    </row>
    <row r="57" spans="1:6" ht="15.75">
      <c r="A57" s="351" t="s">
        <v>390</v>
      </c>
      <c r="B57" s="339"/>
      <c r="C57" s="339"/>
      <c r="D57" s="339"/>
      <c r="E57" s="339"/>
      <c r="F57" s="339"/>
    </row>
    <row r="58" spans="1:6" ht="15.75">
      <c r="A58" s="351" t="s">
        <v>391</v>
      </c>
      <c r="B58" s="339"/>
      <c r="C58" s="339"/>
      <c r="D58" s="339"/>
      <c r="E58" s="339"/>
      <c r="F58" s="339"/>
    </row>
    <row r="59" spans="1:6" ht="15.75">
      <c r="A59" s="351"/>
      <c r="B59" s="339"/>
      <c r="C59" s="339"/>
      <c r="D59" s="339"/>
      <c r="E59" s="339"/>
      <c r="F59" s="339"/>
    </row>
    <row r="60" spans="1:7" ht="15.75">
      <c r="A60" s="339" t="s">
        <v>530</v>
      </c>
      <c r="B60" s="339"/>
      <c r="C60" s="339"/>
      <c r="D60" s="339"/>
      <c r="E60" s="339"/>
      <c r="F60" s="339"/>
      <c r="G60" s="339"/>
    </row>
    <row r="61" spans="1:7" ht="15.75">
      <c r="A61" s="339" t="s">
        <v>531</v>
      </c>
      <c r="B61" s="339"/>
      <c r="C61" s="339"/>
      <c r="D61" s="339"/>
      <c r="E61" s="339"/>
      <c r="F61" s="339"/>
      <c r="G61" s="339"/>
    </row>
    <row r="62" spans="1:7" ht="15.75">
      <c r="A62" s="339" t="s">
        <v>532</v>
      </c>
      <c r="B62" s="339"/>
      <c r="C62" s="339"/>
      <c r="D62" s="339"/>
      <c r="E62" s="339"/>
      <c r="F62" s="339"/>
      <c r="G62" s="339"/>
    </row>
    <row r="63" spans="1:7" ht="15.75">
      <c r="A63" s="339" t="s">
        <v>533</v>
      </c>
      <c r="B63" s="339"/>
      <c r="C63" s="339"/>
      <c r="D63" s="339"/>
      <c r="E63" s="339"/>
      <c r="F63" s="339"/>
      <c r="G63" s="339"/>
    </row>
    <row r="64" spans="1:7" ht="15.75">
      <c r="A64" s="339" t="s">
        <v>534</v>
      </c>
      <c r="B64" s="339"/>
      <c r="C64" s="339"/>
      <c r="D64" s="339"/>
      <c r="E64" s="339"/>
      <c r="F64" s="339"/>
      <c r="G64" s="339"/>
    </row>
    <row r="66" spans="1:6" ht="15.75">
      <c r="A66" s="351" t="s">
        <v>497</v>
      </c>
      <c r="B66" s="339"/>
      <c r="C66" s="339"/>
      <c r="D66" s="339"/>
      <c r="E66" s="339"/>
      <c r="F66" s="339"/>
    </row>
    <row r="67" spans="1:6" ht="15.75">
      <c r="A67" s="351" t="s">
        <v>498</v>
      </c>
      <c r="B67" s="339"/>
      <c r="C67" s="339"/>
      <c r="D67" s="339"/>
      <c r="E67" s="339"/>
      <c r="F67" s="339"/>
    </row>
    <row r="68" spans="1:6" ht="15.75">
      <c r="A68" s="351" t="s">
        <v>499</v>
      </c>
      <c r="B68" s="339"/>
      <c r="C68" s="339"/>
      <c r="D68" s="339"/>
      <c r="E68" s="339"/>
      <c r="F68" s="339"/>
    </row>
    <row r="69" spans="1:6" ht="15.75">
      <c r="A69" s="351" t="s">
        <v>500</v>
      </c>
      <c r="B69" s="339"/>
      <c r="C69" s="339"/>
      <c r="D69" s="339"/>
      <c r="E69" s="339"/>
      <c r="F69" s="339"/>
    </row>
    <row r="70" spans="1:6" ht="15.75">
      <c r="A70" s="351" t="s">
        <v>501</v>
      </c>
      <c r="B70" s="339"/>
      <c r="C70" s="339"/>
      <c r="D70" s="339"/>
      <c r="E70" s="339"/>
      <c r="F70" s="339"/>
    </row>
    <row r="71" ht="15.75">
      <c r="A71" s="339"/>
    </row>
    <row r="72" ht="15.75">
      <c r="A72" s="339" t="s">
        <v>418</v>
      </c>
    </row>
    <row r="73" ht="15.75">
      <c r="A73" s="339"/>
    </row>
    <row r="74" ht="15.75">
      <c r="A74" s="339"/>
    </row>
    <row r="75" ht="15.75">
      <c r="A75" s="339"/>
    </row>
    <row r="78" ht="15.75">
      <c r="A78" s="338"/>
    </row>
    <row r="80" ht="15.75">
      <c r="A80" s="339"/>
    </row>
    <row r="81" ht="15.75">
      <c r="A81" s="339"/>
    </row>
    <row r="82" ht="15.75">
      <c r="A82" s="339"/>
    </row>
    <row r="83" ht="15.75">
      <c r="A83" s="339"/>
    </row>
    <row r="84" ht="15.75">
      <c r="A84" s="339"/>
    </row>
    <row r="85" ht="15.75">
      <c r="A85" s="339"/>
    </row>
    <row r="86" ht="15.75">
      <c r="A86" s="339"/>
    </row>
    <row r="87" ht="15.75">
      <c r="A87" s="339"/>
    </row>
    <row r="88" ht="15.75">
      <c r="A88" s="339"/>
    </row>
    <row r="89" ht="15.75">
      <c r="A89" s="339"/>
    </row>
    <row r="90" ht="15.75">
      <c r="A90" s="339"/>
    </row>
    <row r="92" ht="15.75">
      <c r="A92" s="339"/>
    </row>
    <row r="93" ht="15.75">
      <c r="A93" s="339"/>
    </row>
    <row r="94" ht="15.75">
      <c r="A94" s="339"/>
    </row>
    <row r="95" ht="15.75">
      <c r="A95" s="339"/>
    </row>
    <row r="96" ht="15.75">
      <c r="A96" s="339"/>
    </row>
    <row r="97" ht="15.75">
      <c r="A97" s="339"/>
    </row>
    <row r="98" ht="15.75">
      <c r="A98" s="339"/>
    </row>
    <row r="99" ht="15.75">
      <c r="A99" s="339"/>
    </row>
    <row r="100" ht="15.75">
      <c r="A100" s="339"/>
    </row>
    <row r="101" ht="15.75">
      <c r="A101" s="339"/>
    </row>
    <row r="102" ht="15.75">
      <c r="A102" s="339"/>
    </row>
    <row r="103" ht="15.75">
      <c r="A103" s="339"/>
    </row>
    <row r="104" ht="15.75">
      <c r="A104" s="339"/>
    </row>
    <row r="105" ht="15.75">
      <c r="A105" s="339"/>
    </row>
    <row r="106" ht="15.75">
      <c r="A106" s="339"/>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4" sqref="E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93" t="s">
        <v>252</v>
      </c>
      <c r="B1" s="3"/>
      <c r="C1" s="3"/>
      <c r="D1" s="3"/>
      <c r="E1" s="3"/>
    </row>
    <row r="2" spans="1:5" ht="15.75">
      <c r="A2" s="57" t="s">
        <v>209</v>
      </c>
      <c r="B2" s="3"/>
      <c r="C2" s="3"/>
      <c r="D2" s="365" t="s">
        <v>937</v>
      </c>
      <c r="E2" s="8"/>
    </row>
    <row r="3" spans="1:5" ht="15.75">
      <c r="A3" s="57" t="s">
        <v>208</v>
      </c>
      <c r="B3" s="3"/>
      <c r="C3" s="3"/>
      <c r="D3" s="366" t="s">
        <v>934</v>
      </c>
      <c r="E3" s="8"/>
    </row>
    <row r="4" spans="1:5" ht="15.75">
      <c r="A4" s="3"/>
      <c r="B4" s="3"/>
      <c r="C4" s="3"/>
      <c r="D4" s="3"/>
      <c r="E4" s="3"/>
    </row>
    <row r="5" spans="1:5" ht="15.75">
      <c r="A5" s="6" t="s">
        <v>131</v>
      </c>
      <c r="B5" s="3"/>
      <c r="C5" s="3"/>
      <c r="D5" s="294">
        <v>2015</v>
      </c>
      <c r="E5" s="3"/>
    </row>
    <row r="6" spans="1:5" ht="15.75">
      <c r="A6" s="3"/>
      <c r="B6" s="3"/>
      <c r="C6" s="3"/>
      <c r="D6" s="3"/>
      <c r="E6" s="3"/>
    </row>
    <row r="7" spans="1:8" ht="15.75">
      <c r="A7" s="133" t="s">
        <v>133</v>
      </c>
      <c r="B7" s="137"/>
      <c r="C7" s="137"/>
      <c r="D7" s="137"/>
      <c r="E7" s="137"/>
      <c r="F7" s="3"/>
      <c r="G7" s="750" t="s">
        <v>739</v>
      </c>
      <c r="H7" s="751"/>
    </row>
    <row r="8" spans="1:8" ht="15.75">
      <c r="A8" s="133" t="s">
        <v>183</v>
      </c>
      <c r="B8" s="137"/>
      <c r="C8" s="137"/>
      <c r="D8" s="137"/>
      <c r="E8" s="137"/>
      <c r="F8" s="3"/>
      <c r="G8" s="752"/>
      <c r="H8" s="751"/>
    </row>
    <row r="9" spans="1:8" ht="15.75">
      <c r="A9" s="3"/>
      <c r="B9" s="3"/>
      <c r="C9" s="3"/>
      <c r="D9" s="3"/>
      <c r="E9" s="3"/>
      <c r="F9" s="3"/>
      <c r="G9" s="752"/>
      <c r="H9" s="751"/>
    </row>
    <row r="10" spans="1:8" ht="15.75">
      <c r="A10" s="748" t="s">
        <v>141</v>
      </c>
      <c r="B10" s="749"/>
      <c r="C10" s="749"/>
      <c r="D10" s="749"/>
      <c r="E10" s="749"/>
      <c r="F10" s="3"/>
      <c r="G10" s="752"/>
      <c r="H10" s="751"/>
    </row>
    <row r="11" spans="1:8" ht="15.75">
      <c r="A11" s="57"/>
      <c r="B11" s="3"/>
      <c r="C11" s="3"/>
      <c r="D11" s="3"/>
      <c r="E11" s="3"/>
      <c r="F11" s="3"/>
      <c r="G11" s="752"/>
      <c r="H11" s="751"/>
    </row>
    <row r="12" spans="1:8" ht="15.75">
      <c r="A12" s="295" t="s">
        <v>132</v>
      </c>
      <c r="B12" s="281"/>
      <c r="C12" s="3"/>
      <c r="D12" s="38"/>
      <c r="E12" s="296"/>
      <c r="F12" s="3"/>
      <c r="G12" s="752"/>
      <c r="H12" s="751"/>
    </row>
    <row r="13" spans="1:8" ht="15.75">
      <c r="A13" s="297" t="str">
        <f>CONCATENATE("the ",D5-1," Budget, Certificate Page:")</f>
        <v>the 2014 Budget, Certificate Page:</v>
      </c>
      <c r="B13" s="298"/>
      <c r="C13" s="38"/>
      <c r="D13" s="3"/>
      <c r="E13" s="3"/>
      <c r="F13" s="3"/>
      <c r="G13" s="8"/>
      <c r="H13" s="118"/>
    </row>
    <row r="14" spans="1:8" ht="15.75">
      <c r="A14" s="297" t="s">
        <v>298</v>
      </c>
      <c r="B14" s="298"/>
      <c r="C14" s="38"/>
      <c r="D14" s="299">
        <f>$D$5-1</f>
        <v>2014</v>
      </c>
      <c r="E14" s="300">
        <f>$D$5-2</f>
        <v>2013</v>
      </c>
      <c r="G14" s="159" t="s">
        <v>740</v>
      </c>
      <c r="H14" s="167" t="s">
        <v>29</v>
      </c>
    </row>
    <row r="15" spans="1:8" ht="15.75">
      <c r="A15" s="11" t="s">
        <v>254</v>
      </c>
      <c r="B15" s="3"/>
      <c r="C15" s="301" t="s">
        <v>253</v>
      </c>
      <c r="D15" s="302" t="s">
        <v>325</v>
      </c>
      <c r="E15" s="303" t="s">
        <v>16</v>
      </c>
      <c r="G15" s="165" t="str">
        <f>CONCATENATE("",E14," Ad Valorem Tax")</f>
        <v>2013 Ad Valorem Tax</v>
      </c>
      <c r="H15" s="708">
        <v>0</v>
      </c>
    </row>
    <row r="16" spans="1:7" ht="15.75">
      <c r="A16" s="3"/>
      <c r="B16" s="61" t="s">
        <v>255</v>
      </c>
      <c r="C16" s="149" t="s">
        <v>256</v>
      </c>
      <c r="D16" s="175">
        <v>16400</v>
      </c>
      <c r="E16" s="175">
        <v>4835</v>
      </c>
      <c r="G16" s="21">
        <f>IF(H15&gt;0,ROUND(E16-(E16*H15),0),0)</f>
        <v>0</v>
      </c>
    </row>
    <row r="17" spans="1:7" ht="15.75">
      <c r="A17" s="3"/>
      <c r="B17" s="61" t="s">
        <v>282</v>
      </c>
      <c r="C17" s="149" t="s">
        <v>138</v>
      </c>
      <c r="D17" s="175"/>
      <c r="E17" s="175"/>
      <c r="G17" s="21">
        <f>IF(H15&gt;0,ROUND(E17-(E17*H15),0),0)</f>
        <v>0</v>
      </c>
    </row>
    <row r="18" spans="1:7" ht="15.75">
      <c r="A18" s="3"/>
      <c r="B18" s="61" t="s">
        <v>810</v>
      </c>
      <c r="C18" s="659" t="s">
        <v>811</v>
      </c>
      <c r="D18" s="175"/>
      <c r="E18" s="175"/>
      <c r="G18" s="21">
        <f>IF(H15&gt;0,ROUND(E18-(E18*H15),0),0)</f>
        <v>0</v>
      </c>
    </row>
    <row r="19" spans="1:7" ht="15.75">
      <c r="A19" s="3"/>
      <c r="B19" s="61" t="s">
        <v>257</v>
      </c>
      <c r="C19" s="167" t="s">
        <v>297</v>
      </c>
      <c r="D19" s="175">
        <v>131129</v>
      </c>
      <c r="E19" s="175">
        <v>118677</v>
      </c>
      <c r="G19" s="21">
        <f>IF(H15&gt;0,ROUND(E19-(E19*H15),0),0)</f>
        <v>0</v>
      </c>
    </row>
    <row r="20" spans="1:7" ht="15.75">
      <c r="A20" s="3"/>
      <c r="B20" s="367"/>
      <c r="C20" s="368"/>
      <c r="D20" s="175"/>
      <c r="E20" s="175"/>
      <c r="G20" s="21">
        <f>IF(H15&gt;0,ROUND(E20-(E20*H15),0),0)</f>
        <v>0</v>
      </c>
    </row>
    <row r="21" spans="1:7" ht="15.75">
      <c r="A21" s="3"/>
      <c r="B21" s="175"/>
      <c r="C21" s="379"/>
      <c r="D21" s="175"/>
      <c r="E21" s="175"/>
      <c r="G21" s="21">
        <f>IF(H15&gt;0,ROUND(E21-(E21*H15),0),0)</f>
        <v>0</v>
      </c>
    </row>
    <row r="22" spans="1:7" ht="15.75">
      <c r="A22" s="3"/>
      <c r="B22" s="65"/>
      <c r="C22" s="379"/>
      <c r="D22" s="175"/>
      <c r="E22" s="175"/>
      <c r="G22" s="21">
        <f>IF(H15&gt;0,ROUND(E22-(E22*H15),0),0)</f>
        <v>0</v>
      </c>
    </row>
    <row r="23" spans="1:7" ht="15.75">
      <c r="A23" s="3"/>
      <c r="B23" s="65"/>
      <c r="C23" s="379"/>
      <c r="D23" s="175"/>
      <c r="E23" s="175"/>
      <c r="G23" s="21">
        <f>IF(H15&gt;0,ROUND(E23-(E23*H15),0),0)</f>
        <v>0</v>
      </c>
    </row>
    <row r="24" spans="1:7" ht="15.75">
      <c r="A24" s="3"/>
      <c r="B24" s="65"/>
      <c r="C24" s="379"/>
      <c r="D24" s="175"/>
      <c r="E24" s="175"/>
      <c r="G24" s="21">
        <f>IF(H15&gt;0,ROUND(E24-(E24*H15),0),0)</f>
        <v>0</v>
      </c>
    </row>
    <row r="25" spans="1:7" ht="15.75">
      <c r="A25" s="3"/>
      <c r="B25" s="65"/>
      <c r="C25" s="379"/>
      <c r="D25" s="175"/>
      <c r="E25" s="175"/>
      <c r="G25" s="21">
        <f>IF(H15&gt;0,ROUND(E25-(E25*H15),0),0)</f>
        <v>0</v>
      </c>
    </row>
    <row r="26" spans="1:5" ht="15.75">
      <c r="A26" s="304" t="str">
        <f>CONCATENATE("Total Ad Valorem Tax for ",D5-1," Budgeted Year")</f>
        <v>Total Ad Valorem Tax for 2014 Budgeted Year</v>
      </c>
      <c r="B26" s="9"/>
      <c r="C26" s="255"/>
      <c r="D26" s="305"/>
      <c r="E26" s="306">
        <f>SUM(E16:E25)</f>
        <v>123512</v>
      </c>
    </row>
    <row r="27" spans="1:5" ht="15.75">
      <c r="A27" s="8"/>
      <c r="B27" s="8"/>
      <c r="C27" s="8"/>
      <c r="D27" s="13"/>
      <c r="E27" s="129"/>
    </row>
    <row r="28" spans="1:5" ht="15.75">
      <c r="A28" s="3" t="s">
        <v>127</v>
      </c>
      <c r="B28" s="3"/>
      <c r="C28" s="3"/>
      <c r="D28" s="3"/>
      <c r="E28" s="3"/>
    </row>
    <row r="29" spans="1:5" ht="15.75">
      <c r="A29" s="3"/>
      <c r="B29" s="212"/>
      <c r="C29" s="3"/>
      <c r="D29" s="25"/>
      <c r="E29" s="8"/>
    </row>
    <row r="30" spans="1:5" ht="15.75">
      <c r="A30" s="3"/>
      <c r="B30" s="212"/>
      <c r="C30" s="3"/>
      <c r="D30" s="25"/>
      <c r="E30" s="8"/>
    </row>
    <row r="31" spans="1:5" ht="15.75">
      <c r="A31" s="304" t="str">
        <f>CONCATENATE("Total Expenditures for ",D5-1,"")</f>
        <v>Total Expenditures for 2014</v>
      </c>
      <c r="B31" s="307"/>
      <c r="C31" s="247"/>
      <c r="D31" s="146">
        <f>SUM(D16:D25,D29:D30)</f>
        <v>147529</v>
      </c>
      <c r="E31" s="3"/>
    </row>
    <row r="32" spans="1:5" ht="15.75">
      <c r="A32" s="3"/>
      <c r="B32" s="3"/>
      <c r="C32" s="3"/>
      <c r="D32" s="3"/>
      <c r="E32" s="3"/>
    </row>
    <row r="33" spans="1:5" ht="15.75">
      <c r="A33" s="262" t="s">
        <v>320</v>
      </c>
      <c r="B33" s="8"/>
      <c r="C33" s="3"/>
      <c r="D33" s="3"/>
      <c r="E33" s="3"/>
    </row>
    <row r="34" spans="1:5" ht="15.75">
      <c r="A34" s="308">
        <v>1</v>
      </c>
      <c r="B34" s="212"/>
      <c r="C34" s="3"/>
      <c r="D34" s="3"/>
      <c r="E34" s="3"/>
    </row>
    <row r="35" spans="1:5" ht="15.75">
      <c r="A35" s="308">
        <v>2</v>
      </c>
      <c r="B35" s="212"/>
      <c r="C35" s="3"/>
      <c r="D35" s="3"/>
      <c r="E35" s="3"/>
    </row>
    <row r="36" spans="1:5" ht="15.75">
      <c r="A36" s="308">
        <v>3</v>
      </c>
      <c r="B36" s="212"/>
      <c r="C36" s="3"/>
      <c r="D36" s="3"/>
      <c r="E36" s="3"/>
    </row>
    <row r="37" spans="1:5" ht="15.75">
      <c r="A37" s="308">
        <v>4</v>
      </c>
      <c r="B37" s="212"/>
      <c r="C37" s="3"/>
      <c r="D37" s="3"/>
      <c r="E37" s="3"/>
    </row>
    <row r="38" spans="1:5" ht="15.75">
      <c r="A38" s="308">
        <v>5</v>
      </c>
      <c r="B38" s="212"/>
      <c r="C38" s="3"/>
      <c r="D38" s="3"/>
      <c r="E38" s="3"/>
    </row>
    <row r="39" spans="1:5" ht="15.75">
      <c r="A39" s="3"/>
      <c r="B39" s="3"/>
      <c r="C39" s="3"/>
      <c r="D39" s="3"/>
      <c r="E39" s="3"/>
    </row>
    <row r="40" spans="1:5" ht="15.75" customHeight="1">
      <c r="A40" s="295" t="s">
        <v>132</v>
      </c>
      <c r="B40" s="281"/>
      <c r="C40" s="3"/>
      <c r="D40" s="746" t="str">
        <f>CONCATENATE("",D5-3," Tax Rate                    (",D5-2," Column)")</f>
        <v>2012 Tax Rate                    (2013 Column)</v>
      </c>
      <c r="E40" s="3"/>
    </row>
    <row r="41" spans="1:5" ht="15.75">
      <c r="A41" s="297" t="str">
        <f>CONCATENATE("the ",D5-1," Budget, Budget Summary Page:")</f>
        <v>the 2014 Budget, Budget Summary Page:</v>
      </c>
      <c r="B41" s="269"/>
      <c r="C41" s="3"/>
      <c r="D41" s="747"/>
      <c r="E41" s="3"/>
    </row>
    <row r="42" spans="1:5" ht="15.75">
      <c r="A42" s="3"/>
      <c r="B42" s="74" t="str">
        <f>B16</f>
        <v>General</v>
      </c>
      <c r="C42" s="3"/>
      <c r="D42" s="309">
        <v>2.208</v>
      </c>
      <c r="E42" s="3"/>
    </row>
    <row r="43" spans="1:5" ht="15.75">
      <c r="A43" s="3"/>
      <c r="B43" s="74" t="str">
        <f>B17</f>
        <v>Debt Service</v>
      </c>
      <c r="C43" s="3"/>
      <c r="D43" s="310"/>
      <c r="E43" s="3"/>
    </row>
    <row r="44" spans="1:5" ht="15.75">
      <c r="A44" s="3"/>
      <c r="B44" s="74" t="str">
        <f>B18</f>
        <v>Library</v>
      </c>
      <c r="C44" s="3"/>
      <c r="D44" s="310"/>
      <c r="E44" s="3"/>
    </row>
    <row r="45" spans="1:5" ht="15.75">
      <c r="A45" s="3"/>
      <c r="B45" s="74" t="str">
        <f aca="true" t="shared" si="0" ref="B45:B51">B19</f>
        <v>Road</v>
      </c>
      <c r="C45" s="3"/>
      <c r="D45" s="310">
        <v>18.216</v>
      </c>
      <c r="E45" s="3"/>
    </row>
    <row r="46" spans="1:5" ht="15.75">
      <c r="A46" s="3"/>
      <c r="B46" s="61">
        <f t="shared" si="0"/>
        <v>0</v>
      </c>
      <c r="C46" s="3"/>
      <c r="D46" s="310"/>
      <c r="E46" s="3"/>
    </row>
    <row r="47" spans="1:5" ht="15.75">
      <c r="A47" s="3"/>
      <c r="B47" s="61">
        <f t="shared" si="0"/>
        <v>0</v>
      </c>
      <c r="C47" s="3"/>
      <c r="D47" s="310"/>
      <c r="E47" s="3"/>
    </row>
    <row r="48" spans="1:5" ht="15.75">
      <c r="A48" s="3"/>
      <c r="B48" s="61">
        <f t="shared" si="0"/>
        <v>0</v>
      </c>
      <c r="C48" s="3"/>
      <c r="D48" s="310"/>
      <c r="E48" s="3"/>
    </row>
    <row r="49" spans="1:5" ht="15.75">
      <c r="A49" s="3"/>
      <c r="B49" s="61">
        <f t="shared" si="0"/>
        <v>0</v>
      </c>
      <c r="C49" s="3"/>
      <c r="D49" s="310"/>
      <c r="E49" s="3"/>
    </row>
    <row r="50" spans="1:5" ht="15.75">
      <c r="A50" s="3"/>
      <c r="B50" s="61">
        <f t="shared" si="0"/>
        <v>0</v>
      </c>
      <c r="C50" s="3"/>
      <c r="D50" s="310"/>
      <c r="E50" s="3"/>
    </row>
    <row r="51" spans="1:5" ht="15.75">
      <c r="A51" s="3"/>
      <c r="B51" s="61">
        <f t="shared" si="0"/>
        <v>0</v>
      </c>
      <c r="C51" s="3"/>
      <c r="D51" s="310"/>
      <c r="E51" s="3"/>
    </row>
    <row r="52" spans="1:5" ht="16.5" thickBot="1">
      <c r="A52" s="60" t="str">
        <f>CONCATENATE("Total ",D5-3," Tax Levy Rate")</f>
        <v>Total 2012 Tax Levy Rate</v>
      </c>
      <c r="B52" s="311"/>
      <c r="C52" s="247"/>
      <c r="D52" s="312">
        <f>SUM(D42:D51)</f>
        <v>20.424</v>
      </c>
      <c r="E52" s="3"/>
    </row>
    <row r="53" spans="1:5" ht="16.5" thickTop="1">
      <c r="A53" s="3"/>
      <c r="B53" s="3"/>
      <c r="C53" s="3"/>
      <c r="D53" s="3"/>
      <c r="E53" s="3"/>
    </row>
    <row r="54" spans="1:5" ht="15.75">
      <c r="A54" s="313" t="str">
        <f>CONCATENATE("Total Tax Levied (",D5-2," budget column)")</f>
        <v>Total Tax Levied (2013 budget column)</v>
      </c>
      <c r="B54" s="314"/>
      <c r="C54" s="9"/>
      <c r="D54" s="247"/>
      <c r="E54" s="175">
        <v>123512</v>
      </c>
    </row>
    <row r="55" spans="1:5" ht="15.75">
      <c r="A55" s="315" t="str">
        <f>CONCATENATE("Assessed Valuation (",D5-2," budget column)")</f>
        <v>Assessed Valuation (2013 budget column)</v>
      </c>
      <c r="B55" s="316"/>
      <c r="C55" s="255"/>
      <c r="D55" s="17"/>
      <c r="E55" s="175">
        <v>6047484</v>
      </c>
    </row>
    <row r="56" spans="1:5" ht="15.75">
      <c r="A56" s="262"/>
      <c r="B56" s="8"/>
      <c r="C56" s="8"/>
      <c r="D56" s="8"/>
      <c r="E56" s="272"/>
    </row>
    <row r="57" spans="1:5" ht="15.75">
      <c r="A57" s="3"/>
      <c r="B57" s="3"/>
      <c r="C57" s="3"/>
      <c r="D57" s="3"/>
      <c r="E57" s="44"/>
    </row>
    <row r="58" spans="1:5" ht="15.75">
      <c r="A58" s="281" t="s">
        <v>184</v>
      </c>
      <c r="B58" s="281"/>
      <c r="C58" s="118"/>
      <c r="D58" s="317">
        <f>D5-3</f>
        <v>2012</v>
      </c>
      <c r="E58" s="317">
        <f>D5-2</f>
        <v>2013</v>
      </c>
    </row>
    <row r="59" spans="1:5" ht="15.75">
      <c r="A59" s="314" t="s">
        <v>148</v>
      </c>
      <c r="B59" s="314"/>
      <c r="C59" s="318"/>
      <c r="D59" s="25"/>
      <c r="E59" s="25"/>
    </row>
    <row r="60" spans="1:5" ht="15.75">
      <c r="A60" s="316" t="s">
        <v>149</v>
      </c>
      <c r="B60" s="316"/>
      <c r="C60" s="319"/>
      <c r="D60" s="25"/>
      <c r="E60" s="25"/>
    </row>
    <row r="61" spans="1:5" ht="15.75">
      <c r="A61" s="316" t="s">
        <v>150</v>
      </c>
      <c r="B61" s="316"/>
      <c r="C61" s="319"/>
      <c r="D61" s="25"/>
      <c r="E61" s="25">
        <v>40704</v>
      </c>
    </row>
    <row r="62" spans="1:5" ht="15.75">
      <c r="A62" s="316"/>
      <c r="B62" s="316"/>
      <c r="C62" s="320"/>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21"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0" t="s">
        <v>535</v>
      </c>
      <c r="B3" s="340"/>
      <c r="C3" s="340"/>
      <c r="D3" s="340"/>
      <c r="E3" s="340"/>
      <c r="F3" s="340"/>
      <c r="G3" s="340"/>
    </row>
    <row r="4" spans="1:7" ht="15.75">
      <c r="A4" s="340" t="s">
        <v>536</v>
      </c>
      <c r="B4" s="340"/>
      <c r="C4" s="340"/>
      <c r="D4" s="340"/>
      <c r="E4" s="340"/>
      <c r="F4" s="340"/>
      <c r="G4" s="340"/>
    </row>
    <row r="5" spans="1:7" ht="15.75">
      <c r="A5" s="340"/>
      <c r="B5" s="340"/>
      <c r="C5" s="340"/>
      <c r="D5" s="340"/>
      <c r="E5" s="340"/>
      <c r="F5" s="340"/>
      <c r="G5" s="340"/>
    </row>
    <row r="6" spans="1:7" ht="15.75">
      <c r="A6" s="340"/>
      <c r="B6" s="340"/>
      <c r="C6" s="340"/>
      <c r="D6" s="340"/>
      <c r="E6" s="340"/>
      <c r="F6" s="340"/>
      <c r="G6" s="340"/>
    </row>
    <row r="7" ht="15.75">
      <c r="A7" s="339" t="s">
        <v>365</v>
      </c>
    </row>
    <row r="8" ht="15.75">
      <c r="A8" s="339" t="str">
        <f>CONCATENATE("estimated ",inputPrYr!D5," 'total expenditures' exceed your ",inputPrYr!D5,"")</f>
        <v>estimated 2015 'total expenditures' exceed your 2015</v>
      </c>
    </row>
    <row r="9" ht="15.75">
      <c r="A9" s="354" t="s">
        <v>537</v>
      </c>
    </row>
    <row r="10" ht="15.75">
      <c r="A10" s="339"/>
    </row>
    <row r="11" ht="15.75">
      <c r="A11" s="339" t="s">
        <v>538</v>
      </c>
    </row>
    <row r="12" ht="15.75">
      <c r="A12" s="339" t="s">
        <v>539</v>
      </c>
    </row>
    <row r="13" ht="15.75">
      <c r="A13" s="339" t="s">
        <v>540</v>
      </c>
    </row>
    <row r="14" ht="15.75">
      <c r="A14" s="339"/>
    </row>
    <row r="15" ht="15.75">
      <c r="A15" s="338" t="s">
        <v>541</v>
      </c>
    </row>
    <row r="16" spans="1:7" ht="15.75">
      <c r="A16" s="340"/>
      <c r="B16" s="340"/>
      <c r="C16" s="340"/>
      <c r="D16" s="340"/>
      <c r="E16" s="340"/>
      <c r="F16" s="340"/>
      <c r="G16" s="340"/>
    </row>
    <row r="17" spans="1:8" ht="15.75">
      <c r="A17" s="355" t="s">
        <v>542</v>
      </c>
      <c r="B17" s="334"/>
      <c r="C17" s="334"/>
      <c r="D17" s="334"/>
      <c r="E17" s="334"/>
      <c r="F17" s="334"/>
      <c r="G17" s="334"/>
      <c r="H17" s="334"/>
    </row>
    <row r="18" spans="1:7" ht="15.75">
      <c r="A18" s="339" t="s">
        <v>543</v>
      </c>
      <c r="B18" s="356"/>
      <c r="C18" s="356"/>
      <c r="D18" s="356"/>
      <c r="E18" s="356"/>
      <c r="F18" s="356"/>
      <c r="G18" s="356"/>
    </row>
    <row r="19" ht="15.75">
      <c r="A19" s="339" t="s">
        <v>544</v>
      </c>
    </row>
    <row r="20" ht="15.75">
      <c r="A20" s="339" t="s">
        <v>545</v>
      </c>
    </row>
    <row r="22" ht="15.75">
      <c r="A22" s="338" t="s">
        <v>546</v>
      </c>
    </row>
    <row r="24" ht="15.75">
      <c r="A24" s="339" t="s">
        <v>547</v>
      </c>
    </row>
    <row r="25" ht="15.75">
      <c r="A25" s="339" t="s">
        <v>548</v>
      </c>
    </row>
    <row r="26" ht="15.75">
      <c r="A26" s="339" t="s">
        <v>549</v>
      </c>
    </row>
    <row r="28" ht="15.75">
      <c r="A28" s="338" t="s">
        <v>550</v>
      </c>
    </row>
    <row r="30" ht="15.75">
      <c r="A30" t="s">
        <v>551</v>
      </c>
    </row>
    <row r="31" ht="15.75">
      <c r="A31" t="s">
        <v>552</v>
      </c>
    </row>
    <row r="32" ht="15.75">
      <c r="A32" t="s">
        <v>553</v>
      </c>
    </row>
    <row r="33" ht="15.75">
      <c r="A33" s="339" t="s">
        <v>554</v>
      </c>
    </row>
    <row r="35" ht="15.75">
      <c r="A35" t="s">
        <v>555</v>
      </c>
    </row>
    <row r="36" ht="15.75">
      <c r="A36" t="s">
        <v>556</v>
      </c>
    </row>
    <row r="37" ht="15.75">
      <c r="A37" t="s">
        <v>557</v>
      </c>
    </row>
    <row r="38" ht="15.75">
      <c r="A38" t="s">
        <v>558</v>
      </c>
    </row>
    <row r="40" ht="15.75">
      <c r="A40" t="s">
        <v>559</v>
      </c>
    </row>
    <row r="41" ht="15.75">
      <c r="A41" t="s">
        <v>560</v>
      </c>
    </row>
    <row r="42" ht="15.75">
      <c r="A42" t="s">
        <v>561</v>
      </c>
    </row>
    <row r="43" ht="15.75">
      <c r="A43" t="s">
        <v>562</v>
      </c>
    </row>
    <row r="44" ht="15.75">
      <c r="A44" t="s">
        <v>563</v>
      </c>
    </row>
    <row r="45" ht="15.75">
      <c r="A45" t="s">
        <v>564</v>
      </c>
    </row>
    <row r="47" ht="15.75">
      <c r="A47" t="s">
        <v>565</v>
      </c>
    </row>
    <row r="48" ht="15.75">
      <c r="A48" t="s">
        <v>566</v>
      </c>
    </row>
    <row r="49" ht="15.75">
      <c r="A49" s="339" t="s">
        <v>567</v>
      </c>
    </row>
    <row r="50" ht="15.75">
      <c r="A50" s="339" t="s">
        <v>568</v>
      </c>
    </row>
    <row r="52" ht="15.75">
      <c r="A52" t="s">
        <v>418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91" customWidth="1"/>
    <col min="2" max="2" width="10.09765625" style="392" customWidth="1"/>
    <col min="3" max="3" width="6.69921875" style="392" customWidth="1"/>
    <col min="4" max="4" width="8.796875" style="392" customWidth="1"/>
    <col min="5" max="5" width="1.390625" style="392" customWidth="1"/>
    <col min="6" max="6" width="12.8984375" style="392" customWidth="1"/>
    <col min="7" max="7" width="2.296875" style="392" customWidth="1"/>
    <col min="8" max="8" width="8.796875" style="392" customWidth="1"/>
    <col min="9" max="9" width="1.796875" style="392" customWidth="1"/>
    <col min="10" max="10" width="7.69921875" style="392" customWidth="1"/>
    <col min="11" max="11" width="10.5" style="392" customWidth="1"/>
    <col min="12" max="12" width="6.796875" style="391" customWidth="1"/>
    <col min="13" max="14" width="8.796875" style="391" customWidth="1"/>
    <col min="15" max="15" width="8.8984375" style="391" bestFit="1" customWidth="1"/>
    <col min="16" max="16384" width="8.7968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838" t="s">
        <v>609</v>
      </c>
      <c r="C6" s="839"/>
      <c r="D6" s="839"/>
      <c r="E6" s="839"/>
      <c r="F6" s="839"/>
      <c r="G6" s="839"/>
      <c r="H6" s="839"/>
      <c r="I6" s="839"/>
      <c r="J6" s="839"/>
      <c r="K6" s="839"/>
      <c r="L6" s="393"/>
    </row>
    <row r="7" spans="1:12" ht="40.5" customHeight="1">
      <c r="A7" s="390"/>
      <c r="B7" s="840" t="s">
        <v>610</v>
      </c>
      <c r="C7" s="841"/>
      <c r="D7" s="841"/>
      <c r="E7" s="841"/>
      <c r="F7" s="841"/>
      <c r="G7" s="841"/>
      <c r="H7" s="841"/>
      <c r="I7" s="841"/>
      <c r="J7" s="841"/>
      <c r="K7" s="841"/>
      <c r="L7" s="390"/>
    </row>
    <row r="8" spans="1:12" ht="14.25">
      <c r="A8" s="390"/>
      <c r="B8" s="842" t="s">
        <v>611</v>
      </c>
      <c r="C8" s="842"/>
      <c r="D8" s="842"/>
      <c r="E8" s="842"/>
      <c r="F8" s="842"/>
      <c r="G8" s="842"/>
      <c r="H8" s="842"/>
      <c r="I8" s="842"/>
      <c r="J8" s="842"/>
      <c r="K8" s="842"/>
      <c r="L8" s="390"/>
    </row>
    <row r="9" spans="1:12" ht="14.25">
      <c r="A9" s="390"/>
      <c r="L9" s="390"/>
    </row>
    <row r="10" spans="1:12" ht="14.25">
      <c r="A10" s="390"/>
      <c r="B10" s="842" t="s">
        <v>612</v>
      </c>
      <c r="C10" s="842"/>
      <c r="D10" s="842"/>
      <c r="E10" s="842"/>
      <c r="F10" s="842"/>
      <c r="G10" s="842"/>
      <c r="H10" s="842"/>
      <c r="I10" s="842"/>
      <c r="J10" s="842"/>
      <c r="K10" s="842"/>
      <c r="L10" s="390"/>
    </row>
    <row r="11" spans="1:12" ht="14.25">
      <c r="A11" s="390"/>
      <c r="B11" s="518"/>
      <c r="C11" s="518"/>
      <c r="D11" s="518"/>
      <c r="E11" s="518"/>
      <c r="F11" s="518"/>
      <c r="G11" s="518"/>
      <c r="H11" s="518"/>
      <c r="I11" s="518"/>
      <c r="J11" s="518"/>
      <c r="K11" s="518"/>
      <c r="L11" s="390"/>
    </row>
    <row r="12" spans="1:12" ht="32.25" customHeight="1">
      <c r="A12" s="390"/>
      <c r="B12" s="843" t="s">
        <v>613</v>
      </c>
      <c r="C12" s="843"/>
      <c r="D12" s="843"/>
      <c r="E12" s="843"/>
      <c r="F12" s="843"/>
      <c r="G12" s="843"/>
      <c r="H12" s="843"/>
      <c r="I12" s="843"/>
      <c r="J12" s="843"/>
      <c r="K12" s="843"/>
      <c r="L12" s="390"/>
    </row>
    <row r="13" spans="1:12" ht="14.25">
      <c r="A13" s="390"/>
      <c r="L13" s="390"/>
    </row>
    <row r="14" spans="1:12" ht="14.25">
      <c r="A14" s="390"/>
      <c r="B14" s="394" t="s">
        <v>614</v>
      </c>
      <c r="L14" s="390"/>
    </row>
    <row r="15" spans="1:12" ht="14.25">
      <c r="A15" s="390"/>
      <c r="L15" s="390"/>
    </row>
    <row r="16" spans="1:12" ht="14.25">
      <c r="A16" s="390"/>
      <c r="B16" s="392" t="s">
        <v>615</v>
      </c>
      <c r="L16" s="390"/>
    </row>
    <row r="17" spans="1:12" ht="14.25">
      <c r="A17" s="390"/>
      <c r="B17" s="392" t="s">
        <v>616</v>
      </c>
      <c r="L17" s="390"/>
    </row>
    <row r="18" spans="1:12" ht="14.25">
      <c r="A18" s="390"/>
      <c r="L18" s="390"/>
    </row>
    <row r="19" spans="1:12" ht="14.25">
      <c r="A19" s="390"/>
      <c r="B19" s="394" t="s">
        <v>741</v>
      </c>
      <c r="L19" s="390"/>
    </row>
    <row r="20" spans="1:12" ht="14.25">
      <c r="A20" s="390"/>
      <c r="B20" s="394"/>
      <c r="L20" s="390"/>
    </row>
    <row r="21" spans="1:12" ht="14.25">
      <c r="A21" s="390"/>
      <c r="B21" s="392" t="s">
        <v>742</v>
      </c>
      <c r="L21" s="390"/>
    </row>
    <row r="22" spans="1:12" ht="14.25">
      <c r="A22" s="390"/>
      <c r="L22" s="390"/>
    </row>
    <row r="23" spans="1:12" ht="14.25">
      <c r="A23" s="390"/>
      <c r="B23" s="392" t="s">
        <v>617</v>
      </c>
      <c r="E23" s="392" t="s">
        <v>618</v>
      </c>
      <c r="F23" s="844">
        <v>312000000</v>
      </c>
      <c r="G23" s="844"/>
      <c r="L23" s="390"/>
    </row>
    <row r="24" spans="1:12" ht="14.25">
      <c r="A24" s="390"/>
      <c r="L24" s="390"/>
    </row>
    <row r="25" spans="1:12" ht="14.25">
      <c r="A25" s="390"/>
      <c r="C25" s="845">
        <f>F23</f>
        <v>312000000</v>
      </c>
      <c r="D25" s="845"/>
      <c r="E25" s="392" t="s">
        <v>619</v>
      </c>
      <c r="F25" s="395">
        <v>1000</v>
      </c>
      <c r="G25" s="395" t="s">
        <v>618</v>
      </c>
      <c r="H25" s="520">
        <f>F23/F25</f>
        <v>312000</v>
      </c>
      <c r="L25" s="390"/>
    </row>
    <row r="26" spans="1:12" ht="15" thickBot="1">
      <c r="A26" s="390"/>
      <c r="L26" s="390"/>
    </row>
    <row r="27" spans="1:12" ht="14.25">
      <c r="A27" s="390"/>
      <c r="B27" s="396" t="s">
        <v>614</v>
      </c>
      <c r="C27" s="397"/>
      <c r="D27" s="397"/>
      <c r="E27" s="397"/>
      <c r="F27" s="397"/>
      <c r="G27" s="397"/>
      <c r="H27" s="397"/>
      <c r="I27" s="397"/>
      <c r="J27" s="397"/>
      <c r="K27" s="398"/>
      <c r="L27" s="390"/>
    </row>
    <row r="28" spans="1:12" ht="14.25">
      <c r="A28" s="390"/>
      <c r="B28" s="399">
        <f>F23</f>
        <v>312000000</v>
      </c>
      <c r="C28" s="400" t="s">
        <v>620</v>
      </c>
      <c r="D28" s="400"/>
      <c r="E28" s="400" t="s">
        <v>619</v>
      </c>
      <c r="F28" s="523">
        <v>1000</v>
      </c>
      <c r="G28" s="523" t="s">
        <v>618</v>
      </c>
      <c r="H28" s="401">
        <f>B28/F28</f>
        <v>312000</v>
      </c>
      <c r="I28" s="400" t="s">
        <v>621</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846" t="s">
        <v>610</v>
      </c>
      <c r="C30" s="846"/>
      <c r="D30" s="846"/>
      <c r="E30" s="846"/>
      <c r="F30" s="846"/>
      <c r="G30" s="846"/>
      <c r="H30" s="846"/>
      <c r="I30" s="846"/>
      <c r="J30" s="846"/>
      <c r="K30" s="846"/>
      <c r="L30" s="390"/>
    </row>
    <row r="31" spans="1:12" ht="14.25">
      <c r="A31" s="390"/>
      <c r="B31" s="842" t="s">
        <v>622</v>
      </c>
      <c r="C31" s="842"/>
      <c r="D31" s="842"/>
      <c r="E31" s="842"/>
      <c r="F31" s="842"/>
      <c r="G31" s="842"/>
      <c r="H31" s="842"/>
      <c r="I31" s="842"/>
      <c r="J31" s="842"/>
      <c r="K31" s="842"/>
      <c r="L31" s="390"/>
    </row>
    <row r="32" spans="1:12" ht="14.25">
      <c r="A32" s="390"/>
      <c r="L32" s="390"/>
    </row>
    <row r="33" spans="1:12" ht="14.25">
      <c r="A33" s="390"/>
      <c r="B33" s="842" t="s">
        <v>623</v>
      </c>
      <c r="C33" s="842"/>
      <c r="D33" s="842"/>
      <c r="E33" s="842"/>
      <c r="F33" s="842"/>
      <c r="G33" s="842"/>
      <c r="H33" s="842"/>
      <c r="I33" s="842"/>
      <c r="J33" s="842"/>
      <c r="K33" s="842"/>
      <c r="L33" s="390"/>
    </row>
    <row r="34" spans="1:12" ht="14.25">
      <c r="A34" s="390"/>
      <c r="L34" s="390"/>
    </row>
    <row r="35" spans="1:12" ht="89.25" customHeight="1">
      <c r="A35" s="390"/>
      <c r="B35" s="843" t="s">
        <v>624</v>
      </c>
      <c r="C35" s="847"/>
      <c r="D35" s="847"/>
      <c r="E35" s="847"/>
      <c r="F35" s="847"/>
      <c r="G35" s="847"/>
      <c r="H35" s="847"/>
      <c r="I35" s="847"/>
      <c r="J35" s="847"/>
      <c r="K35" s="847"/>
      <c r="L35" s="390"/>
    </row>
    <row r="36" spans="1:12" ht="14.25">
      <c r="A36" s="390"/>
      <c r="L36" s="390"/>
    </row>
    <row r="37" spans="1:12" ht="14.25">
      <c r="A37" s="390"/>
      <c r="B37" s="394" t="s">
        <v>625</v>
      </c>
      <c r="L37" s="390"/>
    </row>
    <row r="38" spans="1:12" ht="14.25">
      <c r="A38" s="390"/>
      <c r="L38" s="390"/>
    </row>
    <row r="39" spans="1:12" ht="14.25">
      <c r="A39" s="390"/>
      <c r="B39" s="392" t="s">
        <v>626</v>
      </c>
      <c r="L39" s="390"/>
    </row>
    <row r="40" spans="1:12" ht="14.25">
      <c r="A40" s="390"/>
      <c r="L40" s="390"/>
    </row>
    <row r="41" spans="1:12" ht="14.25">
      <c r="A41" s="390"/>
      <c r="C41" s="848">
        <v>312000000</v>
      </c>
      <c r="D41" s="848"/>
      <c r="E41" s="392" t="s">
        <v>619</v>
      </c>
      <c r="F41" s="395">
        <v>1000</v>
      </c>
      <c r="G41" s="395" t="s">
        <v>618</v>
      </c>
      <c r="H41" s="406">
        <f>C41/F41</f>
        <v>312000</v>
      </c>
      <c r="L41" s="390"/>
    </row>
    <row r="42" spans="1:12" ht="14.25">
      <c r="A42" s="390"/>
      <c r="L42" s="390"/>
    </row>
    <row r="43" spans="1:12" ht="14.25">
      <c r="A43" s="390"/>
      <c r="B43" s="392" t="s">
        <v>627</v>
      </c>
      <c r="L43" s="390"/>
    </row>
    <row r="44" spans="1:12" ht="14.25">
      <c r="A44" s="390"/>
      <c r="L44" s="390"/>
    </row>
    <row r="45" spans="1:12" ht="14.25">
      <c r="A45" s="390"/>
      <c r="B45" s="392" t="s">
        <v>628</v>
      </c>
      <c r="L45" s="390"/>
    </row>
    <row r="46" spans="1:12" ht="15" thickBot="1">
      <c r="A46" s="390"/>
      <c r="L46" s="390"/>
    </row>
    <row r="47" spans="1:12" ht="14.25">
      <c r="A47" s="390"/>
      <c r="B47" s="407" t="s">
        <v>614</v>
      </c>
      <c r="C47" s="397"/>
      <c r="D47" s="397"/>
      <c r="E47" s="397"/>
      <c r="F47" s="397"/>
      <c r="G47" s="397"/>
      <c r="H47" s="397"/>
      <c r="I47" s="397"/>
      <c r="J47" s="397"/>
      <c r="K47" s="398"/>
      <c r="L47" s="390"/>
    </row>
    <row r="48" spans="1:12" ht="14.25">
      <c r="A48" s="390"/>
      <c r="B48" s="849">
        <v>312000000</v>
      </c>
      <c r="C48" s="844"/>
      <c r="D48" s="400" t="s">
        <v>629</v>
      </c>
      <c r="E48" s="400" t="s">
        <v>619</v>
      </c>
      <c r="F48" s="523">
        <v>1000</v>
      </c>
      <c r="G48" s="523" t="s">
        <v>618</v>
      </c>
      <c r="H48" s="401">
        <f>B48/F48</f>
        <v>312000</v>
      </c>
      <c r="I48" s="400" t="s">
        <v>630</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631</v>
      </c>
      <c r="D50" s="400"/>
      <c r="E50" s="400" t="s">
        <v>619</v>
      </c>
      <c r="F50" s="401">
        <f>H48</f>
        <v>312000</v>
      </c>
      <c r="G50" s="850" t="s">
        <v>632</v>
      </c>
      <c r="H50" s="851"/>
      <c r="I50" s="523" t="s">
        <v>618</v>
      </c>
      <c r="J50" s="410">
        <f>B50/F50</f>
        <v>0.16025641025641027</v>
      </c>
      <c r="K50" s="402"/>
      <c r="L50" s="390"/>
    </row>
    <row r="51" spans="1:15" ht="15" thickBot="1">
      <c r="A51" s="390"/>
      <c r="B51" s="403"/>
      <c r="C51" s="404"/>
      <c r="D51" s="404"/>
      <c r="E51" s="404"/>
      <c r="F51" s="404"/>
      <c r="G51" s="404"/>
      <c r="H51" s="404"/>
      <c r="I51" s="852" t="s">
        <v>633</v>
      </c>
      <c r="J51" s="852"/>
      <c r="K51" s="853"/>
      <c r="L51" s="390"/>
      <c r="O51" s="411"/>
    </row>
    <row r="52" spans="1:12" ht="40.5" customHeight="1">
      <c r="A52" s="390"/>
      <c r="B52" s="846" t="s">
        <v>610</v>
      </c>
      <c r="C52" s="846"/>
      <c r="D52" s="846"/>
      <c r="E52" s="846"/>
      <c r="F52" s="846"/>
      <c r="G52" s="846"/>
      <c r="H52" s="846"/>
      <c r="I52" s="846"/>
      <c r="J52" s="846"/>
      <c r="K52" s="846"/>
      <c r="L52" s="390"/>
    </row>
    <row r="53" spans="1:12" ht="14.25">
      <c r="A53" s="390"/>
      <c r="B53" s="842" t="s">
        <v>634</v>
      </c>
      <c r="C53" s="842"/>
      <c r="D53" s="842"/>
      <c r="E53" s="842"/>
      <c r="F53" s="842"/>
      <c r="G53" s="842"/>
      <c r="H53" s="842"/>
      <c r="I53" s="842"/>
      <c r="J53" s="842"/>
      <c r="K53" s="842"/>
      <c r="L53" s="390"/>
    </row>
    <row r="54" spans="1:12" ht="14.25">
      <c r="A54" s="390"/>
      <c r="B54" s="518"/>
      <c r="C54" s="518"/>
      <c r="D54" s="518"/>
      <c r="E54" s="518"/>
      <c r="F54" s="518"/>
      <c r="G54" s="518"/>
      <c r="H54" s="518"/>
      <c r="I54" s="518"/>
      <c r="J54" s="518"/>
      <c r="K54" s="518"/>
      <c r="L54" s="390"/>
    </row>
    <row r="55" spans="1:12" ht="14.25">
      <c r="A55" s="390"/>
      <c r="B55" s="838" t="s">
        <v>635</v>
      </c>
      <c r="C55" s="838"/>
      <c r="D55" s="838"/>
      <c r="E55" s="838"/>
      <c r="F55" s="838"/>
      <c r="G55" s="838"/>
      <c r="H55" s="838"/>
      <c r="I55" s="838"/>
      <c r="J55" s="838"/>
      <c r="K55" s="838"/>
      <c r="L55" s="390"/>
    </row>
    <row r="56" spans="1:12" ht="15" customHeight="1">
      <c r="A56" s="390"/>
      <c r="L56" s="390"/>
    </row>
    <row r="57" spans="1:24" ht="74.25" customHeight="1">
      <c r="A57" s="390"/>
      <c r="B57" s="843" t="s">
        <v>636</v>
      </c>
      <c r="C57" s="847"/>
      <c r="D57" s="847"/>
      <c r="E57" s="847"/>
      <c r="F57" s="847"/>
      <c r="G57" s="847"/>
      <c r="H57" s="847"/>
      <c r="I57" s="847"/>
      <c r="J57" s="847"/>
      <c r="K57" s="847"/>
      <c r="L57" s="390"/>
      <c r="M57" s="412"/>
      <c r="N57" s="413"/>
      <c r="O57" s="413"/>
      <c r="P57" s="413"/>
      <c r="Q57" s="413"/>
      <c r="R57" s="413"/>
      <c r="S57" s="413"/>
      <c r="T57" s="413"/>
      <c r="U57" s="413"/>
      <c r="V57" s="413"/>
      <c r="W57" s="413"/>
      <c r="X57" s="413"/>
    </row>
    <row r="58" spans="1:24" ht="15" customHeight="1">
      <c r="A58" s="390"/>
      <c r="B58" s="843"/>
      <c r="C58" s="847"/>
      <c r="D58" s="847"/>
      <c r="E58" s="847"/>
      <c r="F58" s="847"/>
      <c r="G58" s="847"/>
      <c r="H58" s="847"/>
      <c r="I58" s="847"/>
      <c r="J58" s="847"/>
      <c r="K58" s="847"/>
      <c r="L58" s="390"/>
      <c r="M58" s="412"/>
      <c r="N58" s="413"/>
      <c r="O58" s="413"/>
      <c r="P58" s="413"/>
      <c r="Q58" s="413"/>
      <c r="R58" s="413"/>
      <c r="S58" s="413"/>
      <c r="T58" s="413"/>
      <c r="U58" s="413"/>
      <c r="V58" s="413"/>
      <c r="W58" s="413"/>
      <c r="X58" s="413"/>
    </row>
    <row r="59" spans="1:24" ht="14.25">
      <c r="A59" s="390"/>
      <c r="B59" s="394" t="s">
        <v>625</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637</v>
      </c>
      <c r="L61" s="390"/>
      <c r="M61" s="413"/>
      <c r="N61" s="413"/>
      <c r="O61" s="413"/>
      <c r="P61" s="413"/>
      <c r="Q61" s="413"/>
      <c r="R61" s="413"/>
      <c r="S61" s="413"/>
      <c r="T61" s="413"/>
      <c r="U61" s="413"/>
      <c r="V61" s="413"/>
      <c r="W61" s="413"/>
      <c r="X61" s="413"/>
    </row>
    <row r="62" spans="1:24" ht="14.25">
      <c r="A62" s="390"/>
      <c r="B62" s="392" t="s">
        <v>743</v>
      </c>
      <c r="L62" s="390"/>
      <c r="M62" s="413"/>
      <c r="N62" s="413"/>
      <c r="O62" s="413"/>
      <c r="P62" s="413"/>
      <c r="Q62" s="413"/>
      <c r="R62" s="413"/>
      <c r="S62" s="413"/>
      <c r="T62" s="413"/>
      <c r="U62" s="413"/>
      <c r="V62" s="413"/>
      <c r="W62" s="413"/>
      <c r="X62" s="413"/>
    </row>
    <row r="63" spans="1:24" ht="14.25">
      <c r="A63" s="390"/>
      <c r="B63" s="392" t="s">
        <v>744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638</v>
      </c>
      <c r="L65" s="390"/>
      <c r="M65" s="413"/>
      <c r="N65" s="413"/>
      <c r="O65" s="413"/>
      <c r="P65" s="413"/>
      <c r="Q65" s="413"/>
      <c r="R65" s="413"/>
      <c r="S65" s="413"/>
      <c r="T65" s="413"/>
      <c r="U65" s="413"/>
      <c r="V65" s="413"/>
      <c r="W65" s="413"/>
      <c r="X65" s="413"/>
    </row>
    <row r="66" spans="1:24" ht="14.25">
      <c r="A66" s="390"/>
      <c r="B66" s="392" t="s">
        <v>639</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640</v>
      </c>
      <c r="L68" s="390"/>
      <c r="M68" s="414"/>
      <c r="N68" s="415"/>
      <c r="O68" s="415"/>
      <c r="P68" s="415"/>
      <c r="Q68" s="415"/>
      <c r="R68" s="415"/>
      <c r="S68" s="415"/>
      <c r="T68" s="415"/>
      <c r="U68" s="415"/>
      <c r="V68" s="415"/>
      <c r="W68" s="415"/>
      <c r="X68" s="413"/>
    </row>
    <row r="69" spans="1:24" ht="14.25">
      <c r="A69" s="390"/>
      <c r="B69" s="392" t="s">
        <v>745</v>
      </c>
      <c r="L69" s="390"/>
      <c r="M69" s="413"/>
      <c r="N69" s="413"/>
      <c r="O69" s="413"/>
      <c r="P69" s="413"/>
      <c r="Q69" s="413"/>
      <c r="R69" s="413"/>
      <c r="S69" s="413"/>
      <c r="T69" s="413"/>
      <c r="U69" s="413"/>
      <c r="V69" s="413"/>
      <c r="W69" s="413"/>
      <c r="X69" s="413"/>
    </row>
    <row r="70" spans="1:24" ht="14.25">
      <c r="A70" s="390"/>
      <c r="B70" s="392" t="s">
        <v>746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614</v>
      </c>
      <c r="C72" s="397"/>
      <c r="D72" s="397"/>
      <c r="E72" s="397"/>
      <c r="F72" s="397"/>
      <c r="G72" s="397"/>
      <c r="H72" s="397"/>
      <c r="I72" s="397"/>
      <c r="J72" s="397"/>
      <c r="K72" s="398"/>
      <c r="L72" s="416"/>
    </row>
    <row r="73" spans="1:12" ht="14.25">
      <c r="A73" s="390"/>
      <c r="B73" s="408"/>
      <c r="C73" s="400" t="s">
        <v>620</v>
      </c>
      <c r="D73" s="400"/>
      <c r="E73" s="400"/>
      <c r="F73" s="400"/>
      <c r="G73" s="400"/>
      <c r="H73" s="400"/>
      <c r="I73" s="400"/>
      <c r="J73" s="400"/>
      <c r="K73" s="402"/>
      <c r="L73" s="416"/>
    </row>
    <row r="74" spans="1:12" ht="14.25">
      <c r="A74" s="390"/>
      <c r="B74" s="408" t="s">
        <v>641</v>
      </c>
      <c r="C74" s="844">
        <v>312000000</v>
      </c>
      <c r="D74" s="844"/>
      <c r="E74" s="523" t="s">
        <v>619</v>
      </c>
      <c r="F74" s="523">
        <v>1000</v>
      </c>
      <c r="G74" s="523" t="s">
        <v>618</v>
      </c>
      <c r="H74" s="524">
        <f>C74/F74</f>
        <v>312000</v>
      </c>
      <c r="I74" s="400" t="s">
        <v>642</v>
      </c>
      <c r="J74" s="400"/>
      <c r="K74" s="402"/>
      <c r="L74" s="416"/>
    </row>
    <row r="75" spans="1:12" ht="14.25">
      <c r="A75" s="390"/>
      <c r="B75" s="408"/>
      <c r="C75" s="400"/>
      <c r="D75" s="400"/>
      <c r="E75" s="523"/>
      <c r="F75" s="400"/>
      <c r="G75" s="400"/>
      <c r="H75" s="400"/>
      <c r="I75" s="400"/>
      <c r="J75" s="400"/>
      <c r="K75" s="402"/>
      <c r="L75" s="416"/>
    </row>
    <row r="76" spans="1:12" ht="14.25">
      <c r="A76" s="390"/>
      <c r="B76" s="408"/>
      <c r="C76" s="400" t="s">
        <v>643</v>
      </c>
      <c r="D76" s="400"/>
      <c r="E76" s="523"/>
      <c r="F76" s="400" t="s">
        <v>642</v>
      </c>
      <c r="G76" s="400"/>
      <c r="H76" s="400"/>
      <c r="I76" s="400"/>
      <c r="J76" s="400"/>
      <c r="K76" s="402"/>
      <c r="L76" s="416"/>
    </row>
    <row r="77" spans="1:12" ht="14.25">
      <c r="A77" s="390"/>
      <c r="B77" s="408" t="s">
        <v>644</v>
      </c>
      <c r="C77" s="844">
        <v>50000</v>
      </c>
      <c r="D77" s="844"/>
      <c r="E77" s="523" t="s">
        <v>619</v>
      </c>
      <c r="F77" s="524">
        <f>H74</f>
        <v>312000</v>
      </c>
      <c r="G77" s="523" t="s">
        <v>618</v>
      </c>
      <c r="H77" s="410">
        <f>C77/F77</f>
        <v>0.16025641025641027</v>
      </c>
      <c r="I77" s="400" t="s">
        <v>645</v>
      </c>
      <c r="J77" s="400"/>
      <c r="K77" s="402"/>
      <c r="L77" s="416"/>
    </row>
    <row r="78" spans="1:12" ht="14.25">
      <c r="A78" s="390"/>
      <c r="B78" s="408"/>
      <c r="C78" s="400"/>
      <c r="D78" s="400"/>
      <c r="E78" s="523"/>
      <c r="F78" s="400"/>
      <c r="G78" s="400"/>
      <c r="H78" s="400"/>
      <c r="I78" s="400"/>
      <c r="J78" s="400"/>
      <c r="K78" s="402"/>
      <c r="L78" s="416"/>
    </row>
    <row r="79" spans="1:12" ht="14.25">
      <c r="A79" s="390"/>
      <c r="B79" s="417"/>
      <c r="C79" s="418" t="s">
        <v>646</v>
      </c>
      <c r="D79" s="418"/>
      <c r="E79" s="525"/>
      <c r="F79" s="418"/>
      <c r="G79" s="418"/>
      <c r="H79" s="418"/>
      <c r="I79" s="418"/>
      <c r="J79" s="418"/>
      <c r="K79" s="419"/>
      <c r="L79" s="416"/>
    </row>
    <row r="80" spans="1:12" ht="14.25">
      <c r="A80" s="390"/>
      <c r="B80" s="408" t="s">
        <v>647</v>
      </c>
      <c r="C80" s="844">
        <v>100000</v>
      </c>
      <c r="D80" s="844"/>
      <c r="E80" s="523" t="s">
        <v>272</v>
      </c>
      <c r="F80" s="523">
        <v>0.115</v>
      </c>
      <c r="G80" s="523" t="s">
        <v>618</v>
      </c>
      <c r="H80" s="524">
        <f>C80*F80</f>
        <v>11500</v>
      </c>
      <c r="I80" s="400" t="s">
        <v>648</v>
      </c>
      <c r="J80" s="400"/>
      <c r="K80" s="402"/>
      <c r="L80" s="416"/>
    </row>
    <row r="81" spans="1:12" ht="14.25">
      <c r="A81" s="390"/>
      <c r="B81" s="408"/>
      <c r="C81" s="400"/>
      <c r="D81" s="400"/>
      <c r="E81" s="523"/>
      <c r="F81" s="400"/>
      <c r="G81" s="400"/>
      <c r="H81" s="400"/>
      <c r="I81" s="400"/>
      <c r="J81" s="400"/>
      <c r="K81" s="402"/>
      <c r="L81" s="416"/>
    </row>
    <row r="82" spans="1:12" ht="14.25">
      <c r="A82" s="390"/>
      <c r="B82" s="417"/>
      <c r="C82" s="418" t="s">
        <v>649</v>
      </c>
      <c r="D82" s="418"/>
      <c r="E82" s="525"/>
      <c r="F82" s="418" t="s">
        <v>645</v>
      </c>
      <c r="G82" s="418"/>
      <c r="H82" s="418"/>
      <c r="I82" s="418"/>
      <c r="J82" s="418" t="s">
        <v>650</v>
      </c>
      <c r="K82" s="419"/>
      <c r="L82" s="416"/>
    </row>
    <row r="83" spans="1:12" ht="14.25">
      <c r="A83" s="390"/>
      <c r="B83" s="408" t="s">
        <v>651</v>
      </c>
      <c r="C83" s="854">
        <f>H80</f>
        <v>11500</v>
      </c>
      <c r="D83" s="854"/>
      <c r="E83" s="523" t="s">
        <v>272</v>
      </c>
      <c r="F83" s="410">
        <f>H77</f>
        <v>0.16025641025641027</v>
      </c>
      <c r="G83" s="523" t="s">
        <v>619</v>
      </c>
      <c r="H83" s="523">
        <v>1000</v>
      </c>
      <c r="I83" s="523" t="s">
        <v>618</v>
      </c>
      <c r="J83" s="526">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846" t="s">
        <v>610</v>
      </c>
      <c r="C85" s="846"/>
      <c r="D85" s="846"/>
      <c r="E85" s="846"/>
      <c r="F85" s="846"/>
      <c r="G85" s="846"/>
      <c r="H85" s="846"/>
      <c r="I85" s="846"/>
      <c r="J85" s="846"/>
      <c r="K85" s="846"/>
      <c r="L85" s="390"/>
    </row>
    <row r="86" spans="1:12" ht="14.25">
      <c r="A86" s="390"/>
      <c r="B86" s="838" t="s">
        <v>652</v>
      </c>
      <c r="C86" s="838"/>
      <c r="D86" s="838"/>
      <c r="E86" s="838"/>
      <c r="F86" s="838"/>
      <c r="G86" s="838"/>
      <c r="H86" s="838"/>
      <c r="I86" s="838"/>
      <c r="J86" s="838"/>
      <c r="K86" s="838"/>
      <c r="L86" s="390"/>
    </row>
    <row r="87" spans="1:12" ht="14.25">
      <c r="A87" s="390"/>
      <c r="B87" s="424"/>
      <c r="C87" s="424"/>
      <c r="D87" s="424"/>
      <c r="E87" s="424"/>
      <c r="F87" s="424"/>
      <c r="G87" s="424"/>
      <c r="H87" s="424"/>
      <c r="I87" s="424"/>
      <c r="J87" s="424"/>
      <c r="K87" s="424"/>
      <c r="L87" s="390"/>
    </row>
    <row r="88" spans="1:12" ht="14.25">
      <c r="A88" s="390"/>
      <c r="B88" s="838" t="s">
        <v>653</v>
      </c>
      <c r="C88" s="838"/>
      <c r="D88" s="838"/>
      <c r="E88" s="838"/>
      <c r="F88" s="838"/>
      <c r="G88" s="838"/>
      <c r="H88" s="838"/>
      <c r="I88" s="838"/>
      <c r="J88" s="838"/>
      <c r="K88" s="838"/>
      <c r="L88" s="390"/>
    </row>
    <row r="89" spans="1:12" ht="14.25">
      <c r="A89" s="390"/>
      <c r="B89" s="517"/>
      <c r="C89" s="517"/>
      <c r="D89" s="517"/>
      <c r="E89" s="517"/>
      <c r="F89" s="517"/>
      <c r="G89" s="517"/>
      <c r="H89" s="517"/>
      <c r="I89" s="517"/>
      <c r="J89" s="517"/>
      <c r="K89" s="517"/>
      <c r="L89" s="390"/>
    </row>
    <row r="90" spans="1:12" ht="45" customHeight="1">
      <c r="A90" s="390"/>
      <c r="B90" s="843" t="s">
        <v>654</v>
      </c>
      <c r="C90" s="843"/>
      <c r="D90" s="843"/>
      <c r="E90" s="843"/>
      <c r="F90" s="843"/>
      <c r="G90" s="843"/>
      <c r="H90" s="843"/>
      <c r="I90" s="843"/>
      <c r="J90" s="843"/>
      <c r="K90" s="843"/>
      <c r="L90" s="390"/>
    </row>
    <row r="91" spans="1:12" ht="15" customHeight="1" thickBot="1">
      <c r="A91" s="390"/>
      <c r="L91" s="390"/>
    </row>
    <row r="92" spans="1:12" ht="15" customHeight="1">
      <c r="A92" s="390"/>
      <c r="B92" s="425" t="s">
        <v>614</v>
      </c>
      <c r="C92" s="426"/>
      <c r="D92" s="426"/>
      <c r="E92" s="426"/>
      <c r="F92" s="426"/>
      <c r="G92" s="426"/>
      <c r="H92" s="426"/>
      <c r="I92" s="426"/>
      <c r="J92" s="426"/>
      <c r="K92" s="427"/>
      <c r="L92" s="390"/>
    </row>
    <row r="93" spans="1:12" ht="15" customHeight="1">
      <c r="A93" s="390"/>
      <c r="B93" s="428"/>
      <c r="C93" s="521" t="s">
        <v>620</v>
      </c>
      <c r="D93" s="521"/>
      <c r="E93" s="521"/>
      <c r="F93" s="521"/>
      <c r="G93" s="521"/>
      <c r="H93" s="521"/>
      <c r="I93" s="521"/>
      <c r="J93" s="521"/>
      <c r="K93" s="429"/>
      <c r="L93" s="390"/>
    </row>
    <row r="94" spans="1:12" ht="15" customHeight="1">
      <c r="A94" s="390"/>
      <c r="B94" s="428" t="s">
        <v>641</v>
      </c>
      <c r="C94" s="844">
        <v>312000000</v>
      </c>
      <c r="D94" s="844"/>
      <c r="E94" s="523" t="s">
        <v>619</v>
      </c>
      <c r="F94" s="523">
        <v>1000</v>
      </c>
      <c r="G94" s="523" t="s">
        <v>618</v>
      </c>
      <c r="H94" s="524">
        <f>C94/F94</f>
        <v>312000</v>
      </c>
      <c r="I94" s="521" t="s">
        <v>642</v>
      </c>
      <c r="J94" s="521"/>
      <c r="K94" s="429"/>
      <c r="L94" s="390"/>
    </row>
    <row r="95" spans="1:12" ht="15" customHeight="1">
      <c r="A95" s="390"/>
      <c r="B95" s="428"/>
      <c r="C95" s="521"/>
      <c r="D95" s="521"/>
      <c r="E95" s="523"/>
      <c r="F95" s="521"/>
      <c r="G95" s="521"/>
      <c r="H95" s="521"/>
      <c r="I95" s="521"/>
      <c r="J95" s="521"/>
      <c r="K95" s="429"/>
      <c r="L95" s="390"/>
    </row>
    <row r="96" spans="1:12" ht="15" customHeight="1">
      <c r="A96" s="390"/>
      <c r="B96" s="428"/>
      <c r="C96" s="521" t="s">
        <v>643</v>
      </c>
      <c r="D96" s="521"/>
      <c r="E96" s="523"/>
      <c r="F96" s="521" t="s">
        <v>642</v>
      </c>
      <c r="G96" s="521"/>
      <c r="H96" s="521"/>
      <c r="I96" s="521"/>
      <c r="J96" s="521"/>
      <c r="K96" s="429"/>
      <c r="L96" s="390"/>
    </row>
    <row r="97" spans="1:12" ht="15" customHeight="1">
      <c r="A97" s="390"/>
      <c r="B97" s="428" t="s">
        <v>644</v>
      </c>
      <c r="C97" s="844">
        <v>50000</v>
      </c>
      <c r="D97" s="844"/>
      <c r="E97" s="523" t="s">
        <v>619</v>
      </c>
      <c r="F97" s="524">
        <f>H94</f>
        <v>312000</v>
      </c>
      <c r="G97" s="523" t="s">
        <v>618</v>
      </c>
      <c r="H97" s="410">
        <f>C97/F97</f>
        <v>0.16025641025641027</v>
      </c>
      <c r="I97" s="521" t="s">
        <v>645</v>
      </c>
      <c r="J97" s="521"/>
      <c r="K97" s="429"/>
      <c r="L97" s="390"/>
    </row>
    <row r="98" spans="1:12" ht="15" customHeight="1">
      <c r="A98" s="390"/>
      <c r="B98" s="428"/>
      <c r="C98" s="521"/>
      <c r="D98" s="521"/>
      <c r="E98" s="523"/>
      <c r="F98" s="521"/>
      <c r="G98" s="521"/>
      <c r="H98" s="521"/>
      <c r="I98" s="521"/>
      <c r="J98" s="521"/>
      <c r="K98" s="429"/>
      <c r="L98" s="390"/>
    </row>
    <row r="99" spans="1:12" ht="15" customHeight="1">
      <c r="A99" s="390"/>
      <c r="B99" s="430"/>
      <c r="C99" s="431" t="s">
        <v>655</v>
      </c>
      <c r="D99" s="431"/>
      <c r="E99" s="525"/>
      <c r="F99" s="431"/>
      <c r="G99" s="431"/>
      <c r="H99" s="431"/>
      <c r="I99" s="431"/>
      <c r="J99" s="431"/>
      <c r="K99" s="432"/>
      <c r="L99" s="390"/>
    </row>
    <row r="100" spans="1:12" ht="15" customHeight="1">
      <c r="A100" s="390"/>
      <c r="B100" s="428" t="s">
        <v>647</v>
      </c>
      <c r="C100" s="844">
        <v>2500000</v>
      </c>
      <c r="D100" s="844"/>
      <c r="E100" s="523" t="s">
        <v>272</v>
      </c>
      <c r="F100" s="433">
        <v>0.3</v>
      </c>
      <c r="G100" s="523" t="s">
        <v>618</v>
      </c>
      <c r="H100" s="524">
        <f>C100*F100</f>
        <v>750000</v>
      </c>
      <c r="I100" s="521" t="s">
        <v>648</v>
      </c>
      <c r="J100" s="521"/>
      <c r="K100" s="429"/>
      <c r="L100" s="390"/>
    </row>
    <row r="101" spans="1:12" ht="15" customHeight="1">
      <c r="A101" s="390"/>
      <c r="B101" s="428"/>
      <c r="C101" s="521"/>
      <c r="D101" s="521"/>
      <c r="E101" s="523"/>
      <c r="F101" s="521"/>
      <c r="G101" s="521"/>
      <c r="H101" s="521"/>
      <c r="I101" s="521"/>
      <c r="J101" s="521"/>
      <c r="K101" s="429"/>
      <c r="L101" s="390"/>
    </row>
    <row r="102" spans="1:12" ht="15" customHeight="1">
      <c r="A102" s="390"/>
      <c r="B102" s="430"/>
      <c r="C102" s="431" t="s">
        <v>649</v>
      </c>
      <c r="D102" s="431"/>
      <c r="E102" s="525"/>
      <c r="F102" s="431" t="s">
        <v>645</v>
      </c>
      <c r="G102" s="431"/>
      <c r="H102" s="431"/>
      <c r="I102" s="431"/>
      <c r="J102" s="431" t="s">
        <v>650</v>
      </c>
      <c r="K102" s="432"/>
      <c r="L102" s="390"/>
    </row>
    <row r="103" spans="1:12" ht="15" customHeight="1">
      <c r="A103" s="390"/>
      <c r="B103" s="428" t="s">
        <v>651</v>
      </c>
      <c r="C103" s="854">
        <f>H100</f>
        <v>750000</v>
      </c>
      <c r="D103" s="854"/>
      <c r="E103" s="523" t="s">
        <v>272</v>
      </c>
      <c r="F103" s="410">
        <f>H97</f>
        <v>0.16025641025641027</v>
      </c>
      <c r="G103" s="523" t="s">
        <v>619</v>
      </c>
      <c r="H103" s="523">
        <v>1000</v>
      </c>
      <c r="I103" s="523" t="s">
        <v>618</v>
      </c>
      <c r="J103" s="526">
        <f>C103*F103/H103</f>
        <v>120.19230769230771</v>
      </c>
      <c r="K103" s="429"/>
      <c r="L103" s="390"/>
    </row>
    <row r="104" spans="1:12" ht="15" customHeight="1" thickBot="1">
      <c r="A104" s="390"/>
      <c r="B104" s="434"/>
      <c r="C104" s="420"/>
      <c r="D104" s="420"/>
      <c r="E104" s="421"/>
      <c r="F104" s="422"/>
      <c r="G104" s="421"/>
      <c r="H104" s="421"/>
      <c r="I104" s="421"/>
      <c r="J104" s="423"/>
      <c r="K104" s="522"/>
      <c r="L104" s="390"/>
    </row>
    <row r="105" spans="1:12" ht="40.5" customHeight="1">
      <c r="A105" s="390"/>
      <c r="B105" s="846" t="s">
        <v>610</v>
      </c>
      <c r="C105" s="855"/>
      <c r="D105" s="855"/>
      <c r="E105" s="855"/>
      <c r="F105" s="855"/>
      <c r="G105" s="855"/>
      <c r="H105" s="855"/>
      <c r="I105" s="855"/>
      <c r="J105" s="855"/>
      <c r="K105" s="855"/>
      <c r="L105" s="390"/>
    </row>
    <row r="106" spans="1:12" ht="15" customHeight="1">
      <c r="A106" s="390"/>
      <c r="B106" s="856" t="s">
        <v>656</v>
      </c>
      <c r="C106" s="839"/>
      <c r="D106" s="839"/>
      <c r="E106" s="839"/>
      <c r="F106" s="839"/>
      <c r="G106" s="839"/>
      <c r="H106" s="839"/>
      <c r="I106" s="839"/>
      <c r="J106" s="839"/>
      <c r="K106" s="839"/>
      <c r="L106" s="390"/>
    </row>
    <row r="107" spans="1:12" ht="15" customHeight="1">
      <c r="A107" s="390"/>
      <c r="B107" s="521"/>
      <c r="C107" s="435"/>
      <c r="D107" s="435"/>
      <c r="E107" s="523"/>
      <c r="F107" s="410"/>
      <c r="G107" s="523"/>
      <c r="H107" s="523"/>
      <c r="I107" s="523"/>
      <c r="J107" s="526"/>
      <c r="K107" s="521"/>
      <c r="L107" s="390"/>
    </row>
    <row r="108" spans="1:12" ht="15" customHeight="1">
      <c r="A108" s="390"/>
      <c r="B108" s="856" t="s">
        <v>657</v>
      </c>
      <c r="C108" s="857"/>
      <c r="D108" s="857"/>
      <c r="E108" s="857"/>
      <c r="F108" s="857"/>
      <c r="G108" s="857"/>
      <c r="H108" s="857"/>
      <c r="I108" s="857"/>
      <c r="J108" s="857"/>
      <c r="K108" s="857"/>
      <c r="L108" s="390"/>
    </row>
    <row r="109" spans="1:12" ht="15" customHeight="1">
      <c r="A109" s="390"/>
      <c r="B109" s="521"/>
      <c r="C109" s="435"/>
      <c r="D109" s="435"/>
      <c r="E109" s="523"/>
      <c r="F109" s="410"/>
      <c r="G109" s="523"/>
      <c r="H109" s="523"/>
      <c r="I109" s="523"/>
      <c r="J109" s="526"/>
      <c r="K109" s="521"/>
      <c r="L109" s="390"/>
    </row>
    <row r="110" spans="1:12" ht="59.25" customHeight="1">
      <c r="A110" s="390"/>
      <c r="B110" s="858" t="s">
        <v>658</v>
      </c>
      <c r="C110" s="847"/>
      <c r="D110" s="847"/>
      <c r="E110" s="847"/>
      <c r="F110" s="847"/>
      <c r="G110" s="847"/>
      <c r="H110" s="847"/>
      <c r="I110" s="847"/>
      <c r="J110" s="847"/>
      <c r="K110" s="847"/>
      <c r="L110" s="390"/>
    </row>
    <row r="111" spans="1:12" ht="15" thickBot="1">
      <c r="A111" s="390"/>
      <c r="B111" s="518"/>
      <c r="C111" s="518"/>
      <c r="D111" s="518"/>
      <c r="E111" s="518"/>
      <c r="F111" s="518"/>
      <c r="G111" s="518"/>
      <c r="H111" s="518"/>
      <c r="I111" s="518"/>
      <c r="J111" s="518"/>
      <c r="K111" s="518"/>
      <c r="L111" s="436"/>
    </row>
    <row r="112" spans="1:12" ht="14.25">
      <c r="A112" s="390"/>
      <c r="B112" s="396" t="s">
        <v>614</v>
      </c>
      <c r="C112" s="397"/>
      <c r="D112" s="397"/>
      <c r="E112" s="397"/>
      <c r="F112" s="397"/>
      <c r="G112" s="397"/>
      <c r="H112" s="397"/>
      <c r="I112" s="397"/>
      <c r="J112" s="397"/>
      <c r="K112" s="398"/>
      <c r="L112" s="390"/>
    </row>
    <row r="113" spans="1:12" ht="14.25">
      <c r="A113" s="390"/>
      <c r="B113" s="408"/>
      <c r="C113" s="400" t="s">
        <v>620</v>
      </c>
      <c r="D113" s="400"/>
      <c r="E113" s="400"/>
      <c r="F113" s="400"/>
      <c r="G113" s="400"/>
      <c r="H113" s="400"/>
      <c r="I113" s="400"/>
      <c r="J113" s="400"/>
      <c r="K113" s="402"/>
      <c r="L113" s="390"/>
    </row>
    <row r="114" spans="1:12" ht="14.25">
      <c r="A114" s="390"/>
      <c r="B114" s="408" t="s">
        <v>641</v>
      </c>
      <c r="C114" s="844">
        <v>312000000</v>
      </c>
      <c r="D114" s="844"/>
      <c r="E114" s="523" t="s">
        <v>619</v>
      </c>
      <c r="F114" s="523">
        <v>1000</v>
      </c>
      <c r="G114" s="523" t="s">
        <v>618</v>
      </c>
      <c r="H114" s="524">
        <f>C114/F114</f>
        <v>312000</v>
      </c>
      <c r="I114" s="400" t="s">
        <v>642</v>
      </c>
      <c r="J114" s="400"/>
      <c r="K114" s="402"/>
      <c r="L114" s="390"/>
    </row>
    <row r="115" spans="1:12" ht="14.25">
      <c r="A115" s="390"/>
      <c r="B115" s="408"/>
      <c r="C115" s="400"/>
      <c r="D115" s="400"/>
      <c r="E115" s="523"/>
      <c r="F115" s="400"/>
      <c r="G115" s="400"/>
      <c r="H115" s="400"/>
      <c r="I115" s="400"/>
      <c r="J115" s="400"/>
      <c r="K115" s="402"/>
      <c r="L115" s="390"/>
    </row>
    <row r="116" spans="1:12" ht="14.25">
      <c r="A116" s="390"/>
      <c r="B116" s="408"/>
      <c r="C116" s="400" t="s">
        <v>643</v>
      </c>
      <c r="D116" s="400"/>
      <c r="E116" s="523"/>
      <c r="F116" s="400" t="s">
        <v>642</v>
      </c>
      <c r="G116" s="400"/>
      <c r="H116" s="400"/>
      <c r="I116" s="400"/>
      <c r="J116" s="400"/>
      <c r="K116" s="402"/>
      <c r="L116" s="390"/>
    </row>
    <row r="117" spans="1:12" ht="14.25">
      <c r="A117" s="390"/>
      <c r="B117" s="408" t="s">
        <v>644</v>
      </c>
      <c r="C117" s="844">
        <v>50000</v>
      </c>
      <c r="D117" s="844"/>
      <c r="E117" s="523" t="s">
        <v>619</v>
      </c>
      <c r="F117" s="524">
        <f>H114</f>
        <v>312000</v>
      </c>
      <c r="G117" s="523" t="s">
        <v>618</v>
      </c>
      <c r="H117" s="410">
        <f>C117/F117</f>
        <v>0.16025641025641027</v>
      </c>
      <c r="I117" s="400" t="s">
        <v>645</v>
      </c>
      <c r="J117" s="400"/>
      <c r="K117" s="402"/>
      <c r="L117" s="390"/>
    </row>
    <row r="118" spans="1:12" ht="14.25">
      <c r="A118" s="390"/>
      <c r="B118" s="408"/>
      <c r="C118" s="400"/>
      <c r="D118" s="400"/>
      <c r="E118" s="523"/>
      <c r="F118" s="400"/>
      <c r="G118" s="400"/>
      <c r="H118" s="400"/>
      <c r="I118" s="400"/>
      <c r="J118" s="400"/>
      <c r="K118" s="402"/>
      <c r="L118" s="390"/>
    </row>
    <row r="119" spans="1:12" ht="14.25">
      <c r="A119" s="390"/>
      <c r="B119" s="417"/>
      <c r="C119" s="418" t="s">
        <v>655</v>
      </c>
      <c r="D119" s="418"/>
      <c r="E119" s="525"/>
      <c r="F119" s="418"/>
      <c r="G119" s="418"/>
      <c r="H119" s="418"/>
      <c r="I119" s="418"/>
      <c r="J119" s="418"/>
      <c r="K119" s="419"/>
      <c r="L119" s="390"/>
    </row>
    <row r="120" spans="1:12" ht="14.25">
      <c r="A120" s="390"/>
      <c r="B120" s="408" t="s">
        <v>647</v>
      </c>
      <c r="C120" s="844">
        <v>2500000</v>
      </c>
      <c r="D120" s="844"/>
      <c r="E120" s="523" t="s">
        <v>272</v>
      </c>
      <c r="F120" s="433">
        <v>0.25</v>
      </c>
      <c r="G120" s="523" t="s">
        <v>618</v>
      </c>
      <c r="H120" s="524">
        <f>C120*F120</f>
        <v>625000</v>
      </c>
      <c r="I120" s="400" t="s">
        <v>648</v>
      </c>
      <c r="J120" s="400"/>
      <c r="K120" s="402"/>
      <c r="L120" s="390"/>
    </row>
    <row r="121" spans="1:12" ht="14.25">
      <c r="A121" s="390"/>
      <c r="B121" s="408"/>
      <c r="C121" s="400"/>
      <c r="D121" s="400"/>
      <c r="E121" s="523"/>
      <c r="F121" s="400"/>
      <c r="G121" s="400"/>
      <c r="H121" s="400"/>
      <c r="I121" s="400"/>
      <c r="J121" s="400"/>
      <c r="K121" s="402"/>
      <c r="L121" s="390"/>
    </row>
    <row r="122" spans="1:12" ht="14.25">
      <c r="A122" s="390"/>
      <c r="B122" s="417"/>
      <c r="C122" s="418" t="s">
        <v>649</v>
      </c>
      <c r="D122" s="418"/>
      <c r="E122" s="525"/>
      <c r="F122" s="418" t="s">
        <v>645</v>
      </c>
      <c r="G122" s="418"/>
      <c r="H122" s="418"/>
      <c r="I122" s="418"/>
      <c r="J122" s="418" t="s">
        <v>650</v>
      </c>
      <c r="K122" s="419"/>
      <c r="L122" s="390"/>
    </row>
    <row r="123" spans="1:12" ht="14.25">
      <c r="A123" s="390"/>
      <c r="B123" s="408" t="s">
        <v>651</v>
      </c>
      <c r="C123" s="854">
        <f>H120</f>
        <v>625000</v>
      </c>
      <c r="D123" s="854"/>
      <c r="E123" s="523" t="s">
        <v>272</v>
      </c>
      <c r="F123" s="410">
        <f>H117</f>
        <v>0.16025641025641027</v>
      </c>
      <c r="G123" s="523" t="s">
        <v>619</v>
      </c>
      <c r="H123" s="523">
        <v>1000</v>
      </c>
      <c r="I123" s="523" t="s">
        <v>618</v>
      </c>
      <c r="J123" s="526">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846" t="s">
        <v>610</v>
      </c>
      <c r="C125" s="846"/>
      <c r="D125" s="846"/>
      <c r="E125" s="846"/>
      <c r="F125" s="846"/>
      <c r="G125" s="846"/>
      <c r="H125" s="846"/>
      <c r="I125" s="846"/>
      <c r="J125" s="846"/>
      <c r="K125" s="846"/>
      <c r="L125" s="436"/>
    </row>
    <row r="126" spans="1:12" ht="14.25">
      <c r="A126" s="390"/>
      <c r="B126" s="838" t="s">
        <v>659</v>
      </c>
      <c r="C126" s="838"/>
      <c r="D126" s="838"/>
      <c r="E126" s="838"/>
      <c r="F126" s="838"/>
      <c r="G126" s="838"/>
      <c r="H126" s="838"/>
      <c r="I126" s="838"/>
      <c r="J126" s="838"/>
      <c r="K126" s="838"/>
      <c r="L126" s="436"/>
    </row>
    <row r="127" spans="1:12" ht="14.25">
      <c r="A127" s="390"/>
      <c r="B127" s="518"/>
      <c r="C127" s="518"/>
      <c r="D127" s="518"/>
      <c r="E127" s="518"/>
      <c r="F127" s="518"/>
      <c r="G127" s="518"/>
      <c r="H127" s="518"/>
      <c r="I127" s="518"/>
      <c r="J127" s="518"/>
      <c r="K127" s="518"/>
      <c r="L127" s="436"/>
    </row>
    <row r="128" spans="1:12" ht="14.25">
      <c r="A128" s="390"/>
      <c r="B128" s="838" t="s">
        <v>660</v>
      </c>
      <c r="C128" s="838"/>
      <c r="D128" s="838"/>
      <c r="E128" s="838"/>
      <c r="F128" s="838"/>
      <c r="G128" s="838"/>
      <c r="H128" s="838"/>
      <c r="I128" s="838"/>
      <c r="J128" s="838"/>
      <c r="K128" s="838"/>
      <c r="L128" s="436"/>
    </row>
    <row r="129" spans="1:12" ht="14.25">
      <c r="A129" s="390"/>
      <c r="B129" s="517"/>
      <c r="C129" s="517"/>
      <c r="D129" s="517"/>
      <c r="E129" s="517"/>
      <c r="F129" s="517"/>
      <c r="G129" s="517"/>
      <c r="H129" s="517"/>
      <c r="I129" s="517"/>
      <c r="J129" s="517"/>
      <c r="K129" s="517"/>
      <c r="L129" s="436"/>
    </row>
    <row r="130" spans="1:12" ht="74.25" customHeight="1">
      <c r="A130" s="390"/>
      <c r="B130" s="843" t="s">
        <v>661</v>
      </c>
      <c r="C130" s="843"/>
      <c r="D130" s="843"/>
      <c r="E130" s="843"/>
      <c r="F130" s="843"/>
      <c r="G130" s="843"/>
      <c r="H130" s="843"/>
      <c r="I130" s="843"/>
      <c r="J130" s="843"/>
      <c r="K130" s="843"/>
      <c r="L130" s="436"/>
    </row>
    <row r="131" spans="1:12" ht="15" thickBot="1">
      <c r="A131" s="390"/>
      <c r="L131" s="390"/>
    </row>
    <row r="132" spans="1:12" ht="14.25">
      <c r="A132" s="390"/>
      <c r="B132" s="396" t="s">
        <v>614</v>
      </c>
      <c r="C132" s="397"/>
      <c r="D132" s="397"/>
      <c r="E132" s="397"/>
      <c r="F132" s="397"/>
      <c r="G132" s="397"/>
      <c r="H132" s="397"/>
      <c r="I132" s="397"/>
      <c r="J132" s="397"/>
      <c r="K132" s="398"/>
      <c r="L132" s="390"/>
    </row>
    <row r="133" spans="1:12" ht="14.25">
      <c r="A133" s="390"/>
      <c r="B133" s="408"/>
      <c r="C133" s="859" t="s">
        <v>662</v>
      </c>
      <c r="D133" s="859"/>
      <c r="E133" s="400"/>
      <c r="F133" s="523" t="s">
        <v>663</v>
      </c>
      <c r="G133" s="400"/>
      <c r="H133" s="859" t="s">
        <v>648</v>
      </c>
      <c r="I133" s="859"/>
      <c r="J133" s="400"/>
      <c r="K133" s="402"/>
      <c r="L133" s="390"/>
    </row>
    <row r="134" spans="1:12" ht="14.25">
      <c r="A134" s="390"/>
      <c r="B134" s="408" t="s">
        <v>641</v>
      </c>
      <c r="C134" s="844">
        <v>100000</v>
      </c>
      <c r="D134" s="844"/>
      <c r="E134" s="523" t="s">
        <v>272</v>
      </c>
      <c r="F134" s="523">
        <v>0.115</v>
      </c>
      <c r="G134" s="523" t="s">
        <v>618</v>
      </c>
      <c r="H134" s="860">
        <f>C134*F134</f>
        <v>11500</v>
      </c>
      <c r="I134" s="860"/>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861" t="s">
        <v>648</v>
      </c>
      <c r="D136" s="861"/>
      <c r="E136" s="418"/>
      <c r="F136" s="525" t="s">
        <v>664</v>
      </c>
      <c r="G136" s="525"/>
      <c r="H136" s="418"/>
      <c r="I136" s="418"/>
      <c r="J136" s="418" t="s">
        <v>665</v>
      </c>
      <c r="K136" s="419"/>
      <c r="L136" s="390"/>
    </row>
    <row r="137" spans="1:12" ht="14.25">
      <c r="A137" s="390"/>
      <c r="B137" s="408" t="s">
        <v>644</v>
      </c>
      <c r="C137" s="860">
        <f>H134</f>
        <v>11500</v>
      </c>
      <c r="D137" s="860"/>
      <c r="E137" s="523" t="s">
        <v>272</v>
      </c>
      <c r="F137" s="437">
        <v>52.869</v>
      </c>
      <c r="G137" s="523" t="s">
        <v>619</v>
      </c>
      <c r="H137" s="523">
        <v>1000</v>
      </c>
      <c r="I137" s="523" t="s">
        <v>618</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610</v>
      </c>
      <c r="C139" s="443"/>
      <c r="D139" s="443"/>
      <c r="E139" s="444"/>
      <c r="F139" s="445"/>
      <c r="G139" s="444"/>
      <c r="H139" s="444"/>
      <c r="I139" s="444"/>
      <c r="J139" s="446"/>
      <c r="K139" s="447"/>
      <c r="L139" s="390"/>
    </row>
    <row r="140" spans="1:12" ht="14.25">
      <c r="A140" s="390"/>
      <c r="B140" s="448" t="s">
        <v>666</v>
      </c>
      <c r="C140" s="449"/>
      <c r="D140" s="449"/>
      <c r="E140" s="450"/>
      <c r="F140" s="451"/>
      <c r="G140" s="450"/>
      <c r="H140" s="450"/>
      <c r="I140" s="450"/>
      <c r="J140" s="452"/>
      <c r="K140" s="453"/>
      <c r="L140" s="390"/>
    </row>
    <row r="141" spans="1:12" ht="14.25">
      <c r="A141" s="390"/>
      <c r="B141" s="408"/>
      <c r="C141" s="524"/>
      <c r="D141" s="524"/>
      <c r="E141" s="523"/>
      <c r="F141" s="454"/>
      <c r="G141" s="523"/>
      <c r="H141" s="523"/>
      <c r="I141" s="523"/>
      <c r="J141" s="438"/>
      <c r="K141" s="402"/>
      <c r="L141" s="390"/>
    </row>
    <row r="142" spans="1:12" ht="14.25">
      <c r="A142" s="390"/>
      <c r="B142" s="448" t="s">
        <v>667</v>
      </c>
      <c r="C142" s="449"/>
      <c r="D142" s="449"/>
      <c r="E142" s="450"/>
      <c r="F142" s="451"/>
      <c r="G142" s="450"/>
      <c r="H142" s="450"/>
      <c r="I142" s="450"/>
      <c r="J142" s="452"/>
      <c r="K142" s="453"/>
      <c r="L142" s="390"/>
    </row>
    <row r="143" spans="1:12" ht="14.25">
      <c r="A143" s="390"/>
      <c r="B143" s="408"/>
      <c r="C143" s="524"/>
      <c r="D143" s="524"/>
      <c r="E143" s="523"/>
      <c r="F143" s="454"/>
      <c r="G143" s="523"/>
      <c r="H143" s="523"/>
      <c r="I143" s="523"/>
      <c r="J143" s="438"/>
      <c r="K143" s="402"/>
      <c r="L143" s="390"/>
    </row>
    <row r="144" spans="1:12" ht="76.5" customHeight="1">
      <c r="A144" s="390"/>
      <c r="B144" s="862" t="s">
        <v>668</v>
      </c>
      <c r="C144" s="863"/>
      <c r="D144" s="863"/>
      <c r="E144" s="863"/>
      <c r="F144" s="863"/>
      <c r="G144" s="863"/>
      <c r="H144" s="863"/>
      <c r="I144" s="863"/>
      <c r="J144" s="863"/>
      <c r="K144" s="864"/>
      <c r="L144" s="390"/>
    </row>
    <row r="145" spans="1:12" ht="15" thickBot="1">
      <c r="A145" s="390"/>
      <c r="B145" s="408"/>
      <c r="C145" s="524"/>
      <c r="D145" s="524"/>
      <c r="E145" s="523"/>
      <c r="F145" s="454"/>
      <c r="G145" s="523"/>
      <c r="H145" s="523"/>
      <c r="I145" s="523"/>
      <c r="J145" s="438"/>
      <c r="K145" s="402"/>
      <c r="L145" s="390"/>
    </row>
    <row r="146" spans="1:12" ht="14.25">
      <c r="A146" s="390"/>
      <c r="B146" s="396" t="s">
        <v>614</v>
      </c>
      <c r="C146" s="455"/>
      <c r="D146" s="455"/>
      <c r="E146" s="456"/>
      <c r="F146" s="457"/>
      <c r="G146" s="456"/>
      <c r="H146" s="456"/>
      <c r="I146" s="456"/>
      <c r="J146" s="458"/>
      <c r="K146" s="398"/>
      <c r="L146" s="390"/>
    </row>
    <row r="147" spans="1:12" ht="14.25">
      <c r="A147" s="390"/>
      <c r="B147" s="408"/>
      <c r="C147" s="860" t="s">
        <v>669</v>
      </c>
      <c r="D147" s="860"/>
      <c r="E147" s="523"/>
      <c r="F147" s="454" t="s">
        <v>670</v>
      </c>
      <c r="G147" s="523"/>
      <c r="H147" s="523"/>
      <c r="I147" s="523"/>
      <c r="J147" s="865" t="s">
        <v>671</v>
      </c>
      <c r="K147" s="866"/>
      <c r="L147" s="390"/>
    </row>
    <row r="148" spans="1:12" ht="14.25">
      <c r="A148" s="390"/>
      <c r="B148" s="408"/>
      <c r="C148" s="867">
        <v>52.869</v>
      </c>
      <c r="D148" s="867"/>
      <c r="E148" s="523" t="s">
        <v>272</v>
      </c>
      <c r="F148" s="519">
        <v>312000000</v>
      </c>
      <c r="G148" s="459" t="s">
        <v>619</v>
      </c>
      <c r="H148" s="523">
        <v>1000</v>
      </c>
      <c r="I148" s="523" t="s">
        <v>618</v>
      </c>
      <c r="J148" s="865">
        <f>C148*(F148/1000)</f>
        <v>16495128</v>
      </c>
      <c r="K148" s="868"/>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0" t="s">
        <v>300</v>
      </c>
    </row>
    <row r="2" ht="15.75">
      <c r="A2" s="69"/>
    </row>
    <row r="3" ht="51" customHeight="1">
      <c r="A3" s="380" t="s">
        <v>693</v>
      </c>
    </row>
    <row r="4" ht="17.25" customHeight="1">
      <c r="A4" s="380"/>
    </row>
    <row r="5" ht="15.75">
      <c r="A5" s="69"/>
    </row>
    <row r="6" ht="52.5" customHeight="1">
      <c r="A6" s="152" t="s">
        <v>341</v>
      </c>
    </row>
    <row r="7" ht="15.75">
      <c r="A7" s="69"/>
    </row>
    <row r="8" ht="15.75">
      <c r="A8" s="69"/>
    </row>
    <row r="9" ht="70.5" customHeight="1">
      <c r="A9" s="152" t="s">
        <v>342</v>
      </c>
    </row>
    <row r="10" ht="15.75">
      <c r="A10" s="153"/>
    </row>
    <row r="11" ht="15.75">
      <c r="A11" s="153"/>
    </row>
    <row r="12" ht="63">
      <c r="A12" s="469" t="s">
        <v>694</v>
      </c>
    </row>
    <row r="13" ht="15.75">
      <c r="A13" s="153"/>
    </row>
    <row r="14" ht="15.75">
      <c r="A14" s="153"/>
    </row>
    <row r="15" ht="63">
      <c r="A15" s="469" t="s">
        <v>695</v>
      </c>
    </row>
    <row r="16" ht="15.75">
      <c r="A16" s="153"/>
    </row>
    <row r="17" ht="15.75">
      <c r="A17" s="69"/>
    </row>
    <row r="18" ht="56.25" customHeight="1">
      <c r="A18" s="152" t="s">
        <v>343</v>
      </c>
    </row>
    <row r="19" ht="15.75">
      <c r="A19" s="153"/>
    </row>
    <row r="20" ht="15.75">
      <c r="A20" s="153"/>
    </row>
    <row r="21" ht="87.75" customHeight="1">
      <c r="A21" s="152" t="s">
        <v>344</v>
      </c>
    </row>
    <row r="22" ht="15.75">
      <c r="A22" s="153"/>
    </row>
    <row r="23" ht="15.75">
      <c r="A23" s="69"/>
    </row>
    <row r="24" ht="54.75" customHeight="1">
      <c r="A24" s="152" t="s">
        <v>345</v>
      </c>
    </row>
    <row r="25" ht="15.75">
      <c r="A25" s="69"/>
    </row>
    <row r="26" ht="15.75" customHeight="1">
      <c r="A26" s="69"/>
    </row>
    <row r="27" ht="69" customHeight="1">
      <c r="A27" s="152" t="s">
        <v>346</v>
      </c>
    </row>
    <row r="28" ht="15.75" customHeight="1">
      <c r="A28" s="152"/>
    </row>
    <row r="29" ht="15.75" customHeight="1">
      <c r="A29" s="152"/>
    </row>
    <row r="30" ht="87" customHeight="1">
      <c r="A30" s="152" t="s">
        <v>747</v>
      </c>
    </row>
    <row r="31" ht="15.75">
      <c r="A31" s="69"/>
    </row>
    <row r="32" ht="15.75">
      <c r="A32" s="197"/>
    </row>
    <row r="33" ht="47.25" customHeight="1">
      <c r="A33" s="198" t="s">
        <v>347</v>
      </c>
    </row>
    <row r="34" ht="15.75">
      <c r="A34" s="199"/>
    </row>
    <row r="35" ht="15.75">
      <c r="A35" s="197"/>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2" customWidth="1"/>
    <col min="2" max="4" width="8.796875" style="532" customWidth="1"/>
    <col min="5" max="5" width="8.69921875" style="532" customWidth="1"/>
    <col min="6" max="6" width="8.796875" style="532" customWidth="1"/>
    <col min="7" max="7" width="8.69921875" style="532" customWidth="1"/>
    <col min="8" max="16384" width="8.796875" style="532" customWidth="1"/>
  </cols>
  <sheetData>
    <row r="1" spans="2:9" ht="15.75">
      <c r="B1" s="531"/>
      <c r="C1" s="531"/>
      <c r="D1" s="531"/>
      <c r="E1" s="531"/>
      <c r="F1" s="531"/>
      <c r="G1" s="531"/>
      <c r="H1" s="531"/>
      <c r="I1" s="531"/>
    </row>
    <row r="2" spans="2:9" ht="15.75">
      <c r="B2" s="869" t="s">
        <v>751</v>
      </c>
      <c r="C2" s="869"/>
      <c r="D2" s="869"/>
      <c r="E2" s="869"/>
      <c r="F2" s="869"/>
      <c r="G2" s="869"/>
      <c r="H2" s="869"/>
      <c r="I2" s="869"/>
    </row>
    <row r="3" spans="2:9" ht="15.75">
      <c r="B3" s="869" t="s">
        <v>752</v>
      </c>
      <c r="C3" s="869"/>
      <c r="D3" s="869"/>
      <c r="E3" s="869"/>
      <c r="F3" s="869"/>
      <c r="G3" s="869"/>
      <c r="H3" s="869"/>
      <c r="I3" s="869"/>
    </row>
    <row r="4" spans="2:9" ht="15.75">
      <c r="B4" s="533"/>
      <c r="C4" s="533"/>
      <c r="D4" s="533"/>
      <c r="E4" s="533"/>
      <c r="F4" s="533"/>
      <c r="G4" s="533"/>
      <c r="H4" s="533"/>
      <c r="I4" s="533"/>
    </row>
    <row r="5" spans="2:9" ht="15.75">
      <c r="B5" s="870" t="str">
        <f>CONCATENATE("Budgeted Year: ",inputPrYr!D5,"")</f>
        <v>Budgeted Year: 2015</v>
      </c>
      <c r="C5" s="870"/>
      <c r="D5" s="870"/>
      <c r="E5" s="870"/>
      <c r="F5" s="870"/>
      <c r="G5" s="870"/>
      <c r="H5" s="870"/>
      <c r="I5" s="870"/>
    </row>
    <row r="6" spans="2:9" ht="15.75">
      <c r="B6" s="534"/>
      <c r="C6" s="533"/>
      <c r="D6" s="533"/>
      <c r="E6" s="533"/>
      <c r="F6" s="533"/>
      <c r="G6" s="533"/>
      <c r="H6" s="533"/>
      <c r="I6" s="533"/>
    </row>
    <row r="7" spans="2:9" ht="15.75">
      <c r="B7" s="534" t="str">
        <f>CONCATENATE("Library found in: ",inputPrYr!D2,"")</f>
        <v>Library found in: Irving Township</v>
      </c>
      <c r="C7" s="533"/>
      <c r="D7" s="533"/>
      <c r="E7" s="533"/>
      <c r="F7" s="533"/>
      <c r="G7" s="533"/>
      <c r="H7" s="533"/>
      <c r="I7" s="533"/>
    </row>
    <row r="8" spans="2:9" ht="15.75">
      <c r="B8" s="534" t="str">
        <f>inputPrYr!D3</f>
        <v>Brown County</v>
      </c>
      <c r="C8" s="533"/>
      <c r="D8" s="533"/>
      <c r="E8" s="533"/>
      <c r="F8" s="533"/>
      <c r="G8" s="533"/>
      <c r="H8" s="533"/>
      <c r="I8" s="533"/>
    </row>
    <row r="9" spans="2:9" ht="15.75">
      <c r="B9" s="533"/>
      <c r="C9" s="533"/>
      <c r="D9" s="533"/>
      <c r="E9" s="533"/>
      <c r="F9" s="533"/>
      <c r="G9" s="533"/>
      <c r="H9" s="533"/>
      <c r="I9" s="533"/>
    </row>
    <row r="10" spans="2:9" ht="39" customHeight="1">
      <c r="B10" s="871" t="s">
        <v>753</v>
      </c>
      <c r="C10" s="871"/>
      <c r="D10" s="871"/>
      <c r="E10" s="871"/>
      <c r="F10" s="871"/>
      <c r="G10" s="871"/>
      <c r="H10" s="871"/>
      <c r="I10" s="871"/>
    </row>
    <row r="11" spans="2:9" ht="15.75">
      <c r="B11" s="533"/>
      <c r="C11" s="533"/>
      <c r="D11" s="533"/>
      <c r="E11" s="533"/>
      <c r="F11" s="533"/>
      <c r="G11" s="533"/>
      <c r="H11" s="533"/>
      <c r="I11" s="533"/>
    </row>
    <row r="12" spans="2:9" ht="15.75">
      <c r="B12" s="535" t="s">
        <v>754</v>
      </c>
      <c r="C12" s="533"/>
      <c r="D12" s="533"/>
      <c r="E12" s="533"/>
      <c r="F12" s="533"/>
      <c r="G12" s="533"/>
      <c r="H12" s="533"/>
      <c r="I12" s="533"/>
    </row>
    <row r="13" spans="2:9" ht="15.75">
      <c r="B13" s="533"/>
      <c r="C13" s="533"/>
      <c r="D13" s="533"/>
      <c r="E13" s="536" t="s">
        <v>12</v>
      </c>
      <c r="F13" s="533"/>
      <c r="G13" s="536" t="s">
        <v>755</v>
      </c>
      <c r="H13" s="533"/>
      <c r="I13" s="533"/>
    </row>
    <row r="14" spans="2:9" ht="15.75">
      <c r="B14" s="533"/>
      <c r="C14" s="533"/>
      <c r="D14" s="533"/>
      <c r="E14" s="537">
        <f>inputPrYr!D5-1</f>
        <v>2014</v>
      </c>
      <c r="F14" s="533"/>
      <c r="G14" s="537">
        <f>inputPrYr!D5</f>
        <v>2015</v>
      </c>
      <c r="H14" s="533"/>
      <c r="I14" s="533"/>
    </row>
    <row r="15" spans="2:9" ht="15.75">
      <c r="B15" s="534" t="str">
        <f>'DebtSvs-Library'!B48</f>
        <v>Ad Valorem Tax</v>
      </c>
      <c r="C15" s="533"/>
      <c r="D15" s="533"/>
      <c r="E15" s="538">
        <f>'DebtSvs-Library'!D48</f>
        <v>0</v>
      </c>
      <c r="F15" s="533"/>
      <c r="G15" s="538">
        <f>'DebtSvs-Library'!E80</f>
        <v>0</v>
      </c>
      <c r="H15" s="533"/>
      <c r="I15" s="533"/>
    </row>
    <row r="16" spans="2:9" ht="15.75">
      <c r="B16" s="534" t="str">
        <f>'DebtSvs-Library'!B49</f>
        <v>Delinquent Tax</v>
      </c>
      <c r="C16" s="533"/>
      <c r="D16" s="533"/>
      <c r="E16" s="538">
        <f>'DebtSvs-Library'!D49</f>
        <v>0</v>
      </c>
      <c r="F16" s="533"/>
      <c r="G16" s="538">
        <f>'DebtSvs-Library'!E49</f>
        <v>0</v>
      </c>
      <c r="H16" s="533"/>
      <c r="I16" s="533"/>
    </row>
    <row r="17" spans="2:9" ht="15.75">
      <c r="B17" s="534" t="str">
        <f>'DebtSvs-Library'!B50</f>
        <v>Motor Vehicle Tax</v>
      </c>
      <c r="C17" s="533"/>
      <c r="D17" s="533"/>
      <c r="E17" s="538">
        <f>'DebtSvs-Library'!D50</f>
        <v>0</v>
      </c>
      <c r="F17" s="533"/>
      <c r="G17" s="538">
        <f>'DebtSvs-Library'!E50</f>
        <v>0</v>
      </c>
      <c r="H17" s="533"/>
      <c r="I17" s="533"/>
    </row>
    <row r="18" spans="2:9" ht="15.75">
      <c r="B18" s="534" t="str">
        <f>'DebtSvs-Library'!B51</f>
        <v>Recreational Vehicle Tax</v>
      </c>
      <c r="C18" s="533"/>
      <c r="D18" s="533"/>
      <c r="E18" s="538">
        <f>'DebtSvs-Library'!D51</f>
        <v>0</v>
      </c>
      <c r="F18" s="533"/>
      <c r="G18" s="538">
        <f>'DebtSvs-Library'!E51</f>
        <v>0</v>
      </c>
      <c r="H18" s="533"/>
      <c r="I18" s="533"/>
    </row>
    <row r="19" spans="2:9" ht="15.75">
      <c r="B19" s="534" t="str">
        <f>'DebtSvs-Library'!B52</f>
        <v>16/20M Vehicle Tax</v>
      </c>
      <c r="C19" s="533"/>
      <c r="D19" s="533"/>
      <c r="E19" s="538">
        <f>'DebtSvs-Library'!D52</f>
        <v>0</v>
      </c>
      <c r="F19" s="533"/>
      <c r="G19" s="538">
        <f>'DebtSvs-Library'!E52</f>
        <v>0</v>
      </c>
      <c r="H19" s="533"/>
      <c r="I19" s="533"/>
    </row>
    <row r="20" spans="2:9" ht="15.75">
      <c r="B20" s="533" t="s">
        <v>144</v>
      </c>
      <c r="C20" s="533"/>
      <c r="D20" s="533"/>
      <c r="E20" s="538">
        <v>0</v>
      </c>
      <c r="F20" s="533"/>
      <c r="G20" s="538">
        <v>0</v>
      </c>
      <c r="H20" s="533"/>
      <c r="I20" s="533"/>
    </row>
    <row r="21" spans="2:9" ht="15.75">
      <c r="B21" s="533"/>
      <c r="C21" s="533"/>
      <c r="D21" s="533"/>
      <c r="E21" s="538">
        <v>0</v>
      </c>
      <c r="F21" s="533"/>
      <c r="G21" s="538">
        <v>0</v>
      </c>
      <c r="H21" s="533"/>
      <c r="I21" s="533"/>
    </row>
    <row r="22" spans="2:9" ht="15.75">
      <c r="B22" s="533" t="s">
        <v>756</v>
      </c>
      <c r="C22" s="533"/>
      <c r="D22" s="533"/>
      <c r="E22" s="539">
        <f>SUM(E15:E21)</f>
        <v>0</v>
      </c>
      <c r="F22" s="533"/>
      <c r="G22" s="539">
        <f>SUM(G15:G21)</f>
        <v>0</v>
      </c>
      <c r="H22" s="533"/>
      <c r="I22" s="533"/>
    </row>
    <row r="23" spans="2:9" ht="15.75">
      <c r="B23" s="533" t="s">
        <v>757</v>
      </c>
      <c r="C23" s="533"/>
      <c r="D23" s="533"/>
      <c r="E23" s="540">
        <f>G22-E22</f>
        <v>0</v>
      </c>
      <c r="F23" s="533"/>
      <c r="G23" s="541"/>
      <c r="H23" s="533"/>
      <c r="I23" s="533"/>
    </row>
    <row r="24" spans="2:9" ht="15.75">
      <c r="B24" s="533" t="s">
        <v>758</v>
      </c>
      <c r="C24" s="533"/>
      <c r="D24" s="542" t="str">
        <f>IF((G22-E22)&gt;0,"Qualify","Not Qualify")</f>
        <v>Not Qualify</v>
      </c>
      <c r="E24" s="533"/>
      <c r="F24" s="533"/>
      <c r="G24" s="533"/>
      <c r="H24" s="533"/>
      <c r="I24" s="533"/>
    </row>
    <row r="25" spans="2:9" ht="15.75">
      <c r="B25" s="533"/>
      <c r="C25" s="533"/>
      <c r="D25" s="533"/>
      <c r="E25" s="533"/>
      <c r="F25" s="533"/>
      <c r="G25" s="533"/>
      <c r="H25" s="533"/>
      <c r="I25" s="533"/>
    </row>
    <row r="26" spans="2:9" ht="15.75">
      <c r="B26" s="535" t="s">
        <v>759</v>
      </c>
      <c r="C26" s="533"/>
      <c r="D26" s="533"/>
      <c r="E26" s="533"/>
      <c r="F26" s="533"/>
      <c r="G26" s="533"/>
      <c r="H26" s="533"/>
      <c r="I26" s="533"/>
    </row>
    <row r="27" spans="2:9" ht="15.75">
      <c r="B27" s="533" t="s">
        <v>760</v>
      </c>
      <c r="C27" s="533"/>
      <c r="D27" s="533"/>
      <c r="E27" s="538">
        <f>summ!E26</f>
        <v>6952558</v>
      </c>
      <c r="F27" s="533"/>
      <c r="G27" s="538">
        <f>summ!G26</f>
        <v>7945740</v>
      </c>
      <c r="H27" s="533"/>
      <c r="I27" s="533"/>
    </row>
    <row r="28" spans="2:9" ht="15.75">
      <c r="B28" s="533" t="s">
        <v>761</v>
      </c>
      <c r="C28" s="533"/>
      <c r="D28" s="533"/>
      <c r="E28" s="543" t="str">
        <f>IF(G27-E27&gt;=0,"No","Yes")</f>
        <v>No</v>
      </c>
      <c r="F28" s="533"/>
      <c r="G28" s="533"/>
      <c r="H28" s="533"/>
      <c r="I28" s="533"/>
    </row>
    <row r="29" spans="2:9" ht="15.75">
      <c r="B29" s="533" t="s">
        <v>762</v>
      </c>
      <c r="C29" s="533"/>
      <c r="D29" s="533"/>
      <c r="E29" s="544" t="e">
        <f>summ!#REF!</f>
        <v>#REF!</v>
      </c>
      <c r="F29" s="533"/>
      <c r="G29" s="544" t="e">
        <f>summ!#REF!</f>
        <v>#REF!</v>
      </c>
      <c r="H29" s="533"/>
      <c r="I29" s="533"/>
    </row>
    <row r="30" spans="2:9" ht="15.75">
      <c r="B30" s="533" t="s">
        <v>763</v>
      </c>
      <c r="C30" s="533"/>
      <c r="D30" s="533"/>
      <c r="E30" s="545" t="e">
        <f>G29-E29</f>
        <v>#REF!</v>
      </c>
      <c r="F30" s="533"/>
      <c r="G30" s="533"/>
      <c r="H30" s="533"/>
      <c r="I30" s="533"/>
    </row>
    <row r="31" spans="2:9" ht="15.75">
      <c r="B31" s="533" t="s">
        <v>758</v>
      </c>
      <c r="C31" s="533"/>
      <c r="D31" s="546" t="e">
        <f>IF(E30&gt;=0,"Qualify","Not Qualify")</f>
        <v>#REF!</v>
      </c>
      <c r="E31" s="533"/>
      <c r="F31" s="533"/>
      <c r="G31" s="533"/>
      <c r="H31" s="533"/>
      <c r="I31" s="533"/>
    </row>
    <row r="32" spans="2:9" ht="15.75">
      <c r="B32" s="533"/>
      <c r="C32" s="533"/>
      <c r="D32" s="533"/>
      <c r="E32" s="533"/>
      <c r="F32" s="533"/>
      <c r="G32" s="533"/>
      <c r="H32" s="533"/>
      <c r="I32" s="533"/>
    </row>
    <row r="33" spans="2:9" ht="15.75">
      <c r="B33" s="533" t="s">
        <v>764</v>
      </c>
      <c r="C33" s="533"/>
      <c r="D33" s="533"/>
      <c r="E33" s="533"/>
      <c r="F33" s="547" t="e">
        <f>IF(D24="Not Qualify",IF(D31="Not Qualify",IF(D31="Not Qualify","Not Qualify","Qualify"),"Qualify"),"Qualify")</f>
        <v>#REF!</v>
      </c>
      <c r="G33" s="533"/>
      <c r="H33" s="533"/>
      <c r="I33" s="533"/>
    </row>
    <row r="34" spans="2:9" ht="15.75">
      <c r="B34" s="533"/>
      <c r="C34" s="533"/>
      <c r="D34" s="533"/>
      <c r="E34" s="533"/>
      <c r="F34" s="533"/>
      <c r="G34" s="533"/>
      <c r="H34" s="533"/>
      <c r="I34" s="533"/>
    </row>
    <row r="35" spans="2:9" ht="15.75">
      <c r="B35" s="533"/>
      <c r="C35" s="533"/>
      <c r="D35" s="533"/>
      <c r="E35" s="533"/>
      <c r="F35" s="533"/>
      <c r="G35" s="533"/>
      <c r="H35" s="533"/>
      <c r="I35" s="533"/>
    </row>
    <row r="36" spans="2:9" ht="37.5" customHeight="1">
      <c r="B36" s="871" t="s">
        <v>765</v>
      </c>
      <c r="C36" s="871"/>
      <c r="D36" s="871"/>
      <c r="E36" s="871"/>
      <c r="F36" s="871"/>
      <c r="G36" s="871"/>
      <c r="H36" s="871"/>
      <c r="I36" s="871"/>
    </row>
    <row r="37" spans="2:9" ht="15.75">
      <c r="B37" s="533"/>
      <c r="C37" s="533"/>
      <c r="D37" s="533"/>
      <c r="E37" s="533"/>
      <c r="F37" s="533"/>
      <c r="G37" s="533"/>
      <c r="H37" s="533"/>
      <c r="I37" s="533"/>
    </row>
    <row r="38" spans="2:9" ht="15.75">
      <c r="B38" s="533"/>
      <c r="C38" s="533"/>
      <c r="D38" s="533"/>
      <c r="E38" s="533"/>
      <c r="F38" s="533"/>
      <c r="G38" s="533"/>
      <c r="H38" s="533"/>
      <c r="I38" s="533"/>
    </row>
    <row r="39" spans="2:9" ht="15.75">
      <c r="B39" s="533"/>
      <c r="C39" s="533"/>
      <c r="D39" s="533"/>
      <c r="E39" s="533"/>
      <c r="F39" s="533"/>
      <c r="G39" s="533"/>
      <c r="H39" s="533"/>
      <c r="I39" s="533"/>
    </row>
    <row r="40" spans="2:9" ht="15.75">
      <c r="B40" s="533"/>
      <c r="C40" s="533"/>
      <c r="D40" s="533"/>
      <c r="E40" s="548" t="s">
        <v>766</v>
      </c>
      <c r="F40" s="549">
        <v>6</v>
      </c>
      <c r="G40" s="533"/>
      <c r="H40" s="533"/>
      <c r="I40" s="533"/>
    </row>
    <row r="41" spans="2:9" ht="15.75">
      <c r="B41" s="533"/>
      <c r="C41" s="533"/>
      <c r="D41" s="533"/>
      <c r="E41" s="533"/>
      <c r="F41" s="533"/>
      <c r="G41" s="533"/>
      <c r="H41" s="533"/>
      <c r="I41" s="533"/>
    </row>
    <row r="42" spans="2:9" ht="15.75">
      <c r="B42" s="533"/>
      <c r="C42" s="533"/>
      <c r="D42" s="533"/>
      <c r="E42" s="533"/>
      <c r="F42" s="533"/>
      <c r="G42" s="533"/>
      <c r="H42" s="533"/>
      <c r="I42" s="533"/>
    </row>
    <row r="43" spans="2:9" ht="15.75">
      <c r="B43" s="872" t="s">
        <v>767</v>
      </c>
      <c r="C43" s="873"/>
      <c r="D43" s="873"/>
      <c r="E43" s="873"/>
      <c r="F43" s="873"/>
      <c r="G43" s="873"/>
      <c r="H43" s="873"/>
      <c r="I43" s="873"/>
    </row>
    <row r="44" spans="2:9" ht="15.75">
      <c r="B44" s="533"/>
      <c r="C44" s="533"/>
      <c r="D44" s="533"/>
      <c r="E44" s="533"/>
      <c r="F44" s="533"/>
      <c r="G44" s="533"/>
      <c r="H44" s="533"/>
      <c r="I44" s="533"/>
    </row>
    <row r="45" spans="2:9" ht="15.75">
      <c r="B45" s="550" t="s">
        <v>768</v>
      </c>
      <c r="C45" s="533"/>
      <c r="D45" s="533"/>
      <c r="E45" s="533"/>
      <c r="F45" s="533"/>
      <c r="G45" s="533"/>
      <c r="H45" s="533"/>
      <c r="I45" s="533"/>
    </row>
    <row r="46" spans="2:9" ht="15.75">
      <c r="B46" s="550" t="str">
        <f>CONCATENATE("sources in your ",G14," library fund is not equal to or greater than the amount from the same")</f>
        <v>sources in your 2015 library fund is not equal to or greater than the amount from the same</v>
      </c>
      <c r="C46" s="533"/>
      <c r="D46" s="533"/>
      <c r="E46" s="533"/>
      <c r="F46" s="533"/>
      <c r="G46" s="533"/>
      <c r="H46" s="533"/>
      <c r="I46" s="533"/>
    </row>
    <row r="47" spans="2:9" ht="15.75">
      <c r="B47" s="550" t="str">
        <f>CONCATENATE("sources in ",E14,".")</f>
        <v>sources in 2014.</v>
      </c>
      <c r="C47" s="531"/>
      <c r="D47" s="531"/>
      <c r="E47" s="531"/>
      <c r="F47" s="531"/>
      <c r="G47" s="531"/>
      <c r="H47" s="531"/>
      <c r="I47" s="531"/>
    </row>
    <row r="48" spans="2:9" ht="15.75">
      <c r="B48" s="531"/>
      <c r="C48" s="531"/>
      <c r="D48" s="531"/>
      <c r="E48" s="531"/>
      <c r="F48" s="531"/>
      <c r="G48" s="531"/>
      <c r="H48" s="531"/>
      <c r="I48" s="531"/>
    </row>
    <row r="49" spans="2:9" ht="15.75">
      <c r="B49" s="550" t="s">
        <v>769</v>
      </c>
      <c r="C49" s="550"/>
      <c r="D49" s="551"/>
      <c r="E49" s="551"/>
      <c r="F49" s="551"/>
      <c r="G49" s="551"/>
      <c r="H49" s="551"/>
      <c r="I49" s="551"/>
    </row>
    <row r="50" spans="2:9" ht="15.75">
      <c r="B50" s="550" t="s">
        <v>770</v>
      </c>
      <c r="C50" s="550"/>
      <c r="D50" s="551"/>
      <c r="E50" s="551"/>
      <c r="F50" s="551"/>
      <c r="G50" s="551"/>
      <c r="H50" s="551"/>
      <c r="I50" s="551"/>
    </row>
    <row r="51" spans="2:9" ht="15.75">
      <c r="B51" s="550" t="s">
        <v>771</v>
      </c>
      <c r="C51" s="550"/>
      <c r="D51" s="551"/>
      <c r="E51" s="551"/>
      <c r="F51" s="551"/>
      <c r="G51" s="551"/>
      <c r="H51" s="551"/>
      <c r="I51" s="551"/>
    </row>
    <row r="52" spans="2:9" ht="15">
      <c r="B52" s="551"/>
      <c r="C52" s="551"/>
      <c r="D52" s="551"/>
      <c r="E52" s="551"/>
      <c r="F52" s="551"/>
      <c r="G52" s="551"/>
      <c r="H52" s="551"/>
      <c r="I52" s="551"/>
    </row>
    <row r="53" spans="2:9" ht="15.75">
      <c r="B53" s="552" t="s">
        <v>772</v>
      </c>
      <c r="C53" s="551"/>
      <c r="D53" s="551"/>
      <c r="E53" s="551"/>
      <c r="F53" s="551"/>
      <c r="G53" s="551"/>
      <c r="H53" s="551"/>
      <c r="I53" s="551"/>
    </row>
    <row r="54" spans="2:9" ht="15">
      <c r="B54" s="551"/>
      <c r="C54" s="551"/>
      <c r="D54" s="551"/>
      <c r="E54" s="551"/>
      <c r="F54" s="551"/>
      <c r="G54" s="551"/>
      <c r="H54" s="551"/>
      <c r="I54" s="551"/>
    </row>
    <row r="55" spans="2:9" ht="15.75">
      <c r="B55" s="550" t="s">
        <v>773</v>
      </c>
      <c r="C55" s="551"/>
      <c r="D55" s="551"/>
      <c r="E55" s="551"/>
      <c r="F55" s="551"/>
      <c r="G55" s="551"/>
      <c r="H55" s="551"/>
      <c r="I55" s="551"/>
    </row>
    <row r="56" spans="2:9" ht="15.75">
      <c r="B56" s="550" t="s">
        <v>774</v>
      </c>
      <c r="C56" s="551"/>
      <c r="D56" s="551"/>
      <c r="E56" s="551"/>
      <c r="F56" s="551"/>
      <c r="G56" s="551"/>
      <c r="H56" s="551"/>
      <c r="I56" s="551"/>
    </row>
    <row r="57" spans="2:9" ht="15">
      <c r="B57" s="551"/>
      <c r="C57" s="551"/>
      <c r="D57" s="551"/>
      <c r="E57" s="551"/>
      <c r="F57" s="551"/>
      <c r="G57" s="551"/>
      <c r="H57" s="551"/>
      <c r="I57" s="551"/>
    </row>
    <row r="58" spans="2:9" ht="15.75">
      <c r="B58" s="552" t="s">
        <v>775</v>
      </c>
      <c r="C58" s="550"/>
      <c r="D58" s="550"/>
      <c r="E58" s="550"/>
      <c r="F58" s="550"/>
      <c r="G58" s="551"/>
      <c r="H58" s="551"/>
      <c r="I58" s="551"/>
    </row>
    <row r="59" spans="2:9" ht="15.75">
      <c r="B59" s="550"/>
      <c r="C59" s="550"/>
      <c r="D59" s="550"/>
      <c r="E59" s="550"/>
      <c r="F59" s="550"/>
      <c r="G59" s="551"/>
      <c r="H59" s="551"/>
      <c r="I59" s="551"/>
    </row>
    <row r="60" spans="2:9" ht="15.75">
      <c r="B60" s="550" t="s">
        <v>776</v>
      </c>
      <c r="C60" s="550"/>
      <c r="D60" s="550"/>
      <c r="E60" s="550"/>
      <c r="F60" s="550"/>
      <c r="G60" s="551"/>
      <c r="H60" s="551"/>
      <c r="I60" s="551"/>
    </row>
    <row r="61" spans="2:9" ht="15.75">
      <c r="B61" s="550" t="s">
        <v>777</v>
      </c>
      <c r="C61" s="550"/>
      <c r="D61" s="550"/>
      <c r="E61" s="550"/>
      <c r="F61" s="550"/>
      <c r="G61" s="551"/>
      <c r="H61" s="551"/>
      <c r="I61" s="551"/>
    </row>
    <row r="62" spans="2:9" ht="15.75">
      <c r="B62" s="550" t="s">
        <v>778</v>
      </c>
      <c r="C62" s="550"/>
      <c r="D62" s="550"/>
      <c r="E62" s="550"/>
      <c r="F62" s="550"/>
      <c r="G62" s="551"/>
      <c r="H62" s="551"/>
      <c r="I62" s="551"/>
    </row>
    <row r="63" spans="2:9" ht="15.75">
      <c r="B63" s="550" t="s">
        <v>779</v>
      </c>
      <c r="C63" s="550"/>
      <c r="D63" s="550"/>
      <c r="E63" s="550"/>
      <c r="F63" s="550"/>
      <c r="G63" s="551"/>
      <c r="H63" s="551"/>
      <c r="I63" s="551"/>
    </row>
    <row r="64" spans="2:9" ht="15">
      <c r="B64" s="553"/>
      <c r="C64" s="553"/>
      <c r="D64" s="553"/>
      <c r="E64" s="553"/>
      <c r="F64" s="553"/>
      <c r="G64" s="551"/>
      <c r="H64" s="551"/>
      <c r="I64" s="551"/>
    </row>
    <row r="65" spans="2:9" ht="15.75">
      <c r="B65" s="550" t="s">
        <v>780</v>
      </c>
      <c r="C65" s="553"/>
      <c r="D65" s="553"/>
      <c r="E65" s="553"/>
      <c r="F65" s="553"/>
      <c r="G65" s="551"/>
      <c r="H65" s="551"/>
      <c r="I65" s="551"/>
    </row>
    <row r="66" spans="2:9" ht="15.75">
      <c r="B66" s="550" t="s">
        <v>781</v>
      </c>
      <c r="C66" s="553"/>
      <c r="D66" s="553"/>
      <c r="E66" s="553"/>
      <c r="F66" s="553"/>
      <c r="G66" s="551"/>
      <c r="H66" s="551"/>
      <c r="I66" s="551"/>
    </row>
    <row r="67" spans="2:9" ht="15">
      <c r="B67" s="553"/>
      <c r="C67" s="553"/>
      <c r="D67" s="553"/>
      <c r="E67" s="553"/>
      <c r="F67" s="553"/>
      <c r="G67" s="551"/>
      <c r="H67" s="551"/>
      <c r="I67" s="551"/>
    </row>
    <row r="68" spans="2:9" ht="15.75">
      <c r="B68" s="550" t="s">
        <v>782</v>
      </c>
      <c r="C68" s="553"/>
      <c r="D68" s="553"/>
      <c r="E68" s="553"/>
      <c r="F68" s="553"/>
      <c r="G68" s="551"/>
      <c r="H68" s="551"/>
      <c r="I68" s="551"/>
    </row>
    <row r="69" spans="2:9" ht="15.75">
      <c r="B69" s="550" t="s">
        <v>783</v>
      </c>
      <c r="C69" s="553"/>
      <c r="D69" s="553"/>
      <c r="E69" s="553"/>
      <c r="F69" s="553"/>
      <c r="G69" s="551"/>
      <c r="H69" s="551"/>
      <c r="I69" s="551"/>
    </row>
    <row r="70" spans="2:9" ht="15">
      <c r="B70" s="553"/>
      <c r="C70" s="553"/>
      <c r="D70" s="553"/>
      <c r="E70" s="553"/>
      <c r="F70" s="553"/>
      <c r="G70" s="551"/>
      <c r="H70" s="551"/>
      <c r="I70" s="551"/>
    </row>
    <row r="71" spans="2:9" ht="15.75">
      <c r="B71" s="552" t="s">
        <v>784</v>
      </c>
      <c r="C71" s="553"/>
      <c r="D71" s="553"/>
      <c r="E71" s="553"/>
      <c r="F71" s="553"/>
      <c r="G71" s="551"/>
      <c r="H71" s="551"/>
      <c r="I71" s="551"/>
    </row>
    <row r="72" spans="2:9" ht="15">
      <c r="B72" s="553"/>
      <c r="C72" s="553"/>
      <c r="D72" s="553"/>
      <c r="E72" s="553"/>
      <c r="F72" s="553"/>
      <c r="G72" s="551"/>
      <c r="H72" s="551"/>
      <c r="I72" s="551"/>
    </row>
    <row r="73" spans="2:9" ht="15.75">
      <c r="B73" s="550" t="s">
        <v>785</v>
      </c>
      <c r="C73" s="553"/>
      <c r="D73" s="553"/>
      <c r="E73" s="553"/>
      <c r="F73" s="553"/>
      <c r="G73" s="551"/>
      <c r="H73" s="551"/>
      <c r="I73" s="551"/>
    </row>
    <row r="74" spans="2:9" ht="15.75">
      <c r="B74" s="550" t="s">
        <v>786</v>
      </c>
      <c r="C74" s="553"/>
      <c r="D74" s="553"/>
      <c r="E74" s="553"/>
      <c r="F74" s="553"/>
      <c r="G74" s="551"/>
      <c r="H74" s="551"/>
      <c r="I74" s="551"/>
    </row>
    <row r="75" spans="2:9" ht="15">
      <c r="B75" s="553"/>
      <c r="C75" s="553"/>
      <c r="D75" s="553"/>
      <c r="E75" s="553"/>
      <c r="F75" s="553"/>
      <c r="G75" s="551"/>
      <c r="H75" s="551"/>
      <c r="I75" s="551"/>
    </row>
    <row r="76" spans="2:9" ht="15.75">
      <c r="B76" s="552" t="s">
        <v>787</v>
      </c>
      <c r="C76" s="553"/>
      <c r="D76" s="553"/>
      <c r="E76" s="553"/>
      <c r="F76" s="553"/>
      <c r="G76" s="551"/>
      <c r="H76" s="551"/>
      <c r="I76" s="551"/>
    </row>
    <row r="77" spans="2:9" ht="15">
      <c r="B77" s="553"/>
      <c r="C77" s="553"/>
      <c r="D77" s="553"/>
      <c r="E77" s="553"/>
      <c r="F77" s="553"/>
      <c r="G77" s="551"/>
      <c r="H77" s="551"/>
      <c r="I77" s="551"/>
    </row>
    <row r="78" spans="2:9" ht="15.75">
      <c r="B78" s="550" t="str">
        <f>CONCATENATE("If the ",G14," municipal budget has not been published and has not been submitted to the County")</f>
        <v>If the 2015 municipal budget has not been published and has not been submitted to the County</v>
      </c>
      <c r="C78" s="553"/>
      <c r="D78" s="553"/>
      <c r="E78" s="553"/>
      <c r="F78" s="553"/>
      <c r="G78" s="551"/>
      <c r="H78" s="551"/>
      <c r="I78" s="551"/>
    </row>
    <row r="79" spans="2:9" ht="15.75">
      <c r="B79" s="550" t="s">
        <v>788</v>
      </c>
      <c r="C79" s="553"/>
      <c r="D79" s="553"/>
      <c r="E79" s="553"/>
      <c r="F79" s="553"/>
      <c r="G79" s="551"/>
      <c r="H79" s="551"/>
      <c r="I79" s="551"/>
    </row>
    <row r="80" spans="2:9" ht="15">
      <c r="B80" s="553"/>
      <c r="C80" s="553"/>
      <c r="D80" s="553"/>
      <c r="E80" s="553"/>
      <c r="F80" s="553"/>
      <c r="G80" s="551"/>
      <c r="H80" s="551"/>
      <c r="I80" s="551"/>
    </row>
    <row r="81" spans="2:9" ht="15.75">
      <c r="B81" s="552" t="s">
        <v>374</v>
      </c>
      <c r="C81" s="553"/>
      <c r="D81" s="553"/>
      <c r="E81" s="553"/>
      <c r="F81" s="553"/>
      <c r="G81" s="551"/>
      <c r="H81" s="551"/>
      <c r="I81" s="551"/>
    </row>
    <row r="82" spans="2:9" ht="15">
      <c r="B82" s="553"/>
      <c r="C82" s="553"/>
      <c r="D82" s="553"/>
      <c r="E82" s="553"/>
      <c r="F82" s="553"/>
      <c r="G82" s="551"/>
      <c r="H82" s="551"/>
      <c r="I82" s="551"/>
    </row>
    <row r="83" spans="2:9" ht="15.75">
      <c r="B83" s="550" t="s">
        <v>789</v>
      </c>
      <c r="C83" s="553"/>
      <c r="D83" s="553"/>
      <c r="E83" s="553"/>
      <c r="F83" s="553"/>
      <c r="G83" s="551"/>
      <c r="H83" s="551"/>
      <c r="I83" s="551"/>
    </row>
    <row r="84" spans="2:9" ht="15.75">
      <c r="B84" s="550" t="str">
        <f>CONCATENATE("Budget Year ",G14," is equal to or greater than that for Current Year Estimate ",E14,".")</f>
        <v>Budget Year 2015 is equal to or greater than that for Current Year Estimate 2014.</v>
      </c>
      <c r="C84" s="553"/>
      <c r="D84" s="553"/>
      <c r="E84" s="553"/>
      <c r="F84" s="553"/>
      <c r="G84" s="551"/>
      <c r="H84" s="551"/>
      <c r="I84" s="551"/>
    </row>
    <row r="85" spans="2:9" ht="15">
      <c r="B85" s="553"/>
      <c r="C85" s="553"/>
      <c r="D85" s="553"/>
      <c r="E85" s="553"/>
      <c r="F85" s="553"/>
      <c r="G85" s="551"/>
      <c r="H85" s="551"/>
      <c r="I85" s="551"/>
    </row>
    <row r="86" spans="2:9" ht="15.75">
      <c r="B86" s="550" t="s">
        <v>790</v>
      </c>
      <c r="C86" s="553"/>
      <c r="D86" s="553"/>
      <c r="E86" s="553"/>
      <c r="F86" s="553"/>
      <c r="G86" s="551"/>
      <c r="H86" s="551"/>
      <c r="I86" s="551"/>
    </row>
    <row r="87" spans="2:9" ht="15.75">
      <c r="B87" s="550" t="s">
        <v>791</v>
      </c>
      <c r="C87" s="553"/>
      <c r="D87" s="553"/>
      <c r="E87" s="553"/>
      <c r="F87" s="553"/>
      <c r="G87" s="551"/>
      <c r="H87" s="551"/>
      <c r="I87" s="551"/>
    </row>
    <row r="88" spans="2:9" ht="15.75">
      <c r="B88" s="550" t="s">
        <v>792</v>
      </c>
      <c r="C88" s="553"/>
      <c r="D88" s="553"/>
      <c r="E88" s="553"/>
      <c r="F88" s="553"/>
      <c r="G88" s="551"/>
      <c r="H88" s="551"/>
      <c r="I88" s="551"/>
    </row>
    <row r="89" spans="2:9" ht="15.75">
      <c r="B89" s="550" t="str">
        <f>CONCATENATE("purpose for the previous (",E14,") year.")</f>
        <v>purpose for the previous (2014) year.</v>
      </c>
      <c r="C89" s="553"/>
      <c r="D89" s="553"/>
      <c r="E89" s="553"/>
      <c r="F89" s="553"/>
      <c r="G89" s="551"/>
      <c r="H89" s="551"/>
      <c r="I89" s="551"/>
    </row>
    <row r="90" spans="2:9" ht="15">
      <c r="B90" s="553"/>
      <c r="C90" s="553"/>
      <c r="D90" s="553"/>
      <c r="E90" s="553"/>
      <c r="F90" s="553"/>
      <c r="G90" s="551"/>
      <c r="H90" s="551"/>
      <c r="I90" s="551"/>
    </row>
    <row r="91" spans="2:9" ht="15.75">
      <c r="B91" s="550" t="str">
        <f>CONCATENATE("Next, look to see if delinquent tax for ",G14," is budgeted. Often this line is budgeted at $0 or left")</f>
        <v>Next, look to see if delinquent tax for 2015 is budgeted. Often this line is budgeted at $0 or left</v>
      </c>
      <c r="C91" s="553"/>
      <c r="D91" s="553"/>
      <c r="E91" s="553"/>
      <c r="F91" s="553"/>
      <c r="G91" s="551"/>
      <c r="H91" s="551"/>
      <c r="I91" s="551"/>
    </row>
    <row r="92" spans="2:9" ht="15.75">
      <c r="B92" s="550" t="s">
        <v>793</v>
      </c>
      <c r="C92" s="553"/>
      <c r="D92" s="553"/>
      <c r="E92" s="553"/>
      <c r="F92" s="553"/>
      <c r="G92" s="551"/>
      <c r="H92" s="551"/>
      <c r="I92" s="551"/>
    </row>
    <row r="93" spans="2:9" ht="15.75">
      <c r="B93" s="550" t="s">
        <v>794</v>
      </c>
      <c r="C93" s="553"/>
      <c r="D93" s="553"/>
      <c r="E93" s="553"/>
      <c r="F93" s="553"/>
      <c r="G93" s="551"/>
      <c r="H93" s="551"/>
      <c r="I93" s="551"/>
    </row>
    <row r="94" spans="2:9" ht="15.75">
      <c r="B94" s="550" t="s">
        <v>795</v>
      </c>
      <c r="C94" s="553"/>
      <c r="D94" s="553"/>
      <c r="E94" s="553"/>
      <c r="F94" s="553"/>
      <c r="G94" s="551"/>
      <c r="H94" s="551"/>
      <c r="I94" s="551"/>
    </row>
    <row r="95" spans="2:9" ht="15">
      <c r="B95" s="553"/>
      <c r="C95" s="553"/>
      <c r="D95" s="553"/>
      <c r="E95" s="553"/>
      <c r="F95" s="553"/>
      <c r="G95" s="551"/>
      <c r="H95" s="551"/>
      <c r="I95" s="551"/>
    </row>
    <row r="96" spans="2:9" ht="15.75">
      <c r="B96" s="552" t="s">
        <v>796</v>
      </c>
      <c r="C96" s="553"/>
      <c r="D96" s="553"/>
      <c r="E96" s="553"/>
      <c r="F96" s="553"/>
      <c r="G96" s="551"/>
      <c r="H96" s="551"/>
      <c r="I96" s="551"/>
    </row>
    <row r="97" spans="2:9" ht="15">
      <c r="B97" s="553"/>
      <c r="C97" s="553"/>
      <c r="D97" s="553"/>
      <c r="E97" s="553"/>
      <c r="F97" s="553"/>
      <c r="G97" s="551"/>
      <c r="H97" s="551"/>
      <c r="I97" s="551"/>
    </row>
    <row r="98" spans="2:9" ht="15.75">
      <c r="B98" s="550" t="s">
        <v>797</v>
      </c>
      <c r="C98" s="553"/>
      <c r="D98" s="553"/>
      <c r="E98" s="553"/>
      <c r="F98" s="553"/>
      <c r="G98" s="551"/>
      <c r="H98" s="551"/>
      <c r="I98" s="551"/>
    </row>
    <row r="99" spans="2:9" ht="15.75">
      <c r="B99" s="550" t="s">
        <v>798</v>
      </c>
      <c r="C99" s="553"/>
      <c r="D99" s="553"/>
      <c r="E99" s="553"/>
      <c r="F99" s="553"/>
      <c r="G99" s="551"/>
      <c r="H99" s="551"/>
      <c r="I99" s="551"/>
    </row>
    <row r="100" spans="2:9" ht="15">
      <c r="B100" s="553"/>
      <c r="C100" s="553"/>
      <c r="D100" s="553"/>
      <c r="E100" s="553"/>
      <c r="F100" s="553"/>
      <c r="G100" s="551"/>
      <c r="H100" s="551"/>
      <c r="I100" s="551"/>
    </row>
    <row r="101" spans="2:9" ht="15.75">
      <c r="B101" s="550" t="s">
        <v>799</v>
      </c>
      <c r="C101" s="553"/>
      <c r="D101" s="553"/>
      <c r="E101" s="553"/>
      <c r="F101" s="553"/>
      <c r="G101" s="551"/>
      <c r="H101" s="551"/>
      <c r="I101" s="551"/>
    </row>
    <row r="102" spans="2:9" ht="15.75">
      <c r="B102" s="550" t="s">
        <v>800</v>
      </c>
      <c r="C102" s="553"/>
      <c r="D102" s="553"/>
      <c r="E102" s="553"/>
      <c r="F102" s="553"/>
      <c r="G102" s="551"/>
      <c r="H102" s="551"/>
      <c r="I102" s="551"/>
    </row>
    <row r="103" spans="2:9" ht="15.75">
      <c r="B103" s="550" t="s">
        <v>801</v>
      </c>
      <c r="C103" s="553"/>
      <c r="D103" s="553"/>
      <c r="E103" s="553"/>
      <c r="F103" s="553"/>
      <c r="G103" s="551"/>
      <c r="H103" s="551"/>
      <c r="I103" s="551"/>
    </row>
    <row r="104" spans="2:9" ht="15.75">
      <c r="B104" s="550" t="s">
        <v>802</v>
      </c>
      <c r="C104" s="553"/>
      <c r="D104" s="553"/>
      <c r="E104" s="553"/>
      <c r="F104" s="553"/>
      <c r="G104" s="551"/>
      <c r="H104" s="551"/>
      <c r="I104" s="551"/>
    </row>
    <row r="105" spans="2:9" ht="15.75">
      <c r="B105" s="716" t="s">
        <v>910</v>
      </c>
      <c r="C105" s="717"/>
      <c r="D105" s="717"/>
      <c r="E105" s="717"/>
      <c r="F105" s="717"/>
      <c r="G105" s="551"/>
      <c r="H105" s="551"/>
      <c r="I105" s="551"/>
    </row>
    <row r="108" ht="15">
      <c r="G108" s="55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59" customWidth="1"/>
    <col min="2" max="2" width="28.59765625" style="559" customWidth="1"/>
    <col min="3" max="4" width="14.19921875" style="559" customWidth="1"/>
    <col min="5" max="5" width="14.59765625" style="559" customWidth="1"/>
    <col min="6" max="6" width="7.296875" style="559" customWidth="1"/>
    <col min="7" max="7" width="9.19921875" style="559" customWidth="1"/>
    <col min="8" max="8" width="8.796875" style="559" customWidth="1"/>
    <col min="9" max="9" width="4.5" style="559" customWidth="1"/>
    <col min="10" max="10" width="9" style="559" customWidth="1"/>
    <col min="11" max="16384" width="8.796875" style="559" customWidth="1"/>
  </cols>
  <sheetData>
    <row r="1" spans="2:5" ht="15.75">
      <c r="B1" s="556" t="str">
        <f>inputPrYr!D2</f>
        <v>Irving Township</v>
      </c>
      <c r="C1" s="556"/>
      <c r="D1" s="557"/>
      <c r="E1" s="558">
        <f>inputPrYr!D5</f>
        <v>2015</v>
      </c>
    </row>
    <row r="2" spans="2:5" ht="15.75">
      <c r="B2" s="557"/>
      <c r="C2" s="557"/>
      <c r="D2" s="557"/>
      <c r="E2" s="560"/>
    </row>
    <row r="3" spans="2:5" ht="15.75">
      <c r="B3" s="509" t="s">
        <v>702</v>
      </c>
      <c r="C3" s="509"/>
      <c r="D3" s="561"/>
      <c r="E3" s="562"/>
    </row>
    <row r="4" spans="2:5" ht="15.75">
      <c r="B4" s="563" t="s">
        <v>10</v>
      </c>
      <c r="C4" s="564" t="s">
        <v>803</v>
      </c>
      <c r="D4" s="565" t="s">
        <v>804</v>
      </c>
      <c r="E4" s="566" t="s">
        <v>805</v>
      </c>
    </row>
    <row r="5" spans="2:5" ht="15.75">
      <c r="B5" s="567" t="str">
        <f>inputPrYr!B17</f>
        <v>Debt Service</v>
      </c>
      <c r="C5" s="568" t="str">
        <f>CONCATENATE("Actual for ",$E$1-2,"")</f>
        <v>Actual for 2013</v>
      </c>
      <c r="D5" s="569" t="str">
        <f>CONCATENATE("Estimate for ",$E$1-1,"")</f>
        <v>Estimate for 2014</v>
      </c>
      <c r="E5" s="570" t="str">
        <f>CONCATENATE("Year for ",$E$1,"")</f>
        <v>Year for 2015</v>
      </c>
    </row>
    <row r="6" spans="2:5" ht="15.75">
      <c r="B6" s="571" t="s">
        <v>129</v>
      </c>
      <c r="C6" s="572"/>
      <c r="D6" s="573">
        <f>C34</f>
        <v>0</v>
      </c>
      <c r="E6" s="574">
        <f>D34</f>
        <v>0</v>
      </c>
    </row>
    <row r="7" spans="2:5" ht="15.75">
      <c r="B7" s="571" t="s">
        <v>117</v>
      </c>
      <c r="C7" s="575"/>
      <c r="D7" s="573"/>
      <c r="E7" s="574"/>
    </row>
    <row r="8" spans="2:5" ht="15.75">
      <c r="B8" s="571" t="s">
        <v>16</v>
      </c>
      <c r="C8" s="576"/>
      <c r="D8" s="573">
        <f>IF(inputPrYr!H15&gt;0,inputPrYr!G17,inputPrYr!E17)</f>
        <v>0</v>
      </c>
      <c r="E8" s="577" t="s">
        <v>272</v>
      </c>
    </row>
    <row r="9" spans="2:5" ht="15.75">
      <c r="B9" s="571" t="s">
        <v>17</v>
      </c>
      <c r="C9" s="576"/>
      <c r="D9" s="578"/>
      <c r="E9" s="579"/>
    </row>
    <row r="10" spans="2:5" ht="15.75">
      <c r="B10" s="571" t="s">
        <v>18</v>
      </c>
      <c r="C10" s="576"/>
      <c r="D10" s="578"/>
      <c r="E10" s="574">
        <f>mvalloc!G12</f>
        <v>0</v>
      </c>
    </row>
    <row r="11" spans="2:5" ht="15.75">
      <c r="B11" s="571" t="s">
        <v>19</v>
      </c>
      <c r="C11" s="576"/>
      <c r="D11" s="578"/>
      <c r="E11" s="574">
        <f>mvalloc!I12</f>
        <v>0</v>
      </c>
    </row>
    <row r="12" spans="2:5" ht="15.75">
      <c r="B12" s="580" t="s">
        <v>99</v>
      </c>
      <c r="C12" s="576"/>
      <c r="D12" s="578"/>
      <c r="E12" s="574">
        <f>mvalloc!J12</f>
        <v>0</v>
      </c>
    </row>
    <row r="13" spans="2:5" ht="15.75">
      <c r="B13" s="581"/>
      <c r="C13" s="576"/>
      <c r="D13" s="578"/>
      <c r="E13" s="582"/>
    </row>
    <row r="14" spans="2:5" ht="15.75">
      <c r="B14" s="581"/>
      <c r="C14" s="576"/>
      <c r="D14" s="578"/>
      <c r="E14" s="579"/>
    </row>
    <row r="15" spans="2:5" ht="15.75">
      <c r="B15" s="581"/>
      <c r="C15" s="576"/>
      <c r="D15" s="578"/>
      <c r="E15" s="579"/>
    </row>
    <row r="16" spans="2:5" ht="15.75">
      <c r="B16" s="581"/>
      <c r="C16" s="576"/>
      <c r="D16" s="578"/>
      <c r="E16" s="579"/>
    </row>
    <row r="17" spans="2:5" ht="15.75">
      <c r="B17" s="583" t="s">
        <v>22</v>
      </c>
      <c r="C17" s="576"/>
      <c r="D17" s="578"/>
      <c r="E17" s="579"/>
    </row>
    <row r="18" spans="2:5" ht="15.75">
      <c r="B18" s="571" t="s">
        <v>195</v>
      </c>
      <c r="C18" s="584"/>
      <c r="D18" s="578"/>
      <c r="E18" s="579"/>
    </row>
    <row r="19" spans="2:5" ht="15.75">
      <c r="B19" s="571" t="s">
        <v>809</v>
      </c>
      <c r="C19" s="585">
        <f>IF(C20*0.1&lt;C18,"Exceed 10% Rule","")</f>
      </c>
      <c r="D19" s="585">
        <f>IF(D20*0.1&lt;D18,"Exceeds 10% Rule","")</f>
      </c>
      <c r="E19" s="586">
        <f>IF(E20*0.1&lt;E18,"Exceed 10% Rule","")</f>
      </c>
    </row>
    <row r="20" spans="2:5" ht="15.75">
      <c r="B20" s="587" t="s">
        <v>23</v>
      </c>
      <c r="C20" s="588">
        <f>SUM(C8:C18)</f>
        <v>0</v>
      </c>
      <c r="D20" s="588">
        <f>SUM(D8:D18)</f>
        <v>0</v>
      </c>
      <c r="E20" s="589">
        <f>SUM(E9:E18)</f>
        <v>0</v>
      </c>
    </row>
    <row r="21" spans="2:5" ht="15.75">
      <c r="B21" s="587" t="s">
        <v>24</v>
      </c>
      <c r="C21" s="588">
        <f>C6+C20</f>
        <v>0</v>
      </c>
      <c r="D21" s="588">
        <f>D6+D20</f>
        <v>0</v>
      </c>
      <c r="E21" s="589">
        <f>E6+E20</f>
        <v>0</v>
      </c>
    </row>
    <row r="22" spans="2:5" ht="15.75">
      <c r="B22" s="571" t="s">
        <v>25</v>
      </c>
      <c r="C22" s="571"/>
      <c r="D22" s="573"/>
      <c r="E22" s="574"/>
    </row>
    <row r="23" spans="2:5" ht="15.75">
      <c r="B23" s="581"/>
      <c r="C23" s="576"/>
      <c r="D23" s="578"/>
      <c r="E23" s="579"/>
    </row>
    <row r="24" spans="2:10" ht="15.75">
      <c r="B24" s="581"/>
      <c r="C24" s="576"/>
      <c r="D24" s="578"/>
      <c r="E24" s="579"/>
      <c r="G24" s="874" t="str">
        <f>CONCATENATE("Desired Carryover Into ",E1+1,"")</f>
        <v>Desired Carryover Into 2016</v>
      </c>
      <c r="H24" s="875"/>
      <c r="I24" s="875"/>
      <c r="J24" s="876"/>
    </row>
    <row r="25" spans="2:10" ht="15.75">
      <c r="B25" s="581"/>
      <c r="C25" s="578"/>
      <c r="D25" s="578"/>
      <c r="E25" s="579"/>
      <c r="G25" s="590"/>
      <c r="H25" s="591"/>
      <c r="I25" s="592"/>
      <c r="J25" s="593"/>
    </row>
    <row r="26" spans="2:10" ht="15.75">
      <c r="B26" s="581"/>
      <c r="C26" s="576"/>
      <c r="D26" s="578"/>
      <c r="E26" s="579"/>
      <c r="G26" s="594" t="s">
        <v>697</v>
      </c>
      <c r="H26" s="592"/>
      <c r="I26" s="592"/>
      <c r="J26" s="595">
        <v>0</v>
      </c>
    </row>
    <row r="27" spans="2:10" ht="15.75">
      <c r="B27" s="581"/>
      <c r="C27" s="576"/>
      <c r="D27" s="578"/>
      <c r="E27" s="579"/>
      <c r="G27" s="590" t="s">
        <v>698</v>
      </c>
      <c r="H27" s="591"/>
      <c r="I27" s="591"/>
      <c r="J27" s="596">
        <f>IF(J26=0,"",ROUND((J26+E40-G39)/inputOth!E7*1000,3)-G44)</f>
      </c>
    </row>
    <row r="28" spans="2:10" ht="15.75">
      <c r="B28" s="581"/>
      <c r="C28" s="576"/>
      <c r="D28" s="578"/>
      <c r="E28" s="579"/>
      <c r="G28" s="597" t="str">
        <f>CONCATENATE("",E1," Tot Exp/Non-Appr Must Be:")</f>
        <v>2015 Tot Exp/Non-Appr Must Be:</v>
      </c>
      <c r="H28" s="598"/>
      <c r="I28" s="599"/>
      <c r="J28" s="600">
        <f>IF(J26&gt;0,IF(E37&lt;E21,IF(J26=G39,E37,((J26-G39)*(1-D39))+E21),E37+(J26-G39)),0)</f>
        <v>0</v>
      </c>
    </row>
    <row r="29" spans="2:10" ht="15.75">
      <c r="B29" s="581"/>
      <c r="C29" s="576"/>
      <c r="D29" s="578"/>
      <c r="E29" s="579"/>
      <c r="G29" s="601" t="s">
        <v>806</v>
      </c>
      <c r="H29" s="602"/>
      <c r="I29" s="602"/>
      <c r="J29" s="603">
        <f>IF(J26&gt;0,J28-E37,0)</f>
        <v>0</v>
      </c>
    </row>
    <row r="30" spans="2:5" ht="15.75">
      <c r="B30" s="604" t="s">
        <v>197</v>
      </c>
      <c r="C30" s="576"/>
      <c r="D30" s="578"/>
      <c r="E30" s="574">
        <f>nhood!E7</f>
      </c>
    </row>
    <row r="31" spans="2:10" ht="15.75">
      <c r="B31" s="604" t="s">
        <v>195</v>
      </c>
      <c r="C31" s="584"/>
      <c r="D31" s="578"/>
      <c r="E31" s="579"/>
      <c r="G31" s="874" t="str">
        <f>CONCATENATE("Projected Carryover Into ",E1+1,"")</f>
        <v>Projected Carryover Into 2016</v>
      </c>
      <c r="H31" s="884"/>
      <c r="I31" s="884"/>
      <c r="J31" s="878"/>
    </row>
    <row r="32" spans="2:10" ht="15.75">
      <c r="B32" s="604" t="s">
        <v>604</v>
      </c>
      <c r="C32" s="585">
        <f>IF(C33*0.1&lt;C31,"Exceed 10% Rule","")</f>
      </c>
      <c r="D32" s="585">
        <f>IF(D33*0.1&lt;D31,"Exceed 10% Rule","")</f>
      </c>
      <c r="E32" s="586">
        <f>IF(E33*0.1&lt;E31,"Exceed 10% Rule","")</f>
      </c>
      <c r="G32" s="590"/>
      <c r="H32" s="592"/>
      <c r="I32" s="592"/>
      <c r="J32" s="605"/>
    </row>
    <row r="33" spans="2:10" ht="15.75">
      <c r="B33" s="587" t="s">
        <v>26</v>
      </c>
      <c r="C33" s="606">
        <f>SUM(C23:C31)</f>
        <v>0</v>
      </c>
      <c r="D33" s="606">
        <f>SUM(D23:D31)</f>
        <v>0</v>
      </c>
      <c r="E33" s="607">
        <f>SUM(E23:E31)</f>
        <v>0</v>
      </c>
      <c r="G33" s="608">
        <f>D34</f>
        <v>0</v>
      </c>
      <c r="H33" s="609" t="str">
        <f>CONCATENATE("",E1-1," Ending Cash Balance (est.)")</f>
        <v>2014 Ending Cash Balance (est.)</v>
      </c>
      <c r="I33" s="610"/>
      <c r="J33" s="605"/>
    </row>
    <row r="34" spans="2:10" ht="15.75">
      <c r="B34" s="571" t="s">
        <v>116</v>
      </c>
      <c r="C34" s="611">
        <f>C21-C33</f>
        <v>0</v>
      </c>
      <c r="D34" s="611">
        <f>D21-D33</f>
        <v>0</v>
      </c>
      <c r="E34" s="577" t="s">
        <v>272</v>
      </c>
      <c r="F34" s="612"/>
      <c r="G34" s="608">
        <f>E20</f>
        <v>0</v>
      </c>
      <c r="H34" s="592" t="str">
        <f>CONCATENATE("",E1," Non-AV Receipts (est.)")</f>
        <v>2015 Non-AV Receipts (est.)</v>
      </c>
      <c r="I34" s="610"/>
      <c r="J34" s="605"/>
    </row>
    <row r="35" spans="2:11" ht="15.75">
      <c r="B35" s="613" t="str">
        <f>CONCATENATE("",E1-2,"/",E1-1," Budget Authority Amount:")</f>
        <v>2013/2014 Budget Authority Amount:</v>
      </c>
      <c r="C35" s="614">
        <f>inputOth!B47</f>
        <v>0</v>
      </c>
      <c r="D35" s="615">
        <f>inputPrYr!D17</f>
        <v>0</v>
      </c>
      <c r="E35" s="577" t="s">
        <v>272</v>
      </c>
      <c r="F35" s="616"/>
      <c r="G35" s="617">
        <f>IF(E39&gt;0,E38,E40)</f>
        <v>0</v>
      </c>
      <c r="H35" s="592" t="str">
        <f>CONCATENATE("",E1," Ad Valorem Tax (est.)")</f>
        <v>2015 Ad Valorem Tax (est.)</v>
      </c>
      <c r="I35" s="592"/>
      <c r="J35" s="714"/>
      <c r="K35" s="715">
        <f>IF(G35=E40,"","Note: Does not include Delinquent Taxes")</f>
      </c>
    </row>
    <row r="36" spans="2:10" ht="15.75">
      <c r="B36" s="613"/>
      <c r="C36" s="795" t="s">
        <v>605</v>
      </c>
      <c r="D36" s="796"/>
      <c r="E36" s="579"/>
      <c r="F36" s="619">
        <f>IF(E33/0.95-E33&lt;E36,"Exceeds 5%","")</f>
      </c>
      <c r="G36" s="608">
        <f>SUM(G33:G35)</f>
        <v>0</v>
      </c>
      <c r="H36" s="592" t="str">
        <f>CONCATENATE("Total ",E1," Resources Available")</f>
        <v>Total 2015 Resources Available</v>
      </c>
      <c r="I36" s="610"/>
      <c r="J36" s="605"/>
    </row>
    <row r="37" spans="2:10" ht="15.75">
      <c r="B37" s="620" t="str">
        <f>CONCATENATE(C93,"     ",D93)</f>
        <v>     </v>
      </c>
      <c r="C37" s="797" t="s">
        <v>606</v>
      </c>
      <c r="D37" s="798"/>
      <c r="E37" s="574">
        <f>E33+E36</f>
        <v>0</v>
      </c>
      <c r="F37" s="612"/>
      <c r="G37" s="621"/>
      <c r="H37" s="592"/>
      <c r="I37" s="592"/>
      <c r="J37" s="605"/>
    </row>
    <row r="38" spans="2:10" ht="15.75">
      <c r="B38" s="620" t="str">
        <f>CONCATENATE(C94,"     ",D94)</f>
        <v>     </v>
      </c>
      <c r="C38" s="622"/>
      <c r="D38" s="560" t="s">
        <v>28</v>
      </c>
      <c r="E38" s="623">
        <f>IF(E37-E21&gt;0,E37-E21,0)</f>
        <v>0</v>
      </c>
      <c r="F38" s="612"/>
      <c r="G38" s="617">
        <f>C33</f>
        <v>0</v>
      </c>
      <c r="H38" s="592" t="str">
        <f>CONCATENATE("Less ",E1-2," Expenditures")</f>
        <v>Less 2013 Expenditures</v>
      </c>
      <c r="I38" s="592"/>
      <c r="J38" s="605"/>
    </row>
    <row r="39" spans="2:10" ht="15.75">
      <c r="B39" s="560"/>
      <c r="C39" s="387" t="s">
        <v>607</v>
      </c>
      <c r="D39" s="624">
        <f>inputOth!E40</f>
        <v>0</v>
      </c>
      <c r="E39" s="574">
        <f>ROUND(IF(D39&gt;0,(E38*D39),0),0)</f>
        <v>0</v>
      </c>
      <c r="F39" s="612"/>
      <c r="G39" s="625">
        <f>G36-G38</f>
        <v>0</v>
      </c>
      <c r="H39" s="626" t="str">
        <f>CONCATENATE("Projected ",E1+1," carryover (est.)")</f>
        <v>Projected 2016 carryover (est.)</v>
      </c>
      <c r="I39" s="627"/>
      <c r="J39" s="628"/>
    </row>
    <row r="40" spans="2:6" ht="16.5" thickBot="1">
      <c r="B40" s="557"/>
      <c r="C40" s="879" t="str">
        <f>CONCATENATE("Amount of  ",E1-1," Ad Valorem Tax")</f>
        <v>Amount of  2014 Ad Valorem Tax</v>
      </c>
      <c r="D40" s="880"/>
      <c r="E40" s="630">
        <f>SUM(E38:E39)</f>
        <v>0</v>
      </c>
      <c r="F40" s="612"/>
    </row>
    <row r="41" spans="2:10" ht="16.5" thickTop="1">
      <c r="B41" s="557"/>
      <c r="C41" s="879"/>
      <c r="D41" s="880"/>
      <c r="E41" s="631"/>
      <c r="F41" s="612"/>
      <c r="G41" s="881" t="s">
        <v>807</v>
      </c>
      <c r="H41" s="882"/>
      <c r="I41" s="882"/>
      <c r="J41" s="883"/>
    </row>
    <row r="42" spans="2:10" ht="15.75">
      <c r="B42" s="557"/>
      <c r="C42" s="629"/>
      <c r="D42" s="557"/>
      <c r="E42" s="557"/>
      <c r="F42" s="612"/>
      <c r="G42" s="632"/>
      <c r="H42" s="609"/>
      <c r="I42" s="633"/>
      <c r="J42" s="634"/>
    </row>
    <row r="43" spans="2:10" ht="15.75">
      <c r="B43" s="563"/>
      <c r="C43" s="563"/>
      <c r="D43" s="561"/>
      <c r="E43" s="561"/>
      <c r="F43" s="612"/>
      <c r="G43" s="635" t="e">
        <f>summ!#REF!</f>
        <v>#REF!</v>
      </c>
      <c r="H43" s="609" t="str">
        <f>CONCATENATE("",E1," Fund Mill Rate")</f>
        <v>2015 Fund Mill Rate</v>
      </c>
      <c r="I43" s="633"/>
      <c r="J43" s="634"/>
    </row>
    <row r="44" spans="2:10" ht="15.75">
      <c r="B44" s="563" t="s">
        <v>10</v>
      </c>
      <c r="C44" s="564" t="s">
        <v>803</v>
      </c>
      <c r="D44" s="565" t="s">
        <v>804</v>
      </c>
      <c r="E44" s="566" t="s">
        <v>805</v>
      </c>
      <c r="F44" s="612"/>
      <c r="G44" s="636" t="e">
        <f>summ!#REF!</f>
        <v>#REF!</v>
      </c>
      <c r="H44" s="609" t="str">
        <f>CONCATENATE("",E1-1," Fund Mill Rate")</f>
        <v>2014 Fund Mill Rate</v>
      </c>
      <c r="I44" s="633"/>
      <c r="J44" s="634"/>
    </row>
    <row r="45" spans="2:10" ht="15.75">
      <c r="B45" s="637" t="str">
        <f>inputPrYr!B18</f>
        <v>Library</v>
      </c>
      <c r="C45" s="568" t="str">
        <f>CONCATENATE("Actual for ",$E$1-2,"")</f>
        <v>Actual for 2013</v>
      </c>
      <c r="D45" s="569" t="str">
        <f>CONCATENATE("Estimate for ",$E$1-1,"")</f>
        <v>Estimate for 2014</v>
      </c>
      <c r="E45" s="570" t="str">
        <f>CONCATENATE("Year for ",$E$1,"")</f>
        <v>Year for 2015</v>
      </c>
      <c r="F45" s="612"/>
      <c r="G45" s="638">
        <f>summ!I21</f>
        <v>16.343</v>
      </c>
      <c r="H45" s="609" t="str">
        <f>CONCATENATE("Total ",E1," Mill Rate")</f>
        <v>Total 2015 Mill Rate</v>
      </c>
      <c r="I45" s="633"/>
      <c r="J45" s="634"/>
    </row>
    <row r="46" spans="2:10" ht="15.75">
      <c r="B46" s="571" t="s">
        <v>129</v>
      </c>
      <c r="C46" s="576">
        <v>0</v>
      </c>
      <c r="D46" s="573">
        <f>C74</f>
        <v>0</v>
      </c>
      <c r="E46" s="574">
        <f>D74</f>
        <v>0</v>
      </c>
      <c r="F46" s="612"/>
      <c r="G46" s="636">
        <f>summ!F21</f>
        <v>17.765</v>
      </c>
      <c r="H46" s="639" t="str">
        <f>CONCATENATE("Total ",E1-1," Mill Rate")</f>
        <v>Total 2014 Mill Rate</v>
      </c>
      <c r="I46" s="640"/>
      <c r="J46" s="641"/>
    </row>
    <row r="47" spans="2:6" ht="15.75">
      <c r="B47" s="642" t="s">
        <v>117</v>
      </c>
      <c r="C47" s="571"/>
      <c r="D47" s="573"/>
      <c r="E47" s="574"/>
      <c r="F47" s="612"/>
    </row>
    <row r="48" spans="2:9" ht="15.75">
      <c r="B48" s="571" t="s">
        <v>16</v>
      </c>
      <c r="C48" s="584"/>
      <c r="D48" s="573">
        <f>IF(inputPrYr!H15&gt;0,inputPrYr!G18,inputPrYr!E18)</f>
        <v>0</v>
      </c>
      <c r="E48" s="577" t="s">
        <v>272</v>
      </c>
      <c r="F48" s="612"/>
      <c r="G48" s="721" t="s">
        <v>915</v>
      </c>
      <c r="H48" s="720"/>
      <c r="I48" s="719" t="str">
        <f>cert!F37</f>
        <v>No</v>
      </c>
    </row>
    <row r="49" spans="2:6" ht="15.75">
      <c r="B49" s="571" t="s">
        <v>17</v>
      </c>
      <c r="C49" s="584"/>
      <c r="D49" s="578"/>
      <c r="E49" s="579"/>
      <c r="F49" s="612"/>
    </row>
    <row r="50" spans="2:6" ht="15.75">
      <c r="B50" s="571" t="s">
        <v>18</v>
      </c>
      <c r="C50" s="584"/>
      <c r="D50" s="578"/>
      <c r="E50" s="574">
        <f>mvalloc!G13</f>
        <v>0</v>
      </c>
      <c r="F50" s="612"/>
    </row>
    <row r="51" spans="2:6" ht="15.75">
      <c r="B51" s="571" t="s">
        <v>19</v>
      </c>
      <c r="C51" s="584"/>
      <c r="D51" s="578"/>
      <c r="E51" s="574">
        <f>mvalloc!I13</f>
        <v>0</v>
      </c>
      <c r="F51" s="612"/>
    </row>
    <row r="52" spans="2:5" ht="15.75">
      <c r="B52" s="580" t="s">
        <v>99</v>
      </c>
      <c r="C52" s="584"/>
      <c r="D52" s="578"/>
      <c r="E52" s="574">
        <f>mvalloc!J13</f>
        <v>0</v>
      </c>
    </row>
    <row r="53" spans="2:5" ht="15.75">
      <c r="B53" s="581"/>
      <c r="C53" s="584"/>
      <c r="D53" s="578"/>
      <c r="E53" s="582"/>
    </row>
    <row r="54" spans="2:5" ht="15.75">
      <c r="B54" s="581"/>
      <c r="C54" s="584"/>
      <c r="D54" s="578"/>
      <c r="E54" s="582"/>
    </row>
    <row r="55" spans="2:5" ht="15.75">
      <c r="B55" s="581"/>
      <c r="C55" s="584"/>
      <c r="D55" s="578"/>
      <c r="E55" s="579"/>
    </row>
    <row r="56" spans="2:5" ht="15.75">
      <c r="B56" s="581"/>
      <c r="C56" s="584"/>
      <c r="D56" s="578"/>
      <c r="E56" s="579"/>
    </row>
    <row r="57" spans="2:5" ht="15.75">
      <c r="B57" s="583" t="s">
        <v>22</v>
      </c>
      <c r="C57" s="584"/>
      <c r="D57" s="578"/>
      <c r="E57" s="579"/>
    </row>
    <row r="58" spans="2:5" ht="15.75">
      <c r="B58" s="571" t="s">
        <v>195</v>
      </c>
      <c r="C58" s="584"/>
      <c r="D58" s="584"/>
      <c r="E58" s="643"/>
    </row>
    <row r="59" spans="2:5" ht="15.75">
      <c r="B59" s="571" t="s">
        <v>809</v>
      </c>
      <c r="C59" s="585">
        <f>IF(C60*0.1&lt;C58,"Exceed 10% Rule","")</f>
      </c>
      <c r="D59" s="585">
        <f>IF(D60*0.1&lt;D58,"Exceeds 10% Rule","")</f>
      </c>
      <c r="E59" s="586">
        <f>IF(E60*0.1&lt;E58,"Exceed 10% Rule","")</f>
      </c>
    </row>
    <row r="60" spans="2:5" ht="15.75">
      <c r="B60" s="587" t="s">
        <v>23</v>
      </c>
      <c r="C60" s="606">
        <f>SUM(C48:C58)</f>
        <v>0</v>
      </c>
      <c r="D60" s="606">
        <f>SUM(D48:D58)</f>
        <v>0</v>
      </c>
      <c r="E60" s="607">
        <f>SUM(E49:E58)</f>
        <v>0</v>
      </c>
    </row>
    <row r="61" spans="2:5" ht="15.75">
      <c r="B61" s="587" t="s">
        <v>24</v>
      </c>
      <c r="C61" s="606">
        <f>C46+C60</f>
        <v>0</v>
      </c>
      <c r="D61" s="606">
        <f>D46+D60</f>
        <v>0</v>
      </c>
      <c r="E61" s="607">
        <f>E46+E60</f>
        <v>0</v>
      </c>
    </row>
    <row r="62" spans="2:5" ht="15.75">
      <c r="B62" s="571" t="s">
        <v>25</v>
      </c>
      <c r="C62" s="571"/>
      <c r="D62" s="573"/>
      <c r="E62" s="574"/>
    </row>
    <row r="63" spans="2:5" ht="15.75">
      <c r="B63" s="581"/>
      <c r="C63" s="576"/>
      <c r="D63" s="578"/>
      <c r="E63" s="579"/>
    </row>
    <row r="64" spans="2:10" ht="15.75">
      <c r="B64" s="581"/>
      <c r="C64" s="576"/>
      <c r="D64" s="578"/>
      <c r="E64" s="579"/>
      <c r="G64" s="874" t="str">
        <f>CONCATENATE("Desired Carryover Into ",E1+1,"")</f>
        <v>Desired Carryover Into 2016</v>
      </c>
      <c r="H64" s="875"/>
      <c r="I64" s="875"/>
      <c r="J64" s="876"/>
    </row>
    <row r="65" spans="2:10" ht="15.75">
      <c r="B65" s="581"/>
      <c r="C65" s="576"/>
      <c r="D65" s="578"/>
      <c r="E65" s="579"/>
      <c r="G65" s="590"/>
      <c r="H65" s="591"/>
      <c r="I65" s="592"/>
      <c r="J65" s="593"/>
    </row>
    <row r="66" spans="2:10" ht="15.75">
      <c r="B66" s="581"/>
      <c r="C66" s="576"/>
      <c r="D66" s="578"/>
      <c r="E66" s="579"/>
      <c r="G66" s="594" t="s">
        <v>697</v>
      </c>
      <c r="H66" s="592"/>
      <c r="I66" s="592"/>
      <c r="J66" s="595">
        <v>0</v>
      </c>
    </row>
    <row r="67" spans="2:10" ht="15.75">
      <c r="B67" s="581"/>
      <c r="C67" s="576"/>
      <c r="D67" s="578"/>
      <c r="E67" s="579"/>
      <c r="G67" s="590" t="s">
        <v>698</v>
      </c>
      <c r="H67" s="591"/>
      <c r="I67" s="591"/>
      <c r="J67" s="596">
        <f>IF(J66=0,"",ROUND((J66+E80-G79)/inputOth!E7*1000,3)-G84)</f>
      </c>
    </row>
    <row r="68" spans="2:10" ht="15.75">
      <c r="B68" s="581"/>
      <c r="C68" s="576"/>
      <c r="D68" s="578"/>
      <c r="E68" s="579"/>
      <c r="G68" s="597" t="str">
        <f>CONCATENATE("",E1," Tot Exp/Non-Appr Must Be:")</f>
        <v>2015 Tot Exp/Non-Appr Must Be:</v>
      </c>
      <c r="H68" s="598"/>
      <c r="I68" s="599"/>
      <c r="J68" s="600">
        <f>IF(J66&gt;0,IF(E77&lt;E61,IF(J66=G79,E77,((J66-G79)*(1-D79))+E61),E77+(J66-G79)),0)</f>
        <v>0</v>
      </c>
    </row>
    <row r="69" spans="2:10" ht="15.75">
      <c r="B69" s="581"/>
      <c r="C69" s="576"/>
      <c r="D69" s="578"/>
      <c r="E69" s="579"/>
      <c r="G69" s="601" t="s">
        <v>806</v>
      </c>
      <c r="H69" s="602"/>
      <c r="I69" s="602"/>
      <c r="J69" s="603">
        <f>IF(J66&gt;0,J68-E77,0)</f>
        <v>0</v>
      </c>
    </row>
    <row r="70" spans="2:6" ht="15.75">
      <c r="B70" s="580" t="s">
        <v>197</v>
      </c>
      <c r="C70" s="576"/>
      <c r="D70" s="578"/>
      <c r="E70" s="574">
        <f>nhood!E8</f>
      </c>
      <c r="F70" s="612"/>
    </row>
    <row r="71" spans="2:10" ht="15.75">
      <c r="B71" s="580" t="s">
        <v>195</v>
      </c>
      <c r="C71" s="584"/>
      <c r="D71" s="578"/>
      <c r="E71" s="579"/>
      <c r="F71" s="612"/>
      <c r="G71" s="874" t="str">
        <f>CONCATENATE("Projected Carryover Into ",E1+1,"")</f>
        <v>Projected Carryover Into 2016</v>
      </c>
      <c r="H71" s="877"/>
      <c r="I71" s="877"/>
      <c r="J71" s="878"/>
    </row>
    <row r="72" spans="2:10" ht="15.75">
      <c r="B72" s="580" t="s">
        <v>604</v>
      </c>
      <c r="C72" s="585">
        <f>IF(C73*0.1&lt;C71,"Exceed 10% Rule","")</f>
      </c>
      <c r="D72" s="585">
        <f>IF(D73*0.1&lt;D71,"Exceed 10% Rule","")</f>
      </c>
      <c r="E72" s="586">
        <f>IF(E73*0.1&lt;E71,"Exceed 10% Rule","")</f>
      </c>
      <c r="F72" s="612"/>
      <c r="G72" s="644"/>
      <c r="H72" s="591"/>
      <c r="I72" s="591"/>
      <c r="J72" s="645"/>
    </row>
    <row r="73" spans="2:10" ht="15.75">
      <c r="B73" s="587" t="s">
        <v>26</v>
      </c>
      <c r="C73" s="606">
        <f>SUM(C63:C71)</f>
        <v>0</v>
      </c>
      <c r="D73" s="606">
        <f>SUM(D63:D71)</f>
        <v>0</v>
      </c>
      <c r="E73" s="607">
        <f>SUM(E63:E71)</f>
        <v>0</v>
      </c>
      <c r="F73" s="612"/>
      <c r="G73" s="608">
        <f>D74</f>
        <v>0</v>
      </c>
      <c r="H73" s="609" t="str">
        <f>CONCATENATE("",E1-1," Ending Cash Balance (est.)")</f>
        <v>2014 Ending Cash Balance (est.)</v>
      </c>
      <c r="I73" s="610"/>
      <c r="J73" s="645"/>
    </row>
    <row r="74" spans="2:10" ht="15.75">
      <c r="B74" s="571" t="s">
        <v>116</v>
      </c>
      <c r="C74" s="611">
        <f>C61-C73</f>
        <v>0</v>
      </c>
      <c r="D74" s="611">
        <f>D61-D73</f>
        <v>0</v>
      </c>
      <c r="E74" s="577" t="s">
        <v>272</v>
      </c>
      <c r="F74" s="612"/>
      <c r="G74" s="608">
        <f>E60</f>
        <v>0</v>
      </c>
      <c r="H74" s="592" t="str">
        <f>CONCATENATE("",E1," Non-AV Receipts (est.)")</f>
        <v>2015 Non-AV Receipts (est.)</v>
      </c>
      <c r="I74" s="610"/>
      <c r="J74" s="645"/>
    </row>
    <row r="75" spans="2:11" ht="15.75">
      <c r="B75" s="613" t="str">
        <f>CONCATENATE("",E1-2,"/",E1-1," Budget Authority Amount:")</f>
        <v>2013/2014 Budget Authority Amount:</v>
      </c>
      <c r="C75" s="614">
        <f>inputOth!B48</f>
        <v>0</v>
      </c>
      <c r="D75" s="614">
        <f>inputPrYr!D18</f>
        <v>0</v>
      </c>
      <c r="E75" s="577" t="s">
        <v>272</v>
      </c>
      <c r="F75" s="616"/>
      <c r="G75" s="617">
        <f>IF(E79&gt;0,E78,E80)</f>
        <v>0</v>
      </c>
      <c r="H75" s="592" t="str">
        <f>CONCATENATE("",E1," Ad Valorem Tax (est.)")</f>
        <v>2015 Ad Valorem Tax (est.)</v>
      </c>
      <c r="I75" s="610"/>
      <c r="J75" s="645"/>
      <c r="K75" s="618">
        <f>IF(G75=E80,"","Note: Does not include Delinquent Taxes")</f>
      </c>
    </row>
    <row r="76" spans="2:10" ht="15.75">
      <c r="B76" s="613"/>
      <c r="C76" s="795" t="s">
        <v>605</v>
      </c>
      <c r="D76" s="796"/>
      <c r="E76" s="579"/>
      <c r="F76" s="646">
        <f>IF(E73/0.95-E73&lt;E76,"Exceeds 5%","")</f>
      </c>
      <c r="G76" s="647">
        <f>SUM(G73:G75)</f>
        <v>0</v>
      </c>
      <c r="H76" s="592" t="str">
        <f>CONCATENATE("Total ",E1," Resources Available")</f>
        <v>Total 2015 Resources Available</v>
      </c>
      <c r="I76" s="648"/>
      <c r="J76" s="645"/>
    </row>
    <row r="77" spans="2:10" ht="15.75">
      <c r="B77" s="620" t="str">
        <f>CONCATENATE(C95,"     ",D95)</f>
        <v>     </v>
      </c>
      <c r="C77" s="797" t="s">
        <v>606</v>
      </c>
      <c r="D77" s="798"/>
      <c r="E77" s="574">
        <f>E73+E76</f>
        <v>0</v>
      </c>
      <c r="F77" s="612"/>
      <c r="G77" s="649"/>
      <c r="H77" s="650"/>
      <c r="I77" s="591"/>
      <c r="J77" s="645"/>
    </row>
    <row r="78" spans="2:10" ht="15.75">
      <c r="B78" s="620" t="str">
        <f>CONCATENATE(C96,"     ",D96)</f>
        <v>     </v>
      </c>
      <c r="C78" s="622"/>
      <c r="D78" s="560" t="s">
        <v>28</v>
      </c>
      <c r="E78" s="623">
        <f>IF(E77-E61&gt;0,E77-E61,0)</f>
        <v>0</v>
      </c>
      <c r="F78" s="612"/>
      <c r="G78" s="617">
        <f>ROUND(C73*0.05+C73,0)</f>
        <v>0</v>
      </c>
      <c r="H78" s="592" t="str">
        <f>CONCATENATE("Less ",E1-2," Expenditures + 5%")</f>
        <v>Less 2013 Expenditures + 5%</v>
      </c>
      <c r="I78" s="648"/>
      <c r="J78" s="645"/>
    </row>
    <row r="79" spans="2:10" ht="15.75">
      <c r="B79" s="560"/>
      <c r="C79" s="387" t="s">
        <v>607</v>
      </c>
      <c r="D79" s="624">
        <f>inputOth!E40</f>
        <v>0</v>
      </c>
      <c r="E79" s="574">
        <f>ROUND(IF(E78&gt;0,(E78*D79),0),0)</f>
        <v>0</v>
      </c>
      <c r="F79" s="612"/>
      <c r="G79" s="625">
        <f>G76-G78</f>
        <v>0</v>
      </c>
      <c r="H79" s="626" t="str">
        <f>CONCATENATE("Projected ",E1+1," carryover (est.)")</f>
        <v>Projected 2016 carryover (est.)</v>
      </c>
      <c r="I79" s="651"/>
      <c r="J79" s="652"/>
    </row>
    <row r="80" spans="2:6" ht="16.5" thickBot="1">
      <c r="B80" s="557"/>
      <c r="C80" s="879" t="str">
        <f>CONCATENATE("Amount of  ",E1-1," Ad Valorem Tax")</f>
        <v>Amount of  2014 Ad Valorem Tax</v>
      </c>
      <c r="D80" s="880"/>
      <c r="E80" s="630">
        <f>E78+E79</f>
        <v>0</v>
      </c>
      <c r="F80" s="653" t="e">
        <f>IF('Library Grant'!F33="","",IF('Library Grant'!F33="Qualify","Qualifies for State Library Grant","See 'Library Grant' tab"))</f>
        <v>#REF!</v>
      </c>
    </row>
    <row r="81" spans="2:10" ht="16.5" thickTop="1">
      <c r="B81" s="560"/>
      <c r="C81" s="879"/>
      <c r="D81" s="880"/>
      <c r="E81" s="631"/>
      <c r="F81" s="612"/>
      <c r="G81" s="881" t="s">
        <v>807</v>
      </c>
      <c r="H81" s="882"/>
      <c r="I81" s="882"/>
      <c r="J81" s="883"/>
    </row>
    <row r="82" spans="2:10" ht="15.75">
      <c r="B82" s="560"/>
      <c r="C82" s="560"/>
      <c r="D82" s="560"/>
      <c r="E82" s="560"/>
      <c r="G82" s="632"/>
      <c r="H82" s="609"/>
      <c r="I82" s="633"/>
      <c r="J82" s="634"/>
    </row>
    <row r="83" spans="2:10" ht="15.75">
      <c r="B83" s="560" t="s">
        <v>9</v>
      </c>
      <c r="C83" s="654"/>
      <c r="D83" s="560"/>
      <c r="E83" s="560"/>
      <c r="F83" s="612"/>
      <c r="G83" s="635" t="e">
        <f>summ!#REF!</f>
        <v>#REF!</v>
      </c>
      <c r="H83" s="609" t="str">
        <f>CONCATENATE("",E1," Fund Mill Rate")</f>
        <v>2015 Fund Mill Rate</v>
      </c>
      <c r="I83" s="633"/>
      <c r="J83" s="634"/>
    </row>
    <row r="84" spans="7:10" ht="15.75">
      <c r="G84" s="636" t="e">
        <f>summ!#REF!</f>
        <v>#REF!</v>
      </c>
      <c r="H84" s="609" t="str">
        <f>CONCATENATE("",E1-1," Fund Mill Rate")</f>
        <v>2014 Fund Mill Rate</v>
      </c>
      <c r="I84" s="633"/>
      <c r="J84" s="634"/>
    </row>
    <row r="85" spans="7:10" ht="15.75">
      <c r="G85" s="638">
        <f>summ!I21</f>
        <v>16.343</v>
      </c>
      <c r="H85" s="609" t="str">
        <f>CONCATENATE("Total ",E1," Mill Rate")</f>
        <v>Total 2015 Mill Rate</v>
      </c>
      <c r="I85" s="633"/>
      <c r="J85" s="634"/>
    </row>
    <row r="86" spans="7:10" ht="15.75">
      <c r="G86" s="636">
        <f>summ!F21</f>
        <v>17.765</v>
      </c>
      <c r="H86" s="639" t="str">
        <f>CONCATENATE("Total ",E1-1," Mill Rate")</f>
        <v>Total 2014 Mill Rate</v>
      </c>
      <c r="I86" s="640"/>
      <c r="J86" s="641"/>
    </row>
    <row r="87" spans="7:10" ht="15.75">
      <c r="G87" s="655"/>
      <c r="H87" s="655"/>
      <c r="I87" s="655"/>
      <c r="J87" s="655"/>
    </row>
    <row r="88" spans="3:9" ht="15.75">
      <c r="C88" s="656" t="s">
        <v>808</v>
      </c>
      <c r="D88" s="656" t="s">
        <v>808</v>
      </c>
      <c r="G88" s="721" t="s">
        <v>915</v>
      </c>
      <c r="H88" s="720"/>
      <c r="I88" s="719" t="str">
        <f>cert!F37</f>
        <v>No</v>
      </c>
    </row>
    <row r="89" spans="3:4" ht="15.75">
      <c r="C89" s="656" t="s">
        <v>808</v>
      </c>
      <c r="D89" s="656" t="s">
        <v>808</v>
      </c>
    </row>
    <row r="91" spans="3:4" ht="15.75">
      <c r="C91" s="656" t="s">
        <v>808</v>
      </c>
      <c r="D91" s="656" t="s">
        <v>808</v>
      </c>
    </row>
    <row r="92" spans="3:4" ht="15.75">
      <c r="C92" s="656" t="s">
        <v>808</v>
      </c>
      <c r="D92" s="656" t="s">
        <v>808</v>
      </c>
    </row>
    <row r="93" spans="3:4" ht="15.75" hidden="1">
      <c r="C93" s="657">
        <f>IF(C33&gt;C35,"See Tab A","")</f>
      </c>
      <c r="D93" s="657">
        <f>IF(D33&gt;D35,"See Tab C","")</f>
      </c>
    </row>
    <row r="94" spans="3:4" ht="15.75" hidden="1">
      <c r="C94" s="657">
        <f>IF(C34&lt;0,"See Tab B","")</f>
      </c>
      <c r="D94" s="657">
        <f>IF(D34&lt;0,"See Tab D","")</f>
      </c>
    </row>
    <row r="95" spans="3:4" ht="15.75" hidden="1">
      <c r="C95" s="658">
        <f>IF(C73&gt;C75,"See Tab A","")</f>
      </c>
      <c r="D95" s="658">
        <f>IF(D73&gt;D75,"See Tab C","")</f>
      </c>
    </row>
    <row r="96" spans="3:4" ht="15.75" hidden="1">
      <c r="C96" s="658">
        <f>IF(C74&lt;0,"See Tab B","")</f>
      </c>
      <c r="D96" s="658">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Irving Township</v>
      </c>
      <c r="C1" s="3"/>
      <c r="D1" s="3"/>
      <c r="E1" s="4">
        <f>inputPrYr!D5</f>
        <v>2015</v>
      </c>
    </row>
    <row r="2" spans="2:5" ht="15.75">
      <c r="B2" s="6"/>
      <c r="C2" s="3"/>
      <c r="D2" s="50"/>
      <c r="E2" s="71"/>
    </row>
    <row r="3" spans="2:5" ht="15.75">
      <c r="B3" s="509" t="s">
        <v>702</v>
      </c>
      <c r="C3" s="55"/>
      <c r="D3" s="55"/>
      <c r="E3" s="55"/>
    </row>
    <row r="4" spans="2:5" ht="15.75">
      <c r="B4" s="11" t="s">
        <v>10</v>
      </c>
      <c r="C4" s="373" t="s">
        <v>11</v>
      </c>
      <c r="D4" s="376" t="s">
        <v>12</v>
      </c>
      <c r="E4" s="12" t="s">
        <v>13</v>
      </c>
    </row>
    <row r="5" spans="2:5" ht="15.75">
      <c r="B5" s="384">
        <f>inputPrYr!B22</f>
        <v>0</v>
      </c>
      <c r="C5" s="374" t="str">
        <f>gen!C5</f>
        <v>Actual for 2013</v>
      </c>
      <c r="D5" s="374" t="str">
        <f>gen!D5</f>
        <v>Estimate for 2014</v>
      </c>
      <c r="E5" s="15" t="str">
        <f>gen!E5</f>
        <v>Year for 2015</v>
      </c>
    </row>
    <row r="6" spans="2:5" ht="15.75">
      <c r="B6" s="16" t="s">
        <v>115</v>
      </c>
      <c r="C6" s="18"/>
      <c r="D6" s="375">
        <f>C34</f>
        <v>0</v>
      </c>
      <c r="E6" s="21">
        <f>D34</f>
        <v>0</v>
      </c>
    </row>
    <row r="7" spans="2:5" ht="15.75">
      <c r="B7" s="16" t="s">
        <v>117</v>
      </c>
      <c r="C7" s="375"/>
      <c r="D7" s="375"/>
      <c r="E7" s="22"/>
    </row>
    <row r="8" spans="2:5" ht="15.75">
      <c r="B8" s="16" t="s">
        <v>16</v>
      </c>
      <c r="C8" s="18"/>
      <c r="D8" s="375">
        <f>IF(inputPrYr!H15&gt;0,inputPrYr!G22,inputPrYr!E22)</f>
        <v>0</v>
      </c>
      <c r="E8" s="22" t="s">
        <v>272</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195</v>
      </c>
      <c r="C18" s="18"/>
      <c r="D18" s="18"/>
      <c r="E18" s="23"/>
    </row>
    <row r="19" spans="2:5" ht="15.75">
      <c r="B19" s="28" t="s">
        <v>196</v>
      </c>
      <c r="C19" s="372">
        <f>IF(C20*0.1&lt;C18,"Exceed 10% Rule","")</f>
      </c>
      <c r="D19" s="372">
        <f>IF(D20*0.1&lt;D18,"Exceed 10% Rule","")</f>
      </c>
      <c r="E19" s="34">
        <f>IF(E20*0.1+E40&lt;E18,"Exceed 10% Rule","")</f>
      </c>
    </row>
    <row r="20" spans="2:5" ht="15.75">
      <c r="B20" s="30" t="s">
        <v>23</v>
      </c>
      <c r="C20" s="377">
        <f>SUM(C8:C18)</f>
        <v>0</v>
      </c>
      <c r="D20" s="377">
        <f>SUM(D8:D18)</f>
        <v>0</v>
      </c>
      <c r="E20" s="31">
        <f>SUM(E8:E18)</f>
        <v>0</v>
      </c>
    </row>
    <row r="21" spans="2:5" ht="15.75">
      <c r="B21" s="32" t="s">
        <v>24</v>
      </c>
      <c r="C21" s="377">
        <f>C20+C6</f>
        <v>0</v>
      </c>
      <c r="D21" s="377">
        <f>D20+D6</f>
        <v>0</v>
      </c>
      <c r="E21" s="31">
        <f>E20+E6</f>
        <v>0</v>
      </c>
    </row>
    <row r="22" spans="2:5" ht="15.75">
      <c r="B22" s="16" t="s">
        <v>25</v>
      </c>
      <c r="C22" s="375"/>
      <c r="D22" s="375"/>
      <c r="E22" s="21"/>
    </row>
    <row r="23" spans="2:5" ht="15.75">
      <c r="B23" s="27"/>
      <c r="C23" s="18"/>
      <c r="D23" s="18"/>
      <c r="E23" s="23"/>
    </row>
    <row r="24" spans="2:11" ht="15.75">
      <c r="B24" s="27"/>
      <c r="C24" s="18"/>
      <c r="D24" s="18"/>
      <c r="E24" s="23"/>
      <c r="G24" s="874" t="str">
        <f>CONCATENATE("Desired Carryover Into ",E1+1,"")</f>
        <v>Desired Carryover Into 2016</v>
      </c>
      <c r="H24" s="875"/>
      <c r="I24" s="875"/>
      <c r="J24" s="876"/>
      <c r="K24" s="559"/>
    </row>
    <row r="25" spans="2:11" ht="15.75">
      <c r="B25" s="27"/>
      <c r="C25" s="18"/>
      <c r="D25" s="18"/>
      <c r="E25" s="23"/>
      <c r="G25" s="590"/>
      <c r="H25" s="591"/>
      <c r="I25" s="592"/>
      <c r="J25" s="593"/>
      <c r="K25" s="559"/>
    </row>
    <row r="26" spans="2:11" ht="15.75">
      <c r="B26" s="27"/>
      <c r="C26" s="18"/>
      <c r="D26" s="18"/>
      <c r="E26" s="23"/>
      <c r="G26" s="594" t="s">
        <v>697</v>
      </c>
      <c r="H26" s="592"/>
      <c r="I26" s="592"/>
      <c r="J26" s="595">
        <v>0</v>
      </c>
      <c r="K26" s="559"/>
    </row>
    <row r="27" spans="2:11" ht="15.75">
      <c r="B27" s="27"/>
      <c r="C27" s="18"/>
      <c r="D27" s="18"/>
      <c r="E27" s="23"/>
      <c r="G27" s="590" t="s">
        <v>698</v>
      </c>
      <c r="H27" s="591"/>
      <c r="I27" s="591"/>
      <c r="J27" s="596">
        <f>IF(J26=0,"",ROUND((J26+E40-G39)/inputOth!E7*1000,3)-G44)</f>
      </c>
      <c r="K27" s="559"/>
    </row>
    <row r="28" spans="2:11" ht="15.75">
      <c r="B28" s="27"/>
      <c r="C28" s="18"/>
      <c r="D28" s="18"/>
      <c r="E28" s="23"/>
      <c r="G28" s="597" t="str">
        <f>CONCATENATE("",E1," Tot Exp/Non-Appr Must Be:")</f>
        <v>2015 Tot Exp/Non-Appr Must Be:</v>
      </c>
      <c r="H28" s="598"/>
      <c r="I28" s="599"/>
      <c r="J28" s="600">
        <f>IF(J26&gt;0,IF(E37&lt;E21,IF(J26=G39,E37,((J26-G39)*(1-D39))+E21),E37+(J26-G39)),0)</f>
        <v>0</v>
      </c>
      <c r="K28" s="559"/>
    </row>
    <row r="29" spans="2:11" ht="15.75">
      <c r="B29" s="27"/>
      <c r="C29" s="18"/>
      <c r="D29" s="18"/>
      <c r="E29" s="23"/>
      <c r="G29" s="601" t="s">
        <v>806</v>
      </c>
      <c r="H29" s="602"/>
      <c r="I29" s="602"/>
      <c r="J29" s="603">
        <f>IF(J26&gt;0,J28-E37,0)</f>
        <v>0</v>
      </c>
      <c r="K29" s="559"/>
    </row>
    <row r="30" spans="2:11" ht="15.75">
      <c r="B30" s="24" t="s">
        <v>197</v>
      </c>
      <c r="C30" s="18"/>
      <c r="D30" s="18"/>
      <c r="E30" s="35">
        <f>nhood!E12</f>
      </c>
      <c r="G30" s="559"/>
      <c r="H30" s="559"/>
      <c r="I30" s="559"/>
      <c r="J30" s="559"/>
      <c r="K30" s="559"/>
    </row>
    <row r="31" spans="2:11" ht="15.75">
      <c r="B31" s="24" t="s">
        <v>195</v>
      </c>
      <c r="C31" s="18"/>
      <c r="D31" s="18"/>
      <c r="E31" s="23"/>
      <c r="G31" s="874" t="str">
        <f>CONCATENATE("Projected Carryover Into ",E1+1,"")</f>
        <v>Projected Carryover Into 2016</v>
      </c>
      <c r="H31" s="884"/>
      <c r="I31" s="884"/>
      <c r="J31" s="878"/>
      <c r="K31" s="559"/>
    </row>
    <row r="32" spans="2:11" ht="15.75">
      <c r="B32" s="24" t="s">
        <v>604</v>
      </c>
      <c r="C32" s="372">
        <f>IF(C33*0.1&lt;C31,"Exceed 10% Rule","")</f>
      </c>
      <c r="D32" s="372">
        <f>IF(D33*0.1&lt;D31,"Exceed 10% Rule","")</f>
      </c>
      <c r="E32" s="34">
        <f>IF(E33*0.1&lt;E31,"Exceed 10% Rule","")</f>
      </c>
      <c r="G32" s="590"/>
      <c r="H32" s="592"/>
      <c r="I32" s="592"/>
      <c r="J32" s="605"/>
      <c r="K32" s="559"/>
    </row>
    <row r="33" spans="2:11" ht="15.75">
      <c r="B33" s="32" t="s">
        <v>26</v>
      </c>
      <c r="C33" s="377">
        <f>SUM(C23:C31)</f>
        <v>0</v>
      </c>
      <c r="D33" s="377">
        <f>SUM(D23:D31)</f>
        <v>0</v>
      </c>
      <c r="E33" s="31">
        <f>SUM(E23:E31)</f>
        <v>0</v>
      </c>
      <c r="G33" s="608">
        <f>D34</f>
        <v>0</v>
      </c>
      <c r="H33" s="609" t="str">
        <f>CONCATENATE("",E1-1," Ending Cash Balance (est.)")</f>
        <v>2014 Ending Cash Balance (est.)</v>
      </c>
      <c r="I33" s="610"/>
      <c r="J33" s="605"/>
      <c r="K33" s="559"/>
    </row>
    <row r="34" spans="2:11" ht="15.75">
      <c r="B34" s="16" t="s">
        <v>116</v>
      </c>
      <c r="C34" s="370">
        <f>C21-C33</f>
        <v>0</v>
      </c>
      <c r="D34" s="370">
        <f>D21-D33</f>
        <v>0</v>
      </c>
      <c r="E34" s="22" t="s">
        <v>272</v>
      </c>
      <c r="G34" s="608">
        <f>E20</f>
        <v>0</v>
      </c>
      <c r="H34" s="592" t="str">
        <f>CONCATENATE("",E1," Non-AV Receipts (est.)")</f>
        <v>2015 Non-AV Receipts (est.)</v>
      </c>
      <c r="I34" s="610"/>
      <c r="J34" s="605"/>
      <c r="K34" s="559"/>
    </row>
    <row r="35" spans="2:11" ht="15.75">
      <c r="B35" s="37" t="str">
        <f>CONCATENATE("",E1-2,"/",E1-1," Budget Authority Amount:")</f>
        <v>2013/2014 Budget Authority Amount:</v>
      </c>
      <c r="C35" s="121">
        <f>inputOth!B52</f>
        <v>0</v>
      </c>
      <c r="D35" s="149">
        <f>inputPrYr!D22</f>
        <v>0</v>
      </c>
      <c r="E35" s="22" t="s">
        <v>272</v>
      </c>
      <c r="F35" s="39"/>
      <c r="G35" s="617">
        <f>IF(E39&gt;0,E38,E40)</f>
        <v>0</v>
      </c>
      <c r="H35" s="592" t="str">
        <f>CONCATENATE("",E1," Ad Valorem Tax (est.)")</f>
        <v>2015 Ad Valorem Tax (est.)</v>
      </c>
      <c r="I35" s="610"/>
      <c r="J35" s="605"/>
      <c r="K35" s="618">
        <f>IF(G35=E40,"","Note: Does not include Delinquent Taxes")</f>
      </c>
    </row>
    <row r="36" spans="2:11" ht="15.75">
      <c r="B36" s="37"/>
      <c r="C36" s="795" t="s">
        <v>605</v>
      </c>
      <c r="D36" s="796"/>
      <c r="E36" s="23"/>
      <c r="F36" s="470">
        <f>IF(E33/0.95-E33&lt;E36,"Exceeds 5%","")</f>
      </c>
      <c r="G36" s="608">
        <f>SUM(G33:G35)</f>
        <v>0</v>
      </c>
      <c r="H36" s="592" t="str">
        <f>CONCATENATE("Total ",E1," Resources Available")</f>
        <v>Total 2015 Resources Available</v>
      </c>
      <c r="I36" s="610"/>
      <c r="J36" s="605"/>
      <c r="K36" s="559"/>
    </row>
    <row r="37" spans="2:11" ht="15.75">
      <c r="B37" s="383" t="str">
        <f>CONCATENATE(C92,"     ",D92)</f>
        <v>     </v>
      </c>
      <c r="C37" s="797" t="s">
        <v>606</v>
      </c>
      <c r="D37" s="798"/>
      <c r="E37" s="21">
        <f>E33+E36</f>
        <v>0</v>
      </c>
      <c r="G37" s="621"/>
      <c r="H37" s="592"/>
      <c r="I37" s="592"/>
      <c r="J37" s="605"/>
      <c r="K37" s="559"/>
    </row>
    <row r="38" spans="2:11" ht="15.75">
      <c r="B38" s="383" t="str">
        <f>CONCATENATE(C93,"     ",D93)</f>
        <v>     </v>
      </c>
      <c r="C38" s="49"/>
      <c r="D38" s="41" t="s">
        <v>28</v>
      </c>
      <c r="E38" s="35">
        <f>IF(E37-E21&gt;0,E37-E21,0)</f>
        <v>0</v>
      </c>
      <c r="G38" s="617">
        <f>C33*0.05+C33</f>
        <v>0</v>
      </c>
      <c r="H38" s="592" t="str">
        <f>CONCATENATE("Less ",E1-2," Expenditures + 5%")</f>
        <v>Less 2013 Expenditures + 5%</v>
      </c>
      <c r="I38" s="592"/>
      <c r="J38" s="605"/>
      <c r="K38" s="559"/>
    </row>
    <row r="39" spans="2:11" ht="15.75">
      <c r="B39" s="41"/>
      <c r="C39" s="387" t="s">
        <v>607</v>
      </c>
      <c r="D39" s="666">
        <f>inputOth!$E$40</f>
        <v>0</v>
      </c>
      <c r="E39" s="21">
        <f>ROUND(IF(D39&gt;0,(E38*D39),0),0)</f>
        <v>0</v>
      </c>
      <c r="G39" s="625">
        <f>G36-G38</f>
        <v>0</v>
      </c>
      <c r="H39" s="626" t="str">
        <f>CONCATENATE("Projected ",E1+1," carryover (est.)")</f>
        <v>Projected 2016 carryover (est.)</v>
      </c>
      <c r="I39" s="627"/>
      <c r="J39" s="628"/>
      <c r="K39" s="559"/>
    </row>
    <row r="40" spans="2:11" ht="15.75">
      <c r="B40" s="3"/>
      <c r="C40" s="793" t="str">
        <f>CONCATENATE("Amount of  ",$E$1-1," Ad Valorem Tax")</f>
        <v>Amount of  2014 Ad Valorem Tax</v>
      </c>
      <c r="D40" s="794"/>
      <c r="E40" s="35">
        <f>E38+E39</f>
        <v>0</v>
      </c>
      <c r="G40" s="559"/>
      <c r="H40" s="559"/>
      <c r="I40" s="559"/>
      <c r="J40" s="559"/>
      <c r="K40" s="559"/>
    </row>
    <row r="41" spans="2:11" ht="15.75">
      <c r="B41" s="3"/>
      <c r="C41" s="516"/>
      <c r="D41" s="3"/>
      <c r="E41" s="3"/>
      <c r="G41" s="881" t="s">
        <v>807</v>
      </c>
      <c r="H41" s="882"/>
      <c r="I41" s="882"/>
      <c r="J41" s="883"/>
      <c r="K41" s="559"/>
    </row>
    <row r="42" spans="2:11" ht="15.75">
      <c r="B42" s="3"/>
      <c r="C42" s="516"/>
      <c r="D42" s="3"/>
      <c r="E42" s="3"/>
      <c r="G42" s="632"/>
      <c r="H42" s="609"/>
      <c r="I42" s="633"/>
      <c r="J42" s="634"/>
      <c r="K42" s="559"/>
    </row>
    <row r="43" spans="2:11" ht="15.75">
      <c r="B43" s="11" t="s">
        <v>10</v>
      </c>
      <c r="C43" s="55"/>
      <c r="D43" s="55"/>
      <c r="E43" s="55"/>
      <c r="G43" s="635" t="e">
        <f>summ!#REF!</f>
        <v>#REF!</v>
      </c>
      <c r="H43" s="609" t="str">
        <f>CONCATENATE("",E1," Fund Mill Rate")</f>
        <v>2015 Fund Mill Rate</v>
      </c>
      <c r="I43" s="633"/>
      <c r="J43" s="634"/>
      <c r="K43" s="559"/>
    </row>
    <row r="44" spans="2:11" ht="15.75">
      <c r="B44" s="3"/>
      <c r="C44" s="373" t="s">
        <v>11</v>
      </c>
      <c r="D44" s="376" t="s">
        <v>12</v>
      </c>
      <c r="E44" s="12" t="s">
        <v>13</v>
      </c>
      <c r="G44" s="636" t="e">
        <f>summ!#REF!</f>
        <v>#REF!</v>
      </c>
      <c r="H44" s="609" t="str">
        <f>CONCATENATE("",E1-1," Fund Mill Rate")</f>
        <v>2014 Fund Mill Rate</v>
      </c>
      <c r="I44" s="633"/>
      <c r="J44" s="634"/>
      <c r="K44" s="559"/>
    </row>
    <row r="45" spans="2:11" ht="15.75">
      <c r="B45" s="465">
        <f>inputPrYr!B23</f>
        <v>0</v>
      </c>
      <c r="C45" s="374" t="str">
        <f>C5</f>
        <v>Actual for 2013</v>
      </c>
      <c r="D45" s="374" t="str">
        <f>D5</f>
        <v>Estimate for 2014</v>
      </c>
      <c r="E45" s="15" t="str">
        <f>E5</f>
        <v>Year for 2015</v>
      </c>
      <c r="G45" s="638">
        <f>summ!I21</f>
        <v>16.343</v>
      </c>
      <c r="H45" s="609" t="str">
        <f>CONCATENATE("Total ",E1," Mill Rate")</f>
        <v>Total 2015 Mill Rate</v>
      </c>
      <c r="I45" s="633"/>
      <c r="J45" s="634"/>
      <c r="K45" s="559"/>
    </row>
    <row r="46" spans="2:11" ht="15.75">
      <c r="B46" s="16" t="s">
        <v>115</v>
      </c>
      <c r="C46" s="18"/>
      <c r="D46" s="375">
        <f>C74</f>
        <v>0</v>
      </c>
      <c r="E46" s="21">
        <f>D74</f>
        <v>0</v>
      </c>
      <c r="G46" s="636">
        <f>summ!F21</f>
        <v>17.765</v>
      </c>
      <c r="H46" s="639" t="str">
        <f>CONCATENATE("Total ",E1-1," Mill Rate")</f>
        <v>Total 2014 Mill Rate</v>
      </c>
      <c r="I46" s="640"/>
      <c r="J46" s="641"/>
      <c r="K46" s="559"/>
    </row>
    <row r="47" spans="2:11" ht="15.75">
      <c r="B47" s="16" t="s">
        <v>117</v>
      </c>
      <c r="C47" s="375"/>
      <c r="D47" s="375"/>
      <c r="E47" s="22"/>
      <c r="G47" s="559"/>
      <c r="H47" s="559"/>
      <c r="I47" s="559"/>
      <c r="J47" s="559"/>
      <c r="K47" s="559"/>
    </row>
    <row r="48" spans="2:11" ht="15.75">
      <c r="B48" s="16" t="s">
        <v>16</v>
      </c>
      <c r="C48" s="18"/>
      <c r="D48" s="375">
        <f>IF(inputPrYr!H15&gt;0,inputPrYr!G23,inputPrYr!E23)</f>
        <v>0</v>
      </c>
      <c r="E48" s="22" t="s">
        <v>272</v>
      </c>
      <c r="G48" s="721" t="s">
        <v>915</v>
      </c>
      <c r="H48" s="720"/>
      <c r="I48" s="719" t="str">
        <f>cert!F37</f>
        <v>No</v>
      </c>
      <c r="J48" s="559"/>
      <c r="K48" s="559"/>
    </row>
    <row r="49" spans="2:11" ht="15.75">
      <c r="B49" s="16" t="s">
        <v>17</v>
      </c>
      <c r="C49" s="18"/>
      <c r="D49" s="18"/>
      <c r="E49" s="23"/>
      <c r="G49" s="559"/>
      <c r="H49" s="559"/>
      <c r="I49" s="559"/>
      <c r="J49" s="559"/>
      <c r="K49" s="559"/>
    </row>
    <row r="50" spans="2:11" ht="15.75">
      <c r="B50" s="16" t="s">
        <v>18</v>
      </c>
      <c r="C50" s="18"/>
      <c r="D50" s="18"/>
      <c r="E50" s="21">
        <f>mvalloc!G18</f>
        <v>0</v>
      </c>
      <c r="G50" s="559"/>
      <c r="H50" s="559"/>
      <c r="I50" s="559"/>
      <c r="J50" s="559"/>
      <c r="K50" s="559"/>
    </row>
    <row r="51" spans="2:11" ht="15.75">
      <c r="B51" s="16" t="s">
        <v>19</v>
      </c>
      <c r="C51" s="18"/>
      <c r="D51" s="18"/>
      <c r="E51" s="21">
        <f>mvalloc!I18</f>
        <v>0</v>
      </c>
      <c r="G51" s="559"/>
      <c r="H51" s="559"/>
      <c r="I51" s="559"/>
      <c r="J51" s="559"/>
      <c r="K51" s="559"/>
    </row>
    <row r="52" spans="2:11" ht="15.75">
      <c r="B52" s="16" t="s">
        <v>99</v>
      </c>
      <c r="C52" s="18"/>
      <c r="D52" s="18"/>
      <c r="E52" s="21">
        <f>mvalloc!J18</f>
        <v>0</v>
      </c>
      <c r="G52" s="559"/>
      <c r="H52" s="559"/>
      <c r="I52" s="559"/>
      <c r="J52" s="559"/>
      <c r="K52" s="559"/>
    </row>
    <row r="53" spans="2:11" ht="15.75">
      <c r="B53" s="27"/>
      <c r="C53" s="18"/>
      <c r="D53" s="18"/>
      <c r="E53" s="23"/>
      <c r="G53" s="559"/>
      <c r="H53" s="559"/>
      <c r="I53" s="559"/>
      <c r="J53" s="559"/>
      <c r="K53" s="559"/>
    </row>
    <row r="54" spans="2:11" ht="15.75">
      <c r="B54" s="27"/>
      <c r="C54" s="18"/>
      <c r="D54" s="18"/>
      <c r="E54" s="23"/>
      <c r="G54" s="559"/>
      <c r="H54" s="559"/>
      <c r="I54" s="559"/>
      <c r="J54" s="559"/>
      <c r="K54" s="559"/>
    </row>
    <row r="55" spans="2:11" ht="15.75">
      <c r="B55" s="27"/>
      <c r="C55" s="18"/>
      <c r="D55" s="18"/>
      <c r="E55" s="23"/>
      <c r="G55" s="559"/>
      <c r="H55" s="559"/>
      <c r="I55" s="559"/>
      <c r="J55" s="559"/>
      <c r="K55" s="559"/>
    </row>
    <row r="56" spans="2:11" ht="15.75">
      <c r="B56" s="27"/>
      <c r="C56" s="18"/>
      <c r="D56" s="18"/>
      <c r="E56" s="23"/>
      <c r="G56" s="559"/>
      <c r="H56" s="559"/>
      <c r="I56" s="559"/>
      <c r="J56" s="559"/>
      <c r="K56" s="559"/>
    </row>
    <row r="57" spans="2:11" ht="15.75">
      <c r="B57" s="27" t="s">
        <v>22</v>
      </c>
      <c r="C57" s="18"/>
      <c r="D57" s="18"/>
      <c r="E57" s="23"/>
      <c r="G57" s="559"/>
      <c r="H57" s="559"/>
      <c r="I57" s="559"/>
      <c r="J57" s="559"/>
      <c r="K57" s="559"/>
    </row>
    <row r="58" spans="2:11" ht="15.75">
      <c r="B58" s="28" t="s">
        <v>195</v>
      </c>
      <c r="C58" s="18"/>
      <c r="D58" s="18"/>
      <c r="E58" s="23"/>
      <c r="G58" s="559"/>
      <c r="H58" s="559"/>
      <c r="I58" s="559"/>
      <c r="J58" s="559"/>
      <c r="K58" s="559"/>
    </row>
    <row r="59" spans="2:11" ht="15.75">
      <c r="B59" s="28" t="s">
        <v>196</v>
      </c>
      <c r="C59" s="372">
        <f>IF(C60*0.1&lt;C58,"Exceed 10% Rule","")</f>
      </c>
      <c r="D59" s="372">
        <f>IF(D60*0.1&lt;D58,"Exceed 10% Rule","")</f>
      </c>
      <c r="E59" s="34">
        <f>IF(E60*0.1+E80&lt;E58,"Exceed 10% Rule","")</f>
      </c>
      <c r="G59" s="559"/>
      <c r="H59" s="559"/>
      <c r="I59" s="559"/>
      <c r="J59" s="559"/>
      <c r="K59" s="559"/>
    </row>
    <row r="60" spans="2:11" ht="15.75">
      <c r="B60" s="30" t="s">
        <v>23</v>
      </c>
      <c r="C60" s="377">
        <f>SUM(C48:C58)</f>
        <v>0</v>
      </c>
      <c r="D60" s="377">
        <f>SUM(D48:D58)</f>
        <v>0</v>
      </c>
      <c r="E60" s="31">
        <f>SUM(E48:E58)</f>
        <v>0</v>
      </c>
      <c r="G60" s="559"/>
      <c r="H60" s="559"/>
      <c r="I60" s="559"/>
      <c r="J60" s="559"/>
      <c r="K60" s="559"/>
    </row>
    <row r="61" spans="2:11" ht="15.75">
      <c r="B61" s="32" t="s">
        <v>24</v>
      </c>
      <c r="C61" s="377">
        <f>C60+C46</f>
        <v>0</v>
      </c>
      <c r="D61" s="377">
        <f>D60+D46</f>
        <v>0</v>
      </c>
      <c r="E61" s="31">
        <f>E60+E46</f>
        <v>0</v>
      </c>
      <c r="G61" s="559"/>
      <c r="H61" s="559"/>
      <c r="I61" s="559"/>
      <c r="J61" s="559"/>
      <c r="K61" s="559"/>
    </row>
    <row r="62" spans="2:11" ht="15.75">
      <c r="B62" s="16" t="s">
        <v>25</v>
      </c>
      <c r="C62" s="375"/>
      <c r="D62" s="375"/>
      <c r="E62" s="21"/>
      <c r="G62" s="559"/>
      <c r="H62" s="559"/>
      <c r="I62" s="559"/>
      <c r="J62" s="559"/>
      <c r="K62" s="559"/>
    </row>
    <row r="63" spans="2:11" ht="15.75">
      <c r="B63" s="27"/>
      <c r="C63" s="18"/>
      <c r="D63" s="18"/>
      <c r="E63" s="23"/>
      <c r="G63" s="559"/>
      <c r="H63" s="559"/>
      <c r="I63" s="559"/>
      <c r="J63" s="559"/>
      <c r="K63" s="559"/>
    </row>
    <row r="64" spans="2:11" ht="15.75">
      <c r="B64" s="27"/>
      <c r="C64" s="18"/>
      <c r="D64" s="18"/>
      <c r="E64" s="23"/>
      <c r="G64" s="874" t="str">
        <f>CONCATENATE("Desired Carryover Into ",E1+1,"")</f>
        <v>Desired Carryover Into 2016</v>
      </c>
      <c r="H64" s="875"/>
      <c r="I64" s="875"/>
      <c r="J64" s="876"/>
      <c r="K64" s="559"/>
    </row>
    <row r="65" spans="2:11" ht="15.75">
      <c r="B65" s="27"/>
      <c r="C65" s="18"/>
      <c r="D65" s="18"/>
      <c r="E65" s="23"/>
      <c r="G65" s="590"/>
      <c r="H65" s="591"/>
      <c r="I65" s="592"/>
      <c r="J65" s="593"/>
      <c r="K65" s="559"/>
    </row>
    <row r="66" spans="2:11" ht="15.75">
      <c r="B66" s="27"/>
      <c r="C66" s="18"/>
      <c r="D66" s="18"/>
      <c r="E66" s="23"/>
      <c r="G66" s="594" t="s">
        <v>697</v>
      </c>
      <c r="H66" s="592"/>
      <c r="I66" s="592"/>
      <c r="J66" s="595">
        <v>0</v>
      </c>
      <c r="K66" s="559"/>
    </row>
    <row r="67" spans="2:11" ht="15.75">
      <c r="B67" s="27"/>
      <c r="C67" s="18"/>
      <c r="D67" s="18"/>
      <c r="E67" s="23"/>
      <c r="G67" s="590" t="s">
        <v>698</v>
      </c>
      <c r="H67" s="591"/>
      <c r="I67" s="591"/>
      <c r="J67" s="596">
        <f>IF(J66=0,"",ROUND((J66+E80-G79)/inputOth!E7*1000,3)-G84)</f>
      </c>
      <c r="K67" s="559"/>
    </row>
    <row r="68" spans="2:11" ht="15.75">
      <c r="B68" s="27"/>
      <c r="C68" s="18"/>
      <c r="D68" s="18"/>
      <c r="E68" s="23"/>
      <c r="G68" s="597" t="str">
        <f>CONCATENATE("",E1," Tot Exp/Non-Appr Must Be:")</f>
        <v>2015 Tot Exp/Non-Appr Must Be:</v>
      </c>
      <c r="H68" s="598"/>
      <c r="I68" s="599"/>
      <c r="J68" s="600">
        <f>IF(J66&gt;0,IF(E77&lt;E61,IF(J66=G79,E77,((J66-G79)*(1-D79))+E61),E77+(J66-G79)),0)</f>
        <v>0</v>
      </c>
      <c r="K68" s="559"/>
    </row>
    <row r="69" spans="2:11" ht="15.75">
      <c r="B69" s="27"/>
      <c r="C69" s="18"/>
      <c r="D69" s="18"/>
      <c r="E69" s="23"/>
      <c r="G69" s="601" t="s">
        <v>806</v>
      </c>
      <c r="H69" s="602"/>
      <c r="I69" s="602"/>
      <c r="J69" s="603">
        <f>IF(J66&gt;0,J68-E77,0)</f>
        <v>0</v>
      </c>
      <c r="K69" s="559"/>
    </row>
    <row r="70" spans="2:11" ht="15.75">
      <c r="B70" s="24" t="s">
        <v>197</v>
      </c>
      <c r="C70" s="18"/>
      <c r="D70" s="18"/>
      <c r="E70" s="35">
        <f>nhood!E13</f>
      </c>
      <c r="G70" s="559"/>
      <c r="H70" s="559"/>
      <c r="I70" s="559"/>
      <c r="J70" s="559"/>
      <c r="K70" s="559"/>
    </row>
    <row r="71" spans="2:11" ht="15.75">
      <c r="B71" s="24" t="s">
        <v>195</v>
      </c>
      <c r="C71" s="18"/>
      <c r="D71" s="18"/>
      <c r="E71" s="23"/>
      <c r="G71" s="874" t="str">
        <f>CONCATENATE("Projected Carryover Into ",E1+1,"")</f>
        <v>Projected Carryover Into 2016</v>
      </c>
      <c r="H71" s="877"/>
      <c r="I71" s="877"/>
      <c r="J71" s="878"/>
      <c r="K71" s="559"/>
    </row>
    <row r="72" spans="2:11" ht="15.75">
      <c r="B72" s="24" t="s">
        <v>604</v>
      </c>
      <c r="C72" s="372">
        <f>IF(C73*0.1&lt;C71,"Exceed 10% Rule","")</f>
      </c>
      <c r="D72" s="372">
        <f>IF(D73*0.1&lt;D71,"Exceed 10% Rule","")</f>
      </c>
      <c r="E72" s="34">
        <f>IF(E73*0.1&lt;E71,"Exceed 10% Rule","")</f>
      </c>
      <c r="G72" s="644"/>
      <c r="H72" s="591"/>
      <c r="I72" s="591"/>
      <c r="J72" s="645"/>
      <c r="K72" s="559"/>
    </row>
    <row r="73" spans="2:11" ht="15.75">
      <c r="B73" s="32" t="s">
        <v>26</v>
      </c>
      <c r="C73" s="377">
        <f>SUM(C63:C71)</f>
        <v>0</v>
      </c>
      <c r="D73" s="377">
        <f>SUM(D63:D71)</f>
        <v>0</v>
      </c>
      <c r="E73" s="31">
        <f>SUM(E63:E71)</f>
        <v>0</v>
      </c>
      <c r="G73" s="608">
        <f>D74</f>
        <v>0</v>
      </c>
      <c r="H73" s="609" t="str">
        <f>CONCATENATE("",E1-1," Ending Cash Balance (est.)")</f>
        <v>2014 Ending Cash Balance (est.)</v>
      </c>
      <c r="I73" s="610"/>
      <c r="J73" s="645"/>
      <c r="K73" s="559"/>
    </row>
    <row r="74" spans="2:11" ht="15.75">
      <c r="B74" s="16" t="s">
        <v>116</v>
      </c>
      <c r="C74" s="370">
        <f>C61-C73</f>
        <v>0</v>
      </c>
      <c r="D74" s="370">
        <f>D61-D73</f>
        <v>0</v>
      </c>
      <c r="E74" s="22" t="s">
        <v>272</v>
      </c>
      <c r="G74" s="608">
        <f>E60</f>
        <v>0</v>
      </c>
      <c r="H74" s="592" t="str">
        <f>CONCATENATE("",E1," Non-AV Receipts (est.)")</f>
        <v>2015 Non-AV Receipts (est.)</v>
      </c>
      <c r="I74" s="610"/>
      <c r="J74" s="645"/>
      <c r="K74" s="559"/>
    </row>
    <row r="75" spans="2:11" ht="15.75">
      <c r="B75" s="37" t="str">
        <f>CONCATENATE("",E1-2,"/",E1-1," Budget Authority Amount:")</f>
        <v>2013/2014 Budget Authority Amount:</v>
      </c>
      <c r="C75" s="121">
        <f>inputOth!B53</f>
        <v>0</v>
      </c>
      <c r="D75" s="149">
        <f>inputPrYr!D23</f>
        <v>0</v>
      </c>
      <c r="E75" s="22" t="s">
        <v>272</v>
      </c>
      <c r="F75" s="39"/>
      <c r="G75" s="617">
        <f>IF(E79&gt;0,E78,E80)</f>
        <v>0</v>
      </c>
      <c r="H75" s="592" t="str">
        <f>CONCATENATE("",E1," Ad Valorem Tax (est.)")</f>
        <v>2015 Ad Valorem Tax (est.)</v>
      </c>
      <c r="I75" s="610"/>
      <c r="J75" s="645"/>
      <c r="K75" s="618">
        <f>IF(G75=E80,"","Note: Does not include Delinquent Taxes")</f>
      </c>
    </row>
    <row r="76" spans="2:11" ht="15.75">
      <c r="B76" s="37"/>
      <c r="C76" s="795" t="s">
        <v>605</v>
      </c>
      <c r="D76" s="796"/>
      <c r="E76" s="25"/>
      <c r="F76" s="470">
        <f>IF(E73/0.95-E73&lt;E76,"Exceeds 5%","")</f>
      </c>
      <c r="G76" s="647">
        <f>SUM(G73:G75)</f>
        <v>0</v>
      </c>
      <c r="H76" s="592" t="str">
        <f>CONCATENATE("Total ",E1," Resources Available")</f>
        <v>Total 2015 Resources Available</v>
      </c>
      <c r="I76" s="648"/>
      <c r="J76" s="645"/>
      <c r="K76" s="559"/>
    </row>
    <row r="77" spans="2:11" ht="15.75">
      <c r="B77" s="383" t="str">
        <f>CONCATENATE(C94,"     ",D94)</f>
        <v>     </v>
      </c>
      <c r="C77" s="797" t="s">
        <v>606</v>
      </c>
      <c r="D77" s="798"/>
      <c r="E77" s="21">
        <f>E73+E76</f>
        <v>0</v>
      </c>
      <c r="G77" s="649"/>
      <c r="H77" s="650"/>
      <c r="I77" s="591"/>
      <c r="J77" s="645"/>
      <c r="K77" s="559"/>
    </row>
    <row r="78" spans="2:11" ht="15.75">
      <c r="B78" s="383" t="str">
        <f>CONCATENATE(C95,"     ",D95)</f>
        <v>     </v>
      </c>
      <c r="C78" s="49"/>
      <c r="D78" s="41" t="s">
        <v>28</v>
      </c>
      <c r="E78" s="35">
        <f>IF(E77-E61&gt;0,E77-E61,0)</f>
        <v>0</v>
      </c>
      <c r="G78" s="617">
        <f>ROUND(C73*0.05+C73,0)</f>
        <v>0</v>
      </c>
      <c r="H78" s="592" t="str">
        <f>CONCATENATE("Less ",E1-2," Expenditures + 5%")</f>
        <v>Less 2013 Expenditures + 5%</v>
      </c>
      <c r="I78" s="648"/>
      <c r="J78" s="645"/>
      <c r="K78" s="559"/>
    </row>
    <row r="79" spans="2:11" ht="15.75">
      <c r="B79" s="41"/>
      <c r="C79" s="387" t="s">
        <v>607</v>
      </c>
      <c r="D79" s="666">
        <f>inputOth!$E$40</f>
        <v>0</v>
      </c>
      <c r="E79" s="21">
        <f>ROUND(IF(D79&gt;0,(E78*D79),0),0)</f>
        <v>0</v>
      </c>
      <c r="G79" s="625">
        <f>G76-G78</f>
        <v>0</v>
      </c>
      <c r="H79" s="626" t="str">
        <f>CONCATENATE("Projected ",E1+1," carryover (est.)")</f>
        <v>Projected 2016 carryover (est.)</v>
      </c>
      <c r="I79" s="651"/>
      <c r="J79" s="652"/>
      <c r="K79" s="559"/>
    </row>
    <row r="80" spans="2:11" ht="15.75">
      <c r="B80" s="3"/>
      <c r="C80" s="793" t="str">
        <f>CONCATENATE("Amount of  ",$E$1-1," Ad Valorem Tax")</f>
        <v>Amount of  2014 Ad Valorem Tax</v>
      </c>
      <c r="D80" s="794"/>
      <c r="E80" s="35">
        <f>E78+E79</f>
        <v>0</v>
      </c>
      <c r="G80" s="559"/>
      <c r="H80" s="559"/>
      <c r="I80" s="559"/>
      <c r="J80" s="559"/>
      <c r="K80" s="559"/>
    </row>
    <row r="81" spans="2:11" ht="15.75">
      <c r="B81" s="41" t="s">
        <v>9</v>
      </c>
      <c r="C81" s="54"/>
      <c r="D81" s="3"/>
      <c r="E81" s="3"/>
      <c r="G81" s="881" t="s">
        <v>807</v>
      </c>
      <c r="H81" s="882"/>
      <c r="I81" s="882"/>
      <c r="J81" s="883"/>
      <c r="K81" s="559"/>
    </row>
    <row r="82" spans="2:11" ht="15.75">
      <c r="B82" s="69"/>
      <c r="G82" s="632"/>
      <c r="H82" s="609"/>
      <c r="I82" s="633"/>
      <c r="J82" s="634"/>
      <c r="K82" s="559"/>
    </row>
    <row r="83" spans="7:11" ht="15.75">
      <c r="G83" s="635" t="e">
        <f>summ!#REF!</f>
        <v>#REF!</v>
      </c>
      <c r="H83" s="609" t="str">
        <f>CONCATENATE("",E1," Fund Mill Rate")</f>
        <v>2015 Fund Mill Rate</v>
      </c>
      <c r="I83" s="633"/>
      <c r="J83" s="634"/>
      <c r="K83" s="559"/>
    </row>
    <row r="84" spans="7:11" ht="15.75">
      <c r="G84" s="636" t="e">
        <f>summ!#REF!</f>
        <v>#REF!</v>
      </c>
      <c r="H84" s="609" t="str">
        <f>CONCATENATE("",E1-1," Fund Mill Rate")</f>
        <v>2014 Fund Mill Rate</v>
      </c>
      <c r="I84" s="633"/>
      <c r="J84" s="634"/>
      <c r="K84" s="559"/>
    </row>
    <row r="85" spans="7:11" ht="15.75">
      <c r="G85" s="638">
        <f>summ!I21</f>
        <v>16.343</v>
      </c>
      <c r="H85" s="609" t="str">
        <f>CONCATENATE("Total ",E1," Mill Rate")</f>
        <v>Total 2015 Mill Rate</v>
      </c>
      <c r="I85" s="633"/>
      <c r="J85" s="634"/>
      <c r="K85" s="559"/>
    </row>
    <row r="86" spans="7:11" ht="15.75">
      <c r="G86" s="636">
        <f>summ!F21</f>
        <v>17.765</v>
      </c>
      <c r="H86" s="639" t="str">
        <f>CONCATENATE("Total ",E1-1," Mill Rate")</f>
        <v>Total 2014 Mill Rate</v>
      </c>
      <c r="I86" s="640"/>
      <c r="J86" s="641"/>
      <c r="K86" s="559"/>
    </row>
    <row r="88" spans="7:9" ht="15.75">
      <c r="G88" s="721" t="s">
        <v>915</v>
      </c>
      <c r="H88" s="720"/>
      <c r="I88" s="719"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 operator="greaterThan" stopIfTrue="1">
      <formula>$C$75</formula>
    </cfRule>
  </conditionalFormatting>
  <conditionalFormatting sqref="D73">
    <cfRule type="cellIs" priority="20" dxfId="1" operator="greaterThan" stopIfTrue="1">
      <formula>$D$75</formula>
    </cfRule>
  </conditionalFormatting>
  <conditionalFormatting sqref="C33">
    <cfRule type="cellIs" priority="21" dxfId="1" operator="greaterThan" stopIfTrue="1">
      <formula>$C$35</formula>
    </cfRule>
  </conditionalFormatting>
  <conditionalFormatting sqref="D33">
    <cfRule type="cellIs" priority="22" dxfId="1"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Irving Township</v>
      </c>
      <c r="C1" s="3"/>
      <c r="D1" s="3"/>
      <c r="E1" s="4">
        <f>inputPrYr!D5</f>
        <v>2015</v>
      </c>
    </row>
    <row r="2" spans="2:5" ht="15.75">
      <c r="B2" s="6"/>
      <c r="C2" s="3"/>
      <c r="D2" s="50"/>
      <c r="E2" s="51"/>
    </row>
    <row r="3" spans="2:5" ht="15.75">
      <c r="B3" s="509" t="s">
        <v>702</v>
      </c>
      <c r="C3" s="55"/>
      <c r="D3" s="55"/>
      <c r="E3" s="55"/>
    </row>
    <row r="4" spans="2:5" ht="15.75">
      <c r="B4" s="11" t="s">
        <v>10</v>
      </c>
      <c r="C4" s="373" t="s">
        <v>11</v>
      </c>
      <c r="D4" s="376" t="s">
        <v>12</v>
      </c>
      <c r="E4" s="12" t="s">
        <v>13</v>
      </c>
    </row>
    <row r="5" spans="2:5" ht="15.75">
      <c r="B5" s="384">
        <f>inputPrYr!B24</f>
        <v>0</v>
      </c>
      <c r="C5" s="374" t="str">
        <f>gen!C5</f>
        <v>Actual for 2013</v>
      </c>
      <c r="D5" s="374" t="str">
        <f>gen!D5</f>
        <v>Estimate for 2014</v>
      </c>
      <c r="E5" s="15" t="str">
        <f>gen!E5</f>
        <v>Year for 2015</v>
      </c>
    </row>
    <row r="6" spans="2:5" ht="15.75">
      <c r="B6" s="16" t="s">
        <v>115</v>
      </c>
      <c r="C6" s="18"/>
      <c r="D6" s="375">
        <f>C34</f>
        <v>0</v>
      </c>
      <c r="E6" s="21">
        <f>D34</f>
        <v>0</v>
      </c>
    </row>
    <row r="7" spans="2:5" ht="15.75">
      <c r="B7" s="16" t="s">
        <v>117</v>
      </c>
      <c r="C7" s="375"/>
      <c r="D7" s="375"/>
      <c r="E7" s="22"/>
    </row>
    <row r="8" spans="2:5" ht="15.75">
      <c r="B8" s="16" t="s">
        <v>16</v>
      </c>
      <c r="C8" s="18"/>
      <c r="D8" s="375">
        <f>IF(inputPrYr!H15&gt;0,inputPrYr!G24,inputPrYr!E24)</f>
        <v>0</v>
      </c>
      <c r="E8" s="22" t="s">
        <v>272</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195</v>
      </c>
      <c r="C18" s="18"/>
      <c r="D18" s="18"/>
      <c r="E18" s="23"/>
    </row>
    <row r="19" spans="2:5" ht="15.75">
      <c r="B19" s="28" t="s">
        <v>196</v>
      </c>
      <c r="C19" s="372">
        <f>IF(C20*0.1&lt;C18,"Exceed 10% Rule","")</f>
      </c>
      <c r="D19" s="372">
        <f>IF(D20*0.1&lt;D18,"Exceed 10% Rule","")</f>
      </c>
      <c r="E19" s="34">
        <f>IF(E20*0.1+E40&lt;E18,"Exceed 10% Rule","")</f>
      </c>
    </row>
    <row r="20" spans="2:5" ht="15.75">
      <c r="B20" s="30" t="s">
        <v>23</v>
      </c>
      <c r="C20" s="377">
        <f>SUM(C8:C18)</f>
        <v>0</v>
      </c>
      <c r="D20" s="377">
        <f>SUM(D8:D18)</f>
        <v>0</v>
      </c>
      <c r="E20" s="31">
        <f>SUM(E8:E18)</f>
        <v>0</v>
      </c>
    </row>
    <row r="21" spans="2:5" ht="15.75">
      <c r="B21" s="32" t="s">
        <v>24</v>
      </c>
      <c r="C21" s="377">
        <f>C20+C6</f>
        <v>0</v>
      </c>
      <c r="D21" s="377">
        <f>D20+D6</f>
        <v>0</v>
      </c>
      <c r="E21" s="31">
        <f>E20+E6</f>
        <v>0</v>
      </c>
    </row>
    <row r="22" spans="2:5" ht="15.75">
      <c r="B22" s="16" t="s">
        <v>25</v>
      </c>
      <c r="C22" s="375"/>
      <c r="D22" s="375"/>
      <c r="E22" s="21"/>
    </row>
    <row r="23" spans="2:5" ht="15.75">
      <c r="B23" s="27"/>
      <c r="C23" s="18"/>
      <c r="D23" s="18"/>
      <c r="E23" s="23"/>
    </row>
    <row r="24" spans="2:11" ht="15.75">
      <c r="B24" s="27"/>
      <c r="C24" s="18"/>
      <c r="D24" s="18"/>
      <c r="E24" s="23"/>
      <c r="G24" s="874" t="str">
        <f>CONCATENATE("Desired Carryover Into ",E1+1,"")</f>
        <v>Desired Carryover Into 2016</v>
      </c>
      <c r="H24" s="875"/>
      <c r="I24" s="875"/>
      <c r="J24" s="876"/>
      <c r="K24" s="559"/>
    </row>
    <row r="25" spans="2:11" ht="15.75">
      <c r="B25" s="27"/>
      <c r="C25" s="18"/>
      <c r="D25" s="18"/>
      <c r="E25" s="23"/>
      <c r="G25" s="590"/>
      <c r="H25" s="591"/>
      <c r="I25" s="592"/>
      <c r="J25" s="593"/>
      <c r="K25" s="559"/>
    </row>
    <row r="26" spans="2:11" ht="15.75">
      <c r="B26" s="18"/>
      <c r="C26" s="18"/>
      <c r="D26" s="18"/>
      <c r="E26" s="23"/>
      <c r="G26" s="594" t="s">
        <v>697</v>
      </c>
      <c r="H26" s="592"/>
      <c r="I26" s="592"/>
      <c r="J26" s="595">
        <v>0</v>
      </c>
      <c r="K26" s="559"/>
    </row>
    <row r="27" spans="2:11" ht="15.75">
      <c r="B27" s="18"/>
      <c r="C27" s="18"/>
      <c r="D27" s="18"/>
      <c r="E27" s="23"/>
      <c r="G27" s="590" t="s">
        <v>698</v>
      </c>
      <c r="H27" s="591"/>
      <c r="I27" s="591"/>
      <c r="J27" s="596">
        <f>IF(J26=0,"",ROUND((J26+E40-G39)/inputOth!E7*1000,3)-G44)</f>
      </c>
      <c r="K27" s="559"/>
    </row>
    <row r="28" spans="2:11" ht="15.75">
      <c r="B28" s="27"/>
      <c r="C28" s="18"/>
      <c r="D28" s="18"/>
      <c r="E28" s="23"/>
      <c r="G28" s="597" t="str">
        <f>CONCATENATE("",E1," Tot Exp/Non-Appr Must Be:")</f>
        <v>2015 Tot Exp/Non-Appr Must Be:</v>
      </c>
      <c r="H28" s="598"/>
      <c r="I28" s="599"/>
      <c r="J28" s="600">
        <f>IF(J26&gt;0,IF(E37&lt;E21,IF(J26=G39,E37,((J26-G39)*(1-D39))+E21),E37+(J26-G39)),0)</f>
        <v>0</v>
      </c>
      <c r="K28" s="559"/>
    </row>
    <row r="29" spans="2:11" ht="15.75">
      <c r="B29" s="27"/>
      <c r="C29" s="18"/>
      <c r="D29" s="18"/>
      <c r="E29" s="23"/>
      <c r="G29" s="601" t="s">
        <v>806</v>
      </c>
      <c r="H29" s="602"/>
      <c r="I29" s="602"/>
      <c r="J29" s="603">
        <f>IF(J26&gt;0,J28-E37,0)</f>
        <v>0</v>
      </c>
      <c r="K29" s="559"/>
    </row>
    <row r="30" spans="2:11" ht="15.75">
      <c r="B30" s="24" t="s">
        <v>197</v>
      </c>
      <c r="C30" s="18"/>
      <c r="D30" s="18"/>
      <c r="E30" s="35">
        <f>nhood!E14</f>
      </c>
      <c r="G30" s="559"/>
      <c r="H30" s="559"/>
      <c r="I30" s="559"/>
      <c r="J30" s="559"/>
      <c r="K30" s="559"/>
    </row>
    <row r="31" spans="2:11" ht="15.75">
      <c r="B31" s="24" t="s">
        <v>195</v>
      </c>
      <c r="C31" s="18"/>
      <c r="D31" s="18"/>
      <c r="E31" s="23"/>
      <c r="G31" s="874" t="str">
        <f>CONCATENATE("Projected Carryover Into ",E1+1,"")</f>
        <v>Projected Carryover Into 2016</v>
      </c>
      <c r="H31" s="884"/>
      <c r="I31" s="884"/>
      <c r="J31" s="878"/>
      <c r="K31" s="559"/>
    </row>
    <row r="32" spans="2:11" ht="15.75">
      <c r="B32" s="24" t="s">
        <v>604</v>
      </c>
      <c r="C32" s="372">
        <f>IF(C33*0.1&lt;C31,"Exceed 10% Rule","")</f>
      </c>
      <c r="D32" s="372">
        <f>IF(D33*0.1&lt;D31,"Exceed 10% Rule","")</f>
      </c>
      <c r="E32" s="34">
        <f>IF(E33*0.1&lt;E31,"Exceed 10% Rule","")</f>
      </c>
      <c r="G32" s="590"/>
      <c r="H32" s="592"/>
      <c r="I32" s="592"/>
      <c r="J32" s="605"/>
      <c r="K32" s="559"/>
    </row>
    <row r="33" spans="2:11" ht="15.75">
      <c r="B33" s="32" t="s">
        <v>26</v>
      </c>
      <c r="C33" s="377">
        <f>SUM(C23:C31)</f>
        <v>0</v>
      </c>
      <c r="D33" s="377">
        <f>SUM(D23:D31)</f>
        <v>0</v>
      </c>
      <c r="E33" s="31">
        <f>SUM(E23:E31)</f>
        <v>0</v>
      </c>
      <c r="G33" s="608">
        <f>D34</f>
        <v>0</v>
      </c>
      <c r="H33" s="609" t="str">
        <f>CONCATENATE("",E1-1," Ending Cash Balance (est.)")</f>
        <v>2014 Ending Cash Balance (est.)</v>
      </c>
      <c r="I33" s="610"/>
      <c r="J33" s="605"/>
      <c r="K33" s="559"/>
    </row>
    <row r="34" spans="2:11" ht="15.75">
      <c r="B34" s="16" t="s">
        <v>116</v>
      </c>
      <c r="C34" s="370">
        <f>C21-C33</f>
        <v>0</v>
      </c>
      <c r="D34" s="370">
        <f>D21-D33</f>
        <v>0</v>
      </c>
      <c r="E34" s="22" t="s">
        <v>272</v>
      </c>
      <c r="G34" s="608">
        <f>E20</f>
        <v>0</v>
      </c>
      <c r="H34" s="592" t="str">
        <f>CONCATENATE("",E1," Non-AV Receipts (est.)")</f>
        <v>2015 Non-AV Receipts (est.)</v>
      </c>
      <c r="I34" s="610"/>
      <c r="J34" s="605"/>
      <c r="K34" s="559"/>
    </row>
    <row r="35" spans="2:11" ht="15.75">
      <c r="B35" s="37" t="str">
        <f>CONCATENATE("",E1-2,"/",E1-1," Budget Authority Amount:")</f>
        <v>2013/2014 Budget Authority Amount:</v>
      </c>
      <c r="C35" s="121">
        <f>inputOth!B54</f>
        <v>0</v>
      </c>
      <c r="D35" s="149">
        <f>inputPrYr!D24</f>
        <v>0</v>
      </c>
      <c r="E35" s="22" t="s">
        <v>272</v>
      </c>
      <c r="F35" s="39"/>
      <c r="G35" s="617">
        <f>IF(E39&gt;0,E38,E40)</f>
        <v>0</v>
      </c>
      <c r="H35" s="592" t="str">
        <f>CONCATENATE("",E1," Ad Valorem Tax (est.)")</f>
        <v>2015 Ad Valorem Tax (est.)</v>
      </c>
      <c r="I35" s="610"/>
      <c r="J35" s="605"/>
      <c r="K35" s="618">
        <f>IF(G35=E40,"","Note: Does not include Delinquent Taxes")</f>
      </c>
    </row>
    <row r="36" spans="2:11" ht="15.75">
      <c r="B36" s="37"/>
      <c r="C36" s="795" t="s">
        <v>605</v>
      </c>
      <c r="D36" s="796"/>
      <c r="E36" s="23"/>
      <c r="F36" s="470">
        <f>IF(E33/0.95-E33&lt;E36,"Exceeds 5%","")</f>
      </c>
      <c r="G36" s="608">
        <f>SUM(G33:G35)</f>
        <v>0</v>
      </c>
      <c r="H36" s="592" t="str">
        <f>CONCATENATE("Total ",E1," Resources Available")</f>
        <v>Total 2015 Resources Available</v>
      </c>
      <c r="I36" s="610"/>
      <c r="J36" s="605"/>
      <c r="K36" s="559"/>
    </row>
    <row r="37" spans="2:11" ht="15.75">
      <c r="B37" s="383" t="str">
        <f>CONCATENATE(C92,"     ",D92)</f>
        <v>     </v>
      </c>
      <c r="C37" s="797" t="s">
        <v>606</v>
      </c>
      <c r="D37" s="798"/>
      <c r="E37" s="21">
        <f>E33+E36</f>
        <v>0</v>
      </c>
      <c r="G37" s="621"/>
      <c r="H37" s="592"/>
      <c r="I37" s="592"/>
      <c r="J37" s="605"/>
      <c r="K37" s="559"/>
    </row>
    <row r="38" spans="2:11" ht="15.75">
      <c r="B38" s="383" t="str">
        <f>CONCATENATE(C93,"     ",D93)</f>
        <v>     </v>
      </c>
      <c r="C38" s="49"/>
      <c r="D38" s="41" t="s">
        <v>28</v>
      </c>
      <c r="E38" s="35">
        <f>IF(E37-E21&gt;0,E37-E21,0)</f>
        <v>0</v>
      </c>
      <c r="G38" s="617">
        <f>ROUND(C33*0.05+C33,)</f>
        <v>0</v>
      </c>
      <c r="H38" s="592" t="str">
        <f>CONCATENATE("Less ",E1-2," Expenditures + 5%")</f>
        <v>Less 2013 Expenditures + 5%</v>
      </c>
      <c r="I38" s="592"/>
      <c r="J38" s="605"/>
      <c r="K38" s="559"/>
    </row>
    <row r="39" spans="2:11" ht="15.75">
      <c r="B39" s="41"/>
      <c r="C39" s="387" t="s">
        <v>607</v>
      </c>
      <c r="D39" s="666">
        <f>inputOth!$E$40</f>
        <v>0</v>
      </c>
      <c r="E39" s="21">
        <f>ROUND(IF(D39&gt;0,(E38*D39),0),0)</f>
        <v>0</v>
      </c>
      <c r="G39" s="625">
        <f>G36-G38</f>
        <v>0</v>
      </c>
      <c r="H39" s="626" t="str">
        <f>CONCATENATE("Projected ",E1+1," carryover (est.)")</f>
        <v>Projected 2016 carryover (est.)</v>
      </c>
      <c r="I39" s="627"/>
      <c r="J39" s="628"/>
      <c r="K39" s="559"/>
    </row>
    <row r="40" spans="2:11" ht="15.75">
      <c r="B40" s="3"/>
      <c r="C40" s="793" t="str">
        <f>CONCATENATE("Amount of  ",$E$1-1," Ad Valorem Tax")</f>
        <v>Amount of  2014 Ad Valorem Tax</v>
      </c>
      <c r="D40" s="794"/>
      <c r="E40" s="35">
        <f>E38+E39</f>
        <v>0</v>
      </c>
      <c r="G40" s="559"/>
      <c r="H40" s="559"/>
      <c r="I40" s="559"/>
      <c r="J40" s="559"/>
      <c r="K40" s="559"/>
    </row>
    <row r="41" spans="2:11" ht="15.75">
      <c r="B41" s="3"/>
      <c r="C41" s="516"/>
      <c r="D41" s="3"/>
      <c r="E41" s="3"/>
      <c r="G41" s="881" t="s">
        <v>807</v>
      </c>
      <c r="H41" s="882"/>
      <c r="I41" s="882"/>
      <c r="J41" s="883"/>
      <c r="K41" s="559"/>
    </row>
    <row r="42" spans="2:11" ht="15.75">
      <c r="B42" s="3"/>
      <c r="C42" s="516"/>
      <c r="D42" s="3"/>
      <c r="E42" s="3"/>
      <c r="G42" s="632"/>
      <c r="H42" s="609"/>
      <c r="I42" s="633"/>
      <c r="J42" s="634"/>
      <c r="K42" s="559"/>
    </row>
    <row r="43" spans="2:11" ht="15.75">
      <c r="B43" s="11" t="s">
        <v>10</v>
      </c>
      <c r="C43" s="55"/>
      <c r="D43" s="55"/>
      <c r="E43" s="55"/>
      <c r="G43" s="635" t="e">
        <f>summ!#REF!</f>
        <v>#REF!</v>
      </c>
      <c r="H43" s="609" t="str">
        <f>CONCATENATE("",E1," Fund Mill Rate")</f>
        <v>2015 Fund Mill Rate</v>
      </c>
      <c r="I43" s="633"/>
      <c r="J43" s="634"/>
      <c r="K43" s="559"/>
    </row>
    <row r="44" spans="2:11" ht="15.75">
      <c r="B44" s="3"/>
      <c r="C44" s="373" t="s">
        <v>11</v>
      </c>
      <c r="D44" s="376" t="s">
        <v>12</v>
      </c>
      <c r="E44" s="12" t="s">
        <v>13</v>
      </c>
      <c r="G44" s="636" t="e">
        <f>summ!#REF!</f>
        <v>#REF!</v>
      </c>
      <c r="H44" s="609" t="str">
        <f>CONCATENATE("",E1-1," Fund Mill Rate")</f>
        <v>2014 Fund Mill Rate</v>
      </c>
      <c r="I44" s="633"/>
      <c r="J44" s="634"/>
      <c r="K44" s="559"/>
    </row>
    <row r="45" spans="2:11" ht="15.75">
      <c r="B45" s="465">
        <f>inputPrYr!B25</f>
        <v>0</v>
      </c>
      <c r="C45" s="374" t="str">
        <f>C5</f>
        <v>Actual for 2013</v>
      </c>
      <c r="D45" s="374" t="str">
        <f>D5</f>
        <v>Estimate for 2014</v>
      </c>
      <c r="E45" s="15" t="str">
        <f>E5</f>
        <v>Year for 2015</v>
      </c>
      <c r="G45" s="638">
        <f>summ!I21</f>
        <v>16.343</v>
      </c>
      <c r="H45" s="609" t="str">
        <f>CONCATENATE("Total ",E1," Mill Rate")</f>
        <v>Total 2015 Mill Rate</v>
      </c>
      <c r="I45" s="633"/>
      <c r="J45" s="634"/>
      <c r="K45" s="559"/>
    </row>
    <row r="46" spans="2:11" ht="15.75">
      <c r="B46" s="16" t="s">
        <v>115</v>
      </c>
      <c r="C46" s="18"/>
      <c r="D46" s="375">
        <f>C74</f>
        <v>0</v>
      </c>
      <c r="E46" s="21">
        <f>D74</f>
        <v>0</v>
      </c>
      <c r="G46" s="636">
        <f>summ!F21</f>
        <v>17.765</v>
      </c>
      <c r="H46" s="639" t="str">
        <f>CONCATENATE("Total ",E1-1," Mill Rate")</f>
        <v>Total 2014 Mill Rate</v>
      </c>
      <c r="I46" s="640"/>
      <c r="J46" s="641"/>
      <c r="K46" s="559"/>
    </row>
    <row r="47" spans="2:11" ht="15.75">
      <c r="B47" s="16" t="s">
        <v>117</v>
      </c>
      <c r="C47" s="375"/>
      <c r="D47" s="375"/>
      <c r="E47" s="22"/>
      <c r="G47" s="559"/>
      <c r="H47" s="559"/>
      <c r="I47" s="559"/>
      <c r="J47" s="559"/>
      <c r="K47" s="559"/>
    </row>
    <row r="48" spans="2:11" ht="15.75">
      <c r="B48" s="16" t="s">
        <v>16</v>
      </c>
      <c r="C48" s="18"/>
      <c r="D48" s="375">
        <f>IF(inputPrYr!H15&gt;0,inputPrYr!G25,inputPrYr!E25)</f>
        <v>0</v>
      </c>
      <c r="E48" s="22" t="s">
        <v>272</v>
      </c>
      <c r="G48" s="721" t="s">
        <v>915</v>
      </c>
      <c r="H48" s="720"/>
      <c r="I48" s="719" t="str">
        <f>cert!F37</f>
        <v>No</v>
      </c>
      <c r="J48" s="559"/>
      <c r="K48" s="559"/>
    </row>
    <row r="49" spans="2:11" ht="15.75">
      <c r="B49" s="16" t="s">
        <v>17</v>
      </c>
      <c r="C49" s="18"/>
      <c r="D49" s="18"/>
      <c r="E49" s="23"/>
      <c r="G49" s="559"/>
      <c r="H49" s="559"/>
      <c r="I49" s="559"/>
      <c r="J49" s="559"/>
      <c r="K49" s="559"/>
    </row>
    <row r="50" spans="2:11" ht="15.75">
      <c r="B50" s="16" t="s">
        <v>18</v>
      </c>
      <c r="C50" s="18"/>
      <c r="D50" s="18"/>
      <c r="E50" s="21">
        <f>mvalloc!G20</f>
        <v>0</v>
      </c>
      <c r="G50" s="559"/>
      <c r="H50" s="559"/>
      <c r="I50" s="559"/>
      <c r="J50" s="559"/>
      <c r="K50" s="559"/>
    </row>
    <row r="51" spans="2:11" ht="15.75">
      <c r="B51" s="16" t="s">
        <v>19</v>
      </c>
      <c r="C51" s="18"/>
      <c r="D51" s="18"/>
      <c r="E51" s="21">
        <f>mvalloc!I20</f>
        <v>0</v>
      </c>
      <c r="G51" s="559"/>
      <c r="H51" s="559"/>
      <c r="I51" s="559"/>
      <c r="J51" s="559"/>
      <c r="K51" s="559"/>
    </row>
    <row r="52" spans="2:11" ht="15.75">
      <c r="B52" s="16" t="s">
        <v>99</v>
      </c>
      <c r="C52" s="18"/>
      <c r="D52" s="18"/>
      <c r="E52" s="21">
        <f>mvalloc!J20</f>
        <v>0</v>
      </c>
      <c r="G52" s="559"/>
      <c r="H52" s="559"/>
      <c r="I52" s="559"/>
      <c r="J52" s="559"/>
      <c r="K52" s="559"/>
    </row>
    <row r="53" spans="2:11" ht="15.75">
      <c r="B53" s="26"/>
      <c r="C53" s="18"/>
      <c r="D53" s="18"/>
      <c r="E53" s="23"/>
      <c r="G53" s="559"/>
      <c r="H53" s="559"/>
      <c r="I53" s="559"/>
      <c r="J53" s="559"/>
      <c r="K53" s="559"/>
    </row>
    <row r="54" spans="2:11" ht="15.75">
      <c r="B54" s="26"/>
      <c r="C54" s="18"/>
      <c r="D54" s="18"/>
      <c r="E54" s="23"/>
      <c r="G54" s="559"/>
      <c r="H54" s="559"/>
      <c r="I54" s="559"/>
      <c r="J54" s="559"/>
      <c r="K54" s="559"/>
    </row>
    <row r="55" spans="2:11" ht="15.75">
      <c r="B55" s="26"/>
      <c r="C55" s="18"/>
      <c r="D55" s="18"/>
      <c r="E55" s="23"/>
      <c r="G55" s="559"/>
      <c r="H55" s="559"/>
      <c r="I55" s="559"/>
      <c r="J55" s="559"/>
      <c r="K55" s="559"/>
    </row>
    <row r="56" spans="2:11" ht="15.75">
      <c r="B56" s="27"/>
      <c r="C56" s="18"/>
      <c r="D56" s="18"/>
      <c r="E56" s="23"/>
      <c r="G56" s="559"/>
      <c r="H56" s="559"/>
      <c r="I56" s="559"/>
      <c r="J56" s="559"/>
      <c r="K56" s="559"/>
    </row>
    <row r="57" spans="2:11" ht="15.75">
      <c r="B57" s="27" t="s">
        <v>22</v>
      </c>
      <c r="C57" s="18"/>
      <c r="D57" s="18"/>
      <c r="E57" s="23"/>
      <c r="G57" s="559"/>
      <c r="H57" s="559"/>
      <c r="I57" s="559"/>
      <c r="J57" s="559"/>
      <c r="K57" s="559"/>
    </row>
    <row r="58" spans="2:11" ht="15.75">
      <c r="B58" s="28" t="s">
        <v>195</v>
      </c>
      <c r="C58" s="18"/>
      <c r="D58" s="18"/>
      <c r="E58" s="23"/>
      <c r="G58" s="559"/>
      <c r="H58" s="559"/>
      <c r="I58" s="559"/>
      <c r="J58" s="559"/>
      <c r="K58" s="559"/>
    </row>
    <row r="59" spans="2:11" ht="15.75">
      <c r="B59" s="28" t="s">
        <v>196</v>
      </c>
      <c r="C59" s="372">
        <f>IF(C60*0.1&lt;C58,"Exceed 10% Rule","")</f>
      </c>
      <c r="D59" s="372">
        <f>IF(D60*0.1&lt;D58,"Exceed 10% Rule","")</f>
      </c>
      <c r="E59" s="34">
        <f>IF(E60*0.1+E80&lt;E58,"Exceed 10% Rule","")</f>
      </c>
      <c r="G59" s="559"/>
      <c r="H59" s="559"/>
      <c r="I59" s="559"/>
      <c r="J59" s="559"/>
      <c r="K59" s="559"/>
    </row>
    <row r="60" spans="2:11" ht="15.75">
      <c r="B60" s="30" t="s">
        <v>23</v>
      </c>
      <c r="C60" s="377">
        <f>SUM(C48:C58)</f>
        <v>0</v>
      </c>
      <c r="D60" s="377">
        <f>SUM(D48:D58)</f>
        <v>0</v>
      </c>
      <c r="E60" s="31">
        <f>SUM(E48:E58)</f>
        <v>0</v>
      </c>
      <c r="G60" s="559"/>
      <c r="H60" s="559"/>
      <c r="I60" s="559"/>
      <c r="J60" s="559"/>
      <c r="K60" s="559"/>
    </row>
    <row r="61" spans="2:11" ht="15.75">
      <c r="B61" s="32" t="s">
        <v>24</v>
      </c>
      <c r="C61" s="377">
        <f>C60+C46</f>
        <v>0</v>
      </c>
      <c r="D61" s="377">
        <f>D60+D46</f>
        <v>0</v>
      </c>
      <c r="E61" s="31">
        <f>E60+E46</f>
        <v>0</v>
      </c>
      <c r="G61" s="559"/>
      <c r="H61" s="559"/>
      <c r="I61" s="559"/>
      <c r="J61" s="559"/>
      <c r="K61" s="559"/>
    </row>
    <row r="62" spans="2:11" ht="15.75">
      <c r="B62" s="16" t="s">
        <v>25</v>
      </c>
      <c r="C62" s="375"/>
      <c r="D62" s="375"/>
      <c r="E62" s="21"/>
      <c r="G62" s="559"/>
      <c r="H62" s="559"/>
      <c r="I62" s="559"/>
      <c r="J62" s="559"/>
      <c r="K62" s="559"/>
    </row>
    <row r="63" spans="2:11" ht="15.75">
      <c r="B63" s="27"/>
      <c r="C63" s="18"/>
      <c r="D63" s="18"/>
      <c r="E63" s="23"/>
      <c r="G63" s="559"/>
      <c r="H63" s="559"/>
      <c r="I63" s="559"/>
      <c r="J63" s="559"/>
      <c r="K63" s="559"/>
    </row>
    <row r="64" spans="2:11" ht="15.75">
      <c r="B64" s="27"/>
      <c r="C64" s="18"/>
      <c r="D64" s="18"/>
      <c r="E64" s="23"/>
      <c r="G64" s="874" t="str">
        <f>CONCATENATE("Desired Carryover Into ",E1+1,"")</f>
        <v>Desired Carryover Into 2016</v>
      </c>
      <c r="H64" s="875"/>
      <c r="I64" s="875"/>
      <c r="J64" s="876"/>
      <c r="K64" s="559"/>
    </row>
    <row r="65" spans="2:11" ht="15.75">
      <c r="B65" s="27"/>
      <c r="C65" s="18"/>
      <c r="D65" s="18"/>
      <c r="E65" s="23"/>
      <c r="G65" s="590"/>
      <c r="H65" s="591"/>
      <c r="I65" s="592"/>
      <c r="J65" s="593"/>
      <c r="K65" s="559"/>
    </row>
    <row r="66" spans="2:11" ht="15.75">
      <c r="B66" s="27"/>
      <c r="C66" s="18"/>
      <c r="D66" s="18"/>
      <c r="E66" s="23"/>
      <c r="G66" s="594" t="s">
        <v>697</v>
      </c>
      <c r="H66" s="592"/>
      <c r="I66" s="592"/>
      <c r="J66" s="595">
        <v>0</v>
      </c>
      <c r="K66" s="559"/>
    </row>
    <row r="67" spans="2:11" ht="15.75">
      <c r="B67" s="27"/>
      <c r="C67" s="18"/>
      <c r="D67" s="18"/>
      <c r="E67" s="23"/>
      <c r="G67" s="590" t="s">
        <v>698</v>
      </c>
      <c r="H67" s="591"/>
      <c r="I67" s="591"/>
      <c r="J67" s="596">
        <f>IF(J66=0,"",ROUND((J66+E80-G79)/inputOth!E7*1000,3)-G84)</f>
      </c>
      <c r="K67" s="559"/>
    </row>
    <row r="68" spans="2:11" ht="15.75">
      <c r="B68" s="27"/>
      <c r="C68" s="18"/>
      <c r="D68" s="18"/>
      <c r="E68" s="23"/>
      <c r="G68" s="597" t="str">
        <f>CONCATENATE("",E1," Tot Exp/Non-Appr Must Be:")</f>
        <v>2015 Tot Exp/Non-Appr Must Be:</v>
      </c>
      <c r="H68" s="598"/>
      <c r="I68" s="599"/>
      <c r="J68" s="600">
        <f>IF(J66&gt;0,IF(E77&lt;E61,IF(J66=G79,E77,((J66-G79)*(1-D79))+E61),E77+(J66-G79)),0)</f>
        <v>0</v>
      </c>
      <c r="K68" s="559"/>
    </row>
    <row r="69" spans="2:11" ht="15.75">
      <c r="B69" s="27"/>
      <c r="C69" s="18"/>
      <c r="D69" s="18"/>
      <c r="E69" s="23"/>
      <c r="G69" s="601" t="s">
        <v>806</v>
      </c>
      <c r="H69" s="602"/>
      <c r="I69" s="602"/>
      <c r="J69" s="603">
        <f>IF(J66&gt;0,J68-E77,0)</f>
        <v>0</v>
      </c>
      <c r="K69" s="559"/>
    </row>
    <row r="70" spans="2:11" ht="15.75">
      <c r="B70" s="24" t="s">
        <v>197</v>
      </c>
      <c r="C70" s="18"/>
      <c r="D70" s="18"/>
      <c r="E70" s="35">
        <f>nhood!E15</f>
      </c>
      <c r="G70" s="559"/>
      <c r="H70" s="559"/>
      <c r="I70" s="559"/>
      <c r="J70" s="559"/>
      <c r="K70" s="559"/>
    </row>
    <row r="71" spans="2:11" ht="15.75">
      <c r="B71" s="24" t="s">
        <v>195</v>
      </c>
      <c r="C71" s="18"/>
      <c r="D71" s="18"/>
      <c r="E71" s="23"/>
      <c r="G71" s="874" t="str">
        <f>CONCATENATE("Projected Carryover Into ",E1+1,"")</f>
        <v>Projected Carryover Into 2016</v>
      </c>
      <c r="H71" s="877"/>
      <c r="I71" s="877"/>
      <c r="J71" s="878"/>
      <c r="K71" s="559"/>
    </row>
    <row r="72" spans="2:11" ht="15.75">
      <c r="B72" s="24" t="s">
        <v>604</v>
      </c>
      <c r="C72" s="372">
        <f>IF(C73*0.1&lt;C71,"Exceed 10% Rule","")</f>
      </c>
      <c r="D72" s="372">
        <f>IF(D73*0.1&lt;D71,"Exceed 10% Rule","")</f>
      </c>
      <c r="E72" s="34">
        <f>IF(E73*0.1&lt;E71,"Exceed 10% Rule","")</f>
      </c>
      <c r="G72" s="644"/>
      <c r="H72" s="591"/>
      <c r="I72" s="591"/>
      <c r="J72" s="645"/>
      <c r="K72" s="559"/>
    </row>
    <row r="73" spans="2:11" ht="15.75">
      <c r="B73" s="32" t="s">
        <v>26</v>
      </c>
      <c r="C73" s="377">
        <f>SUM(C63:C71)</f>
        <v>0</v>
      </c>
      <c r="D73" s="377">
        <f>SUM(D63:D71)</f>
        <v>0</v>
      </c>
      <c r="E73" s="31">
        <f>SUM(E63:E71)</f>
        <v>0</v>
      </c>
      <c r="G73" s="608">
        <f>D74</f>
        <v>0</v>
      </c>
      <c r="H73" s="609" t="str">
        <f>CONCATENATE("",E1-1," Ending Cash Balance (est.)")</f>
        <v>2014 Ending Cash Balance (est.)</v>
      </c>
      <c r="I73" s="610"/>
      <c r="J73" s="645"/>
      <c r="K73" s="559"/>
    </row>
    <row r="74" spans="2:11" ht="15.75">
      <c r="B74" s="16" t="s">
        <v>116</v>
      </c>
      <c r="C74" s="370">
        <f>C61-C73</f>
        <v>0</v>
      </c>
      <c r="D74" s="370">
        <f>D61-D73</f>
        <v>0</v>
      </c>
      <c r="E74" s="22" t="s">
        <v>272</v>
      </c>
      <c r="G74" s="608">
        <f>E60</f>
        <v>0</v>
      </c>
      <c r="H74" s="592" t="str">
        <f>CONCATENATE("",E1," Non-AV Receipts (est.)")</f>
        <v>2015 Non-AV Receipts (est.)</v>
      </c>
      <c r="I74" s="610"/>
      <c r="J74" s="645"/>
      <c r="K74" s="559"/>
    </row>
    <row r="75" spans="2:11" ht="15.75">
      <c r="B75" s="37" t="str">
        <f>CONCATENATE("",E1-2,"/",E1-1," Budget Authority Amount:")</f>
        <v>2013/2014 Budget Authority Amount:</v>
      </c>
      <c r="C75" s="121">
        <f>inputOth!B55</f>
        <v>0</v>
      </c>
      <c r="D75" s="149">
        <f>inputPrYr!D25</f>
        <v>0</v>
      </c>
      <c r="E75" s="22" t="s">
        <v>272</v>
      </c>
      <c r="F75" s="39"/>
      <c r="G75" s="617">
        <f>IF(E79&gt;0,E78,E80)</f>
        <v>0</v>
      </c>
      <c r="H75" s="592" t="str">
        <f>CONCATENATE("",E1," Ad Valorem Tax (est.)")</f>
        <v>2015 Ad Valorem Tax (est.)</v>
      </c>
      <c r="I75" s="610"/>
      <c r="J75" s="645"/>
      <c r="K75" s="618">
        <f>IF(G75=E80,"","Note: Does not include Delinquent Taxes")</f>
      </c>
    </row>
    <row r="76" spans="2:11" ht="15.75">
      <c r="B76" s="37"/>
      <c r="C76" s="795" t="s">
        <v>605</v>
      </c>
      <c r="D76" s="796"/>
      <c r="E76" s="23"/>
      <c r="F76" s="470">
        <f>IF(E73/0.95-E73&lt;E76,"Exceeds 5%","")</f>
      </c>
      <c r="G76" s="647">
        <f>SUM(G73:G75)</f>
        <v>0</v>
      </c>
      <c r="H76" s="592" t="str">
        <f>CONCATENATE("Total ",E1," Resources Available")</f>
        <v>Total 2015 Resources Available</v>
      </c>
      <c r="I76" s="648"/>
      <c r="J76" s="645"/>
      <c r="K76" s="559"/>
    </row>
    <row r="77" spans="2:11" ht="15.75">
      <c r="B77" s="37"/>
      <c r="C77" s="797" t="s">
        <v>606</v>
      </c>
      <c r="D77" s="798"/>
      <c r="E77" s="21">
        <f>E73+E76</f>
        <v>0</v>
      </c>
      <c r="G77" s="649"/>
      <c r="H77" s="650"/>
      <c r="I77" s="591"/>
      <c r="J77" s="645"/>
      <c r="K77" s="559"/>
    </row>
    <row r="78" spans="2:11" ht="15.75">
      <c r="B78" s="37"/>
      <c r="C78" s="49"/>
      <c r="D78" s="41" t="s">
        <v>28</v>
      </c>
      <c r="E78" s="35">
        <f>IF(E77-E61&gt;0,E77-E61,0)</f>
        <v>0</v>
      </c>
      <c r="G78" s="617">
        <f>ROUND(C73*0.05+C73,0)</f>
        <v>0</v>
      </c>
      <c r="H78" s="592" t="str">
        <f>CONCATENATE("Less ",E1-2," Expenditures + 5%")</f>
        <v>Less 2013 Expenditures + 5%</v>
      </c>
      <c r="I78" s="648"/>
      <c r="J78" s="645"/>
      <c r="K78" s="559"/>
    </row>
    <row r="79" spans="2:11" ht="15.75">
      <c r="B79" s="41"/>
      <c r="C79" s="387" t="s">
        <v>607</v>
      </c>
      <c r="D79" s="666">
        <f>inputOth!$E$40</f>
        <v>0</v>
      </c>
      <c r="E79" s="21">
        <f>ROUND(IF(D79&gt;0,(E78*D79),0),0)</f>
        <v>0</v>
      </c>
      <c r="G79" s="625">
        <f>G76-G78</f>
        <v>0</v>
      </c>
      <c r="H79" s="626" t="str">
        <f>CONCATENATE("Projected ",E1+1," carryover (est.)")</f>
        <v>Projected 2016 carryover (est.)</v>
      </c>
      <c r="I79" s="651"/>
      <c r="J79" s="652"/>
      <c r="K79" s="559"/>
    </row>
    <row r="80" spans="2:11" ht="15.75">
      <c r="B80" s="3"/>
      <c r="C80" s="793" t="str">
        <f>CONCATENATE("Amount of  ",$E$1-1," Ad Valorem Tax")</f>
        <v>Amount of  2014 Ad Valorem Tax</v>
      </c>
      <c r="D80" s="794"/>
      <c r="E80" s="35">
        <f>E78+E79</f>
        <v>0</v>
      </c>
      <c r="G80" s="559"/>
      <c r="H80" s="559"/>
      <c r="I80" s="559"/>
      <c r="J80" s="559"/>
      <c r="K80" s="559"/>
    </row>
    <row r="81" spans="2:11" ht="15.75">
      <c r="B81" s="41" t="s">
        <v>9</v>
      </c>
      <c r="C81" s="54"/>
      <c r="D81" s="3"/>
      <c r="E81" s="3"/>
      <c r="G81" s="881" t="s">
        <v>807</v>
      </c>
      <c r="H81" s="882"/>
      <c r="I81" s="882"/>
      <c r="J81" s="883"/>
      <c r="K81" s="559"/>
    </row>
    <row r="82" spans="2:11" ht="15.75">
      <c r="B82" s="69"/>
      <c r="G82" s="632"/>
      <c r="H82" s="609"/>
      <c r="I82" s="633"/>
      <c r="J82" s="634"/>
      <c r="K82" s="559"/>
    </row>
    <row r="83" spans="7:11" ht="15.75">
      <c r="G83" s="635" t="e">
        <f>summ!#REF!</f>
        <v>#REF!</v>
      </c>
      <c r="H83" s="609" t="str">
        <f>CONCATENATE("",E1," Fund Mill Rate")</f>
        <v>2015 Fund Mill Rate</v>
      </c>
      <c r="I83" s="633"/>
      <c r="J83" s="634"/>
      <c r="K83" s="559"/>
    </row>
    <row r="84" spans="7:11" ht="15.75">
      <c r="G84" s="636" t="e">
        <f>summ!#REF!</f>
        <v>#REF!</v>
      </c>
      <c r="H84" s="609" t="str">
        <f>CONCATENATE("",E1-1," Fund Mill Rate")</f>
        <v>2014 Fund Mill Rate</v>
      </c>
      <c r="I84" s="633"/>
      <c r="J84" s="634"/>
      <c r="K84" s="559"/>
    </row>
    <row r="85" spans="7:11" ht="15.75">
      <c r="G85" s="638">
        <f>summ!I21</f>
        <v>16.343</v>
      </c>
      <c r="H85" s="609" t="str">
        <f>CONCATENATE("Total ",E1," Mill Rate")</f>
        <v>Total 2015 Mill Rate</v>
      </c>
      <c r="I85" s="633"/>
      <c r="J85" s="634"/>
      <c r="K85" s="559"/>
    </row>
    <row r="86" spans="7:11" ht="15.75">
      <c r="G86" s="636">
        <f>summ!F21</f>
        <v>17.765</v>
      </c>
      <c r="H86" s="639" t="str">
        <f>CONCATENATE("Total ",E1-1," Mill Rate")</f>
        <v>Total 2014 Mill Rate</v>
      </c>
      <c r="I86" s="640"/>
      <c r="J86" s="641"/>
      <c r="K86" s="559"/>
    </row>
    <row r="88" spans="7:9" ht="15.75">
      <c r="G88" s="721" t="s">
        <v>915</v>
      </c>
      <c r="H88" s="720"/>
      <c r="I88" s="719"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 operator="greaterThan" stopIfTrue="1">
      <formula>$C$75</formula>
    </cfRule>
  </conditionalFormatting>
  <conditionalFormatting sqref="D73">
    <cfRule type="cellIs" priority="19" dxfId="1" operator="greaterThan" stopIfTrue="1">
      <formula>$D$75</formula>
    </cfRule>
  </conditionalFormatting>
  <conditionalFormatting sqref="C33">
    <cfRule type="cellIs" priority="20" dxfId="1" operator="greaterThan" stopIfTrue="1">
      <formula>$C$35</formula>
    </cfRule>
  </conditionalFormatting>
  <conditionalFormatting sqref="D33">
    <cfRule type="cellIs" priority="21" dxfId="1"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53" sqref="K53"/>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Irving Township</v>
      </c>
      <c r="C1" s="3"/>
      <c r="D1" s="3"/>
      <c r="E1" s="4">
        <f>inputPrYr!D5</f>
        <v>2015</v>
      </c>
    </row>
    <row r="2" spans="2:5" ht="15.75">
      <c r="B2" s="3"/>
      <c r="C2" s="3"/>
      <c r="D2" s="3"/>
      <c r="E2" s="41"/>
    </row>
    <row r="3" spans="2:5" ht="15.75">
      <c r="B3" s="6" t="s">
        <v>128</v>
      </c>
      <c r="C3" s="55"/>
      <c r="D3" s="55"/>
      <c r="E3" s="55"/>
    </row>
    <row r="4" spans="2:5" ht="15.75">
      <c r="B4" s="11" t="s">
        <v>10</v>
      </c>
      <c r="C4" s="58" t="s">
        <v>11</v>
      </c>
      <c r="D4" s="12" t="s">
        <v>12</v>
      </c>
      <c r="E4" s="12" t="s">
        <v>13</v>
      </c>
    </row>
    <row r="5" spans="2:5" ht="15.75">
      <c r="B5" s="384">
        <f>inputPrYr!B29</f>
        <v>0</v>
      </c>
      <c r="C5" s="15" t="str">
        <f>gen!C5</f>
        <v>Actual for 2013</v>
      </c>
      <c r="D5" s="15" t="str">
        <f>gen!D5</f>
        <v>Estimate for 2014</v>
      </c>
      <c r="E5" s="15" t="str">
        <f>gen!E5</f>
        <v>Year for 2015</v>
      </c>
    </row>
    <row r="6" spans="2:5" ht="15.75">
      <c r="B6" s="72" t="s">
        <v>129</v>
      </c>
      <c r="C6" s="23"/>
      <c r="D6" s="21">
        <f>C29</f>
        <v>0</v>
      </c>
      <c r="E6" s="21">
        <f>D29</f>
        <v>0</v>
      </c>
    </row>
    <row r="7" spans="2:5" s="5" customFormat="1" ht="15.75">
      <c r="B7" s="73" t="s">
        <v>117</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195</v>
      </c>
      <c r="C13" s="23"/>
      <c r="D13" s="19"/>
      <c r="E13" s="19"/>
    </row>
    <row r="14" spans="2:5" ht="15.75">
      <c r="B14" s="28" t="s">
        <v>196</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195</v>
      </c>
      <c r="C26" s="23"/>
      <c r="D26" s="19"/>
      <c r="E26" s="19"/>
    </row>
    <row r="27" spans="2:5" ht="15.75">
      <c r="B27" s="24" t="s">
        <v>604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116</v>
      </c>
      <c r="C29" s="35">
        <f>C16-C28</f>
        <v>0</v>
      </c>
      <c r="D29" s="35">
        <f>D16-D28</f>
        <v>0</v>
      </c>
      <c r="E29" s="35">
        <f>E16-E28</f>
        <v>0</v>
      </c>
    </row>
    <row r="30" spans="2:5" ht="15.75">
      <c r="B30" s="37" t="str">
        <f>CONCATENATE("",E1-2,"/",E1-1," Budget Authority Amount:")</f>
        <v>2013/2014 Budget Authority Amount:</v>
      </c>
      <c r="C30" s="121">
        <f>inputOth!B56</f>
        <v>0</v>
      </c>
      <c r="D30" s="121">
        <f>inputPrYr!D29</f>
        <v>0</v>
      </c>
      <c r="E30" s="382">
        <f>IF(E29&lt;0,"See Tab E","")</f>
      </c>
    </row>
    <row r="31" spans="2:5" ht="15.75">
      <c r="B31" s="37"/>
      <c r="C31" s="40">
        <f>IF(C28&gt;C30,"See Tab A","")</f>
      </c>
      <c r="D31" s="40">
        <f>IF(D28&gt;D30,"See Tab C","")</f>
      </c>
      <c r="E31" s="44"/>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65">
        <f>inputPrYr!B30</f>
        <v>0</v>
      </c>
      <c r="C36" s="15" t="str">
        <f>C5</f>
        <v>Actual for 2013</v>
      </c>
      <c r="D36" s="15" t="str">
        <f>D5</f>
        <v>Estimate for 2014</v>
      </c>
      <c r="E36" s="15" t="str">
        <f>E5</f>
        <v>Year for 2015</v>
      </c>
    </row>
    <row r="37" spans="2:5" ht="15.75">
      <c r="B37" s="72" t="s">
        <v>129</v>
      </c>
      <c r="C37" s="23"/>
      <c r="D37" s="21">
        <f>C60</f>
        <v>0</v>
      </c>
      <c r="E37" s="21">
        <f>D60</f>
        <v>0</v>
      </c>
    </row>
    <row r="38" spans="2:5" s="5" customFormat="1" ht="15.75">
      <c r="B38" s="72" t="s">
        <v>117</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195</v>
      </c>
      <c r="C44" s="23"/>
      <c r="D44" s="19"/>
      <c r="E44" s="19"/>
    </row>
    <row r="45" spans="2:5" ht="15.75">
      <c r="B45" s="28" t="s">
        <v>196</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195</v>
      </c>
      <c r="C57" s="23"/>
      <c r="D57" s="19"/>
      <c r="E57" s="19"/>
    </row>
    <row r="58" spans="2:5" ht="15.75">
      <c r="B58" s="24" t="s">
        <v>604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116</v>
      </c>
      <c r="C60" s="35">
        <f>C47-C59</f>
        <v>0</v>
      </c>
      <c r="D60" s="35">
        <f>D47-D59</f>
        <v>0</v>
      </c>
      <c r="E60" s="35">
        <f>E47-E59</f>
        <v>0</v>
      </c>
    </row>
    <row r="61" spans="2:5" ht="15.75">
      <c r="B61" s="37" t="str">
        <f>CONCATENATE("",E1-2,"/",E1-1," Budget Authority Amount:")</f>
        <v>2013/2014 Budget Authority Amount:</v>
      </c>
      <c r="C61" s="121">
        <f>inputOth!B57</f>
        <v>0</v>
      </c>
      <c r="D61" s="121">
        <f>inputPrYr!D30</f>
        <v>0</v>
      </c>
      <c r="E61" s="381">
        <f>IF(E60&lt;0,"See Tab E","")</f>
      </c>
    </row>
    <row r="62" spans="2:5" ht="15.75">
      <c r="B62" s="37"/>
      <c r="C62" s="40">
        <f>IF(C59&gt;C61,"See Tab A","")</f>
      </c>
      <c r="D62" s="40">
        <f>IF(D59&gt;D61,"See Tab C","")</f>
      </c>
      <c r="E62" s="3"/>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1" t="s">
        <v>326</v>
      </c>
    </row>
    <row r="2" ht="54.75" customHeight="1">
      <c r="A2" s="152" t="s">
        <v>327</v>
      </c>
    </row>
    <row r="3" ht="15.75">
      <c r="A3" s="153"/>
    </row>
    <row r="4" ht="56.25" customHeight="1">
      <c r="A4" s="152" t="s">
        <v>328</v>
      </c>
    </row>
    <row r="5" ht="15.75">
      <c r="A5" s="69"/>
    </row>
    <row r="6" ht="50.25" customHeight="1">
      <c r="A6" s="152" t="s">
        <v>329</v>
      </c>
    </row>
    <row r="7" ht="16.5" customHeight="1">
      <c r="A7" s="152"/>
    </row>
    <row r="8" ht="50.25" customHeight="1">
      <c r="A8" s="469" t="s">
        <v>696</v>
      </c>
    </row>
    <row r="9" ht="15.75">
      <c r="A9" s="153"/>
    </row>
    <row r="10" ht="40.5" customHeight="1">
      <c r="A10" s="152" t="s">
        <v>330</v>
      </c>
    </row>
    <row r="11" ht="15.75">
      <c r="A11" s="69"/>
    </row>
    <row r="12" ht="40.5" customHeight="1">
      <c r="A12" s="152" t="s">
        <v>331</v>
      </c>
    </row>
    <row r="13" ht="15.75">
      <c r="A13" s="153"/>
    </row>
    <row r="14" ht="71.25" customHeight="1">
      <c r="A14" s="152" t="s">
        <v>332</v>
      </c>
    </row>
    <row r="15" ht="15.75">
      <c r="A15" s="153"/>
    </row>
    <row r="16" ht="40.5" customHeight="1">
      <c r="A16" s="152" t="s">
        <v>333</v>
      </c>
    </row>
    <row r="17" ht="15.75">
      <c r="A17" s="69"/>
    </row>
    <row r="18" ht="49.5" customHeight="1">
      <c r="A18" s="152" t="s">
        <v>334</v>
      </c>
    </row>
    <row r="19" ht="15.75">
      <c r="A19" s="153"/>
    </row>
    <row r="20" ht="52.5" customHeight="1">
      <c r="A20" s="152" t="s">
        <v>335</v>
      </c>
    </row>
    <row r="21" ht="15.75">
      <c r="A21" s="153"/>
    </row>
    <row r="22" ht="48.75" customHeight="1">
      <c r="A22" s="152" t="s">
        <v>336</v>
      </c>
    </row>
    <row r="23" ht="15.75">
      <c r="A23" s="153"/>
    </row>
    <row r="24" ht="15.75">
      <c r="A24" s="69"/>
    </row>
    <row r="25" ht="51.75" customHeight="1">
      <c r="A25" s="152" t="s">
        <v>337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Irving Township</v>
      </c>
      <c r="C1" s="11" t="s">
        <v>35</v>
      </c>
      <c r="D1" s="3"/>
      <c r="E1" s="4">
        <f>inputPrYr!D5</f>
        <v>2015</v>
      </c>
    </row>
    <row r="2" spans="2:5" ht="15.75">
      <c r="B2" s="6"/>
      <c r="C2" s="3"/>
      <c r="D2" s="3"/>
      <c r="E2" s="67"/>
    </row>
    <row r="3" spans="2:5" ht="15.75">
      <c r="B3" s="509" t="s">
        <v>702</v>
      </c>
      <c r="C3" s="55"/>
      <c r="D3" s="55"/>
      <c r="E3" s="3"/>
    </row>
    <row r="4" spans="2:5" ht="15.75">
      <c r="B4" s="11" t="s">
        <v>10</v>
      </c>
      <c r="C4" s="373" t="s">
        <v>11</v>
      </c>
      <c r="D4" s="376" t="s">
        <v>12</v>
      </c>
      <c r="E4" s="12" t="s">
        <v>13</v>
      </c>
    </row>
    <row r="5" spans="2:5" ht="15.75">
      <c r="B5" s="384">
        <f>inputPrYr!B20</f>
        <v>0</v>
      </c>
      <c r="C5" s="374" t="str">
        <f>gen!C5</f>
        <v>Actual for 2013</v>
      </c>
      <c r="D5" s="374" t="str">
        <f>gen!D5</f>
        <v>Estimate for 2014</v>
      </c>
      <c r="E5" s="15" t="str">
        <f>gen!E5</f>
        <v>Year for 2015</v>
      </c>
    </row>
    <row r="6" spans="2:5" ht="15.75">
      <c r="B6" s="16" t="s">
        <v>115</v>
      </c>
      <c r="C6" s="18"/>
      <c r="D6" s="375">
        <f>C34</f>
        <v>0</v>
      </c>
      <c r="E6" s="21">
        <f>D34</f>
        <v>0</v>
      </c>
    </row>
    <row r="7" spans="2:5" ht="15.75">
      <c r="B7" s="16" t="s">
        <v>117</v>
      </c>
      <c r="C7" s="375"/>
      <c r="D7" s="375"/>
      <c r="E7" s="22"/>
    </row>
    <row r="8" spans="2:5" ht="15.75">
      <c r="B8" s="16" t="s">
        <v>16</v>
      </c>
      <c r="C8" s="18"/>
      <c r="D8" s="375">
        <f>IF(inputPrYr!H15&gt;0,inputPrYr!G20,inputPrYr!E20)</f>
        <v>0</v>
      </c>
      <c r="E8" s="22" t="s">
        <v>272</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195</v>
      </c>
      <c r="C18" s="18"/>
      <c r="D18" s="18"/>
      <c r="E18" s="23"/>
    </row>
    <row r="19" spans="2:5" ht="15.75">
      <c r="B19" s="28" t="s">
        <v>196</v>
      </c>
      <c r="C19" s="372">
        <f>IF(C20*0.1&lt;C18,"Exceed 10% Rule","")</f>
      </c>
      <c r="D19" s="372">
        <f>IF(D20*0.1&lt;D18,"Exceed 10% Rule","")</f>
      </c>
      <c r="E19" s="34">
        <f>IF(E20*0.1+E40&lt;E18,"Exceed 10% Rule","")</f>
      </c>
    </row>
    <row r="20" spans="2:5" ht="15.75">
      <c r="B20" s="30" t="s">
        <v>23</v>
      </c>
      <c r="C20" s="377">
        <f>SUM(C8:C18)</f>
        <v>0</v>
      </c>
      <c r="D20" s="377">
        <f>SUM(D8:D18)</f>
        <v>0</v>
      </c>
      <c r="E20" s="31">
        <f>SUM(E8:E18)</f>
        <v>0</v>
      </c>
    </row>
    <row r="21" spans="2:5" ht="15.75">
      <c r="B21" s="32" t="s">
        <v>24</v>
      </c>
      <c r="C21" s="377">
        <f>C20+C6</f>
        <v>0</v>
      </c>
      <c r="D21" s="377">
        <f>D20+D6</f>
        <v>0</v>
      </c>
      <c r="E21" s="31">
        <f>E20+E6</f>
        <v>0</v>
      </c>
    </row>
    <row r="22" spans="2:5" ht="15.75">
      <c r="B22" s="16" t="s">
        <v>25</v>
      </c>
      <c r="C22" s="375"/>
      <c r="D22" s="375"/>
      <c r="E22" s="21"/>
    </row>
    <row r="23" spans="2:5" ht="15.75">
      <c r="B23" s="27"/>
      <c r="C23" s="18"/>
      <c r="D23" s="18"/>
      <c r="E23" s="23"/>
    </row>
    <row r="24" spans="2:11" ht="15.75">
      <c r="B24" s="27"/>
      <c r="C24" s="18"/>
      <c r="D24" s="18"/>
      <c r="E24" s="23"/>
      <c r="G24" s="874" t="str">
        <f>CONCATENATE("Desired Carryover Into ",E1+1,"")</f>
        <v>Desired Carryover Into 2016</v>
      </c>
      <c r="H24" s="875"/>
      <c r="I24" s="875"/>
      <c r="J24" s="876"/>
      <c r="K24" s="559"/>
    </row>
    <row r="25" spans="2:11" ht="15.75">
      <c r="B25" s="27"/>
      <c r="C25" s="18"/>
      <c r="D25" s="18"/>
      <c r="E25" s="23"/>
      <c r="G25" s="590"/>
      <c r="H25" s="591"/>
      <c r="I25" s="592"/>
      <c r="J25" s="593"/>
      <c r="K25" s="559"/>
    </row>
    <row r="26" spans="2:11" ht="15.75">
      <c r="B26" s="27"/>
      <c r="C26" s="18"/>
      <c r="D26" s="18"/>
      <c r="E26" s="23"/>
      <c r="G26" s="594" t="s">
        <v>697</v>
      </c>
      <c r="H26" s="592"/>
      <c r="I26" s="592"/>
      <c r="J26" s="595">
        <v>0</v>
      </c>
      <c r="K26" s="559"/>
    </row>
    <row r="27" spans="2:11" ht="15.75">
      <c r="B27" s="27"/>
      <c r="C27" s="18"/>
      <c r="D27" s="18"/>
      <c r="E27" s="23"/>
      <c r="G27" s="590" t="s">
        <v>698</v>
      </c>
      <c r="H27" s="591"/>
      <c r="I27" s="591"/>
      <c r="J27" s="596">
        <f>IF(J26=0,"",ROUND((J26+E40-G39)/inputOth!E7*1000,3)-G44)</f>
      </c>
      <c r="K27" s="559"/>
    </row>
    <row r="28" spans="2:11" ht="15.75">
      <c r="B28" s="27"/>
      <c r="C28" s="18"/>
      <c r="D28" s="18"/>
      <c r="E28" s="23"/>
      <c r="G28" s="597" t="str">
        <f>CONCATENATE("",E1," Tot Exp/Non-Appr Must Be:")</f>
        <v>2015 Tot Exp/Non-Appr Must Be:</v>
      </c>
      <c r="H28" s="598"/>
      <c r="I28" s="599"/>
      <c r="J28" s="600">
        <f>IF(J26&gt;0,IF(E37&lt;E21,IF(J26=G39,E37,((J26-G39)*(1-D39))+E21),E37+(J26-G39)),0)</f>
        <v>0</v>
      </c>
      <c r="K28" s="559"/>
    </row>
    <row r="29" spans="2:11" ht="15.75">
      <c r="B29" s="27"/>
      <c r="C29" s="18"/>
      <c r="D29" s="18"/>
      <c r="E29" s="23"/>
      <c r="G29" s="601" t="s">
        <v>806</v>
      </c>
      <c r="H29" s="602"/>
      <c r="I29" s="602"/>
      <c r="J29" s="603">
        <f>IF(J26&gt;0,J28-E37,0)</f>
        <v>0</v>
      </c>
      <c r="K29" s="559"/>
    </row>
    <row r="30" spans="2:11" ht="15.75">
      <c r="B30" s="24" t="s">
        <v>197</v>
      </c>
      <c r="C30" s="18"/>
      <c r="D30" s="18"/>
      <c r="E30" s="35">
        <f>nhood!E10</f>
      </c>
      <c r="G30" s="559"/>
      <c r="H30" s="559"/>
      <c r="I30" s="559"/>
      <c r="J30" s="559"/>
      <c r="K30" s="559"/>
    </row>
    <row r="31" spans="2:11" ht="15.75">
      <c r="B31" s="24" t="s">
        <v>195</v>
      </c>
      <c r="C31" s="18"/>
      <c r="D31" s="18"/>
      <c r="E31" s="23"/>
      <c r="G31" s="874" t="str">
        <f>CONCATENATE("Projected Carryover Into ",E1+1,"")</f>
        <v>Projected Carryover Into 2016</v>
      </c>
      <c r="H31" s="884"/>
      <c r="I31" s="884"/>
      <c r="J31" s="878"/>
      <c r="K31" s="559"/>
    </row>
    <row r="32" spans="2:11" ht="15.75">
      <c r="B32" s="24" t="s">
        <v>604</v>
      </c>
      <c r="C32" s="372">
        <f>IF(C33*0.1&lt;C31,"Exceed 10% Rule","")</f>
      </c>
      <c r="D32" s="372">
        <f>IF(D33*0.1&lt;D31,"Exceed 10% Rule","")</f>
      </c>
      <c r="E32" s="34">
        <f>IF(E33*0.1&lt;E31,"Exceed 10% Rule","")</f>
      </c>
      <c r="G32" s="590"/>
      <c r="H32" s="592"/>
      <c r="I32" s="592"/>
      <c r="J32" s="605"/>
      <c r="K32" s="559"/>
    </row>
    <row r="33" spans="2:11" ht="15.75">
      <c r="B33" s="32" t="s">
        <v>26</v>
      </c>
      <c r="C33" s="377">
        <f>SUM(C23:C31)</f>
        <v>0</v>
      </c>
      <c r="D33" s="377">
        <f>SUM(D23:D31)</f>
        <v>0</v>
      </c>
      <c r="E33" s="31">
        <f>SUM(E23:E31)</f>
        <v>0</v>
      </c>
      <c r="G33" s="608">
        <f>D34</f>
        <v>0</v>
      </c>
      <c r="H33" s="609" t="str">
        <f>CONCATENATE("",E1-1," Ending Cash Balance (est.)")</f>
        <v>2014 Ending Cash Balance (est.)</v>
      </c>
      <c r="I33" s="610"/>
      <c r="J33" s="605"/>
      <c r="K33" s="559"/>
    </row>
    <row r="34" spans="2:11" ht="15.75">
      <c r="B34" s="16" t="s">
        <v>116</v>
      </c>
      <c r="C34" s="370">
        <f>C21-C33</f>
        <v>0</v>
      </c>
      <c r="D34" s="370">
        <f>D21-D33</f>
        <v>0</v>
      </c>
      <c r="E34" s="22" t="s">
        <v>272</v>
      </c>
      <c r="G34" s="608">
        <f>E20</f>
        <v>0</v>
      </c>
      <c r="H34" s="592" t="str">
        <f>CONCATENATE("",E1," Non-AV Receipts (est.)")</f>
        <v>2015 Non-AV Receipts (est.)</v>
      </c>
      <c r="I34" s="610"/>
      <c r="J34" s="605"/>
      <c r="K34" s="559"/>
    </row>
    <row r="35" spans="2:11" ht="15.75">
      <c r="B35" s="37" t="str">
        <f>CONCATENATE("",E1-2,"/",E1-1," Budget Authority Amount:")</f>
        <v>2013/2014 Budget Authority Amount:</v>
      </c>
      <c r="C35" s="121">
        <f>inputOth!B50</f>
        <v>0</v>
      </c>
      <c r="D35" s="149">
        <f>inputPrYr!D20</f>
        <v>0</v>
      </c>
      <c r="E35" s="22" t="s">
        <v>272</v>
      </c>
      <c r="F35" s="39"/>
      <c r="G35" s="617">
        <f>IF(E39&gt;0,E38,E40)</f>
        <v>0</v>
      </c>
      <c r="H35" s="592" t="str">
        <f>CONCATENATE("",E1," Ad Valorem Tax (est.)")</f>
        <v>2015 Ad Valorem Tax (est.)</v>
      </c>
      <c r="I35" s="610"/>
      <c r="J35" s="605"/>
      <c r="K35" s="618">
        <f>IF(G35=E40,"","Note: Does not include Delinquent Taxes")</f>
      </c>
    </row>
    <row r="36" spans="2:11" ht="15.75">
      <c r="B36" s="37"/>
      <c r="C36" s="795" t="s">
        <v>605</v>
      </c>
      <c r="D36" s="796"/>
      <c r="E36" s="23"/>
      <c r="F36" s="470">
        <f>IF(E33/0.95-E33&lt;E36,"Exceeds 5%","")</f>
      </c>
      <c r="G36" s="608">
        <f>SUM(G33:G35)</f>
        <v>0</v>
      </c>
      <c r="H36" s="592" t="str">
        <f>CONCATENATE("Total ",E1," Resources Available")</f>
        <v>Total 2015 Resources Available</v>
      </c>
      <c r="I36" s="610"/>
      <c r="J36" s="605"/>
      <c r="K36" s="559"/>
    </row>
    <row r="37" spans="2:11" ht="15.75">
      <c r="B37" s="383" t="str">
        <f>CONCATENATE(C92,"     ",D92)</f>
        <v>     </v>
      </c>
      <c r="C37" s="797" t="s">
        <v>606</v>
      </c>
      <c r="D37" s="798"/>
      <c r="E37" s="21">
        <f>E33+E36</f>
        <v>0</v>
      </c>
      <c r="G37" s="621"/>
      <c r="H37" s="592"/>
      <c r="I37" s="592"/>
      <c r="J37" s="605"/>
      <c r="K37" s="559"/>
    </row>
    <row r="38" spans="2:11" ht="15.75">
      <c r="B38" s="383" t="str">
        <f>CONCATENATE(C93,"     ",D93)</f>
        <v>     </v>
      </c>
      <c r="C38" s="49"/>
      <c r="D38" s="41" t="s">
        <v>28</v>
      </c>
      <c r="E38" s="35">
        <f>IF(E37-E21&gt;0,E37-E21,0)</f>
        <v>0</v>
      </c>
      <c r="G38" s="617">
        <f>C33*0.05+C33</f>
        <v>0</v>
      </c>
      <c r="H38" s="592" t="str">
        <f>CONCATENATE("Less ",E1-2," Expenditures + 5%")</f>
        <v>Less 2013 Expenditures + 5%</v>
      </c>
      <c r="I38" s="592"/>
      <c r="J38" s="605"/>
      <c r="K38" s="559"/>
    </row>
    <row r="39" spans="2:11" ht="15.75">
      <c r="B39" s="41"/>
      <c r="C39" s="387" t="s">
        <v>607</v>
      </c>
      <c r="D39" s="666">
        <f>inputOth!$E$40</f>
        <v>0</v>
      </c>
      <c r="E39" s="21">
        <f>ROUND(IF(D39&gt;0,(E38*D39),0),0)</f>
        <v>0</v>
      </c>
      <c r="G39" s="625">
        <f>G36-G38</f>
        <v>0</v>
      </c>
      <c r="H39" s="626" t="str">
        <f>CONCATENATE("Projected ",E1+1," carryover (est.)")</f>
        <v>Projected 2016 carryover (est.)</v>
      </c>
      <c r="I39" s="627"/>
      <c r="J39" s="628"/>
      <c r="K39" s="559"/>
    </row>
    <row r="40" spans="2:11" ht="15.75">
      <c r="B40" s="3"/>
      <c r="C40" s="793" t="str">
        <f>CONCATENATE("Amount of  ",$E$1-1," Ad Valorem Tax")</f>
        <v>Amount of  2014 Ad Valorem Tax</v>
      </c>
      <c r="D40" s="794"/>
      <c r="E40" s="35">
        <f>E38+E39</f>
        <v>0</v>
      </c>
      <c r="G40" s="559"/>
      <c r="H40" s="559"/>
      <c r="I40" s="559"/>
      <c r="J40" s="559"/>
      <c r="K40" s="559"/>
    </row>
    <row r="41" spans="2:11" ht="15.75">
      <c r="B41" s="3"/>
      <c r="C41" s="516"/>
      <c r="D41" s="3"/>
      <c r="E41" s="3"/>
      <c r="G41" s="881" t="s">
        <v>807</v>
      </c>
      <c r="H41" s="882"/>
      <c r="I41" s="882"/>
      <c r="J41" s="883"/>
      <c r="K41" s="559"/>
    </row>
    <row r="42" spans="2:11" ht="15.75">
      <c r="B42" s="3"/>
      <c r="C42" s="516"/>
      <c r="D42" s="3"/>
      <c r="E42" s="3"/>
      <c r="G42" s="632"/>
      <c r="H42" s="609"/>
      <c r="I42" s="633"/>
      <c r="J42" s="634"/>
      <c r="K42" s="559"/>
    </row>
    <row r="43" spans="2:11" ht="15.75">
      <c r="B43" s="11" t="s">
        <v>10</v>
      </c>
      <c r="C43" s="55"/>
      <c r="D43" s="55"/>
      <c r="E43" s="55"/>
      <c r="G43" s="635" t="e">
        <f>summ!#REF!</f>
        <v>#REF!</v>
      </c>
      <c r="H43" s="609" t="str">
        <f>CONCATENATE("",E1," Fund Mill Rate")</f>
        <v>2015 Fund Mill Rate</v>
      </c>
      <c r="I43" s="633"/>
      <c r="J43" s="634"/>
      <c r="K43" s="559"/>
    </row>
    <row r="44" spans="2:11" ht="15.75">
      <c r="B44" s="3"/>
      <c r="C44" s="373" t="s">
        <v>11</v>
      </c>
      <c r="D44" s="376" t="s">
        <v>12</v>
      </c>
      <c r="E44" s="12" t="s">
        <v>13</v>
      </c>
      <c r="G44" s="636" t="e">
        <f>summ!#REF!</f>
        <v>#REF!</v>
      </c>
      <c r="H44" s="609" t="str">
        <f>CONCATENATE("",E1-1," Fund Mill Rate")</f>
        <v>2014 Fund Mill Rate</v>
      </c>
      <c r="I44" s="633"/>
      <c r="J44" s="634"/>
      <c r="K44" s="559"/>
    </row>
    <row r="45" spans="2:11" ht="15.75">
      <c r="B45" s="465">
        <f>inputPrYr!B21</f>
        <v>0</v>
      </c>
      <c r="C45" s="374" t="str">
        <f>C5</f>
        <v>Actual for 2013</v>
      </c>
      <c r="D45" s="374" t="str">
        <f>D5</f>
        <v>Estimate for 2014</v>
      </c>
      <c r="E45" s="15" t="str">
        <f>E5</f>
        <v>Year for 2015</v>
      </c>
      <c r="G45" s="638">
        <f>summ!I21</f>
        <v>16.343</v>
      </c>
      <c r="H45" s="609" t="str">
        <f>CONCATENATE("Total ",E1," Mill Rate")</f>
        <v>Total 2015 Mill Rate</v>
      </c>
      <c r="I45" s="633"/>
      <c r="J45" s="634"/>
      <c r="K45" s="559"/>
    </row>
    <row r="46" spans="2:11" ht="15.75">
      <c r="B46" s="16" t="s">
        <v>115</v>
      </c>
      <c r="C46" s="18"/>
      <c r="D46" s="375">
        <f>C74</f>
        <v>0</v>
      </c>
      <c r="E46" s="21">
        <f>D74</f>
        <v>0</v>
      </c>
      <c r="G46" s="636">
        <f>summ!F21</f>
        <v>17.765</v>
      </c>
      <c r="H46" s="639" t="str">
        <f>CONCATENATE("Total ",E1-1," Mill Rate")</f>
        <v>Total 2014 Mill Rate</v>
      </c>
      <c r="I46" s="640"/>
      <c r="J46" s="641"/>
      <c r="K46" s="559"/>
    </row>
    <row r="47" spans="2:11" ht="15.75">
      <c r="B47" s="16" t="s">
        <v>117</v>
      </c>
      <c r="C47" s="375"/>
      <c r="D47" s="375"/>
      <c r="E47" s="22"/>
      <c r="G47" s="559"/>
      <c r="H47" s="559"/>
      <c r="I47" s="559"/>
      <c r="J47" s="559"/>
      <c r="K47" s="559"/>
    </row>
    <row r="48" spans="2:11" ht="15.75">
      <c r="B48" s="16" t="s">
        <v>16</v>
      </c>
      <c r="C48" s="18"/>
      <c r="D48" s="375">
        <f>IF(inputPrYr!H15&gt;0,inputPrYr!G21,inputPrYr!E21)</f>
        <v>0</v>
      </c>
      <c r="E48" s="22" t="s">
        <v>272</v>
      </c>
      <c r="G48" s="721" t="s">
        <v>915</v>
      </c>
      <c r="H48" s="720"/>
      <c r="I48" s="719" t="str">
        <f>cert!F37</f>
        <v>No</v>
      </c>
      <c r="J48" s="559"/>
      <c r="K48" s="559"/>
    </row>
    <row r="49" spans="2:11" ht="15.75">
      <c r="B49" s="16" t="s">
        <v>17</v>
      </c>
      <c r="C49" s="18"/>
      <c r="D49" s="18"/>
      <c r="E49" s="23"/>
      <c r="G49" s="559"/>
      <c r="H49" s="559"/>
      <c r="I49" s="559"/>
      <c r="J49" s="559"/>
      <c r="K49" s="559"/>
    </row>
    <row r="50" spans="2:11" ht="15.75">
      <c r="B50" s="16" t="s">
        <v>18</v>
      </c>
      <c r="C50" s="18"/>
      <c r="D50" s="18"/>
      <c r="E50" s="21">
        <f>mvalloc!G16</f>
        <v>0</v>
      </c>
      <c r="G50" s="559"/>
      <c r="H50" s="559"/>
      <c r="I50" s="559"/>
      <c r="J50" s="559"/>
      <c r="K50" s="559"/>
    </row>
    <row r="51" spans="2:11" ht="15.75">
      <c r="B51" s="16" t="s">
        <v>19</v>
      </c>
      <c r="C51" s="18"/>
      <c r="D51" s="18"/>
      <c r="E51" s="21">
        <f>mvalloc!I16</f>
        <v>0</v>
      </c>
      <c r="G51" s="559"/>
      <c r="H51" s="559"/>
      <c r="I51" s="559"/>
      <c r="J51" s="559"/>
      <c r="K51" s="559"/>
    </row>
    <row r="52" spans="2:11" ht="15.75">
      <c r="B52" s="16" t="s">
        <v>99</v>
      </c>
      <c r="C52" s="18"/>
      <c r="D52" s="18"/>
      <c r="E52" s="21">
        <f>mvalloc!J16</f>
        <v>0</v>
      </c>
      <c r="G52" s="559"/>
      <c r="H52" s="559"/>
      <c r="I52" s="559"/>
      <c r="J52" s="559"/>
      <c r="K52" s="559"/>
    </row>
    <row r="53" spans="2:11" ht="15.75">
      <c r="B53" s="26"/>
      <c r="C53" s="18"/>
      <c r="D53" s="18"/>
      <c r="E53" s="23"/>
      <c r="G53" s="559"/>
      <c r="H53" s="559"/>
      <c r="I53" s="559"/>
      <c r="J53" s="559"/>
      <c r="K53" s="559"/>
    </row>
    <row r="54" spans="2:11" ht="15.75">
      <c r="B54" s="26"/>
      <c r="C54" s="18"/>
      <c r="D54" s="18"/>
      <c r="E54" s="23"/>
      <c r="G54" s="559"/>
      <c r="H54" s="559"/>
      <c r="I54" s="559"/>
      <c r="J54" s="559"/>
      <c r="K54" s="559"/>
    </row>
    <row r="55" spans="2:11" ht="15.75">
      <c r="B55" s="26"/>
      <c r="C55" s="18"/>
      <c r="D55" s="18"/>
      <c r="E55" s="23"/>
      <c r="G55" s="559"/>
      <c r="H55" s="559"/>
      <c r="I55" s="559"/>
      <c r="J55" s="559"/>
      <c r="K55" s="559"/>
    </row>
    <row r="56" spans="2:11" ht="15.75">
      <c r="B56" s="27"/>
      <c r="C56" s="18"/>
      <c r="D56" s="18"/>
      <c r="E56" s="23"/>
      <c r="G56" s="559"/>
      <c r="H56" s="559"/>
      <c r="I56" s="559"/>
      <c r="J56" s="559"/>
      <c r="K56" s="559"/>
    </row>
    <row r="57" spans="2:11" ht="15.75">
      <c r="B57" s="27" t="s">
        <v>22</v>
      </c>
      <c r="C57" s="18"/>
      <c r="D57" s="18"/>
      <c r="E57" s="23"/>
      <c r="G57" s="559"/>
      <c r="H57" s="559"/>
      <c r="I57" s="559"/>
      <c r="J57" s="559"/>
      <c r="K57" s="559"/>
    </row>
    <row r="58" spans="2:11" ht="15.75">
      <c r="B58" s="28" t="s">
        <v>195</v>
      </c>
      <c r="C58" s="18"/>
      <c r="D58" s="18"/>
      <c r="E58" s="23"/>
      <c r="G58" s="559"/>
      <c r="H58" s="559"/>
      <c r="I58" s="559"/>
      <c r="J58" s="559"/>
      <c r="K58" s="559"/>
    </row>
    <row r="59" spans="2:11" ht="15.75">
      <c r="B59" s="28" t="s">
        <v>196</v>
      </c>
      <c r="C59" s="372">
        <f>IF(C60*0.1&lt;C58,"Exceed 10% Rule","")</f>
      </c>
      <c r="D59" s="372">
        <f>IF(D60*0.1&lt;D58,"Exceed 10% Rule","")</f>
      </c>
      <c r="E59" s="34">
        <f>IF(E60*0.1+E80&lt;E58,"Exceed 10% Rule","")</f>
      </c>
      <c r="G59" s="559"/>
      <c r="H59" s="559"/>
      <c r="I59" s="559"/>
      <c r="J59" s="559"/>
      <c r="K59" s="559"/>
    </row>
    <row r="60" spans="2:11" ht="15.75">
      <c r="B60" s="30" t="s">
        <v>23</v>
      </c>
      <c r="C60" s="377">
        <f>SUM(C48:C58)</f>
        <v>0</v>
      </c>
      <c r="D60" s="377">
        <f>SUM(D48:D58)</f>
        <v>0</v>
      </c>
      <c r="E60" s="31">
        <f>SUM(E48:E58)</f>
        <v>0</v>
      </c>
      <c r="G60" s="559"/>
      <c r="H60" s="559"/>
      <c r="I60" s="559"/>
      <c r="J60" s="559"/>
      <c r="K60" s="559"/>
    </row>
    <row r="61" spans="2:11" ht="15.75">
      <c r="B61" s="32" t="s">
        <v>24</v>
      </c>
      <c r="C61" s="377">
        <f>C60+C46</f>
        <v>0</v>
      </c>
      <c r="D61" s="377">
        <f>D60+D46</f>
        <v>0</v>
      </c>
      <c r="E61" s="31">
        <f>E60+E46</f>
        <v>0</v>
      </c>
      <c r="G61" s="559"/>
      <c r="H61" s="559"/>
      <c r="I61" s="559"/>
      <c r="J61" s="559"/>
      <c r="K61" s="559"/>
    </row>
    <row r="62" spans="2:11" ht="15.75">
      <c r="B62" s="16" t="s">
        <v>25</v>
      </c>
      <c r="C62" s="375"/>
      <c r="D62" s="375"/>
      <c r="E62" s="21"/>
      <c r="G62" s="559"/>
      <c r="H62" s="559"/>
      <c r="I62" s="559"/>
      <c r="J62" s="559"/>
      <c r="K62" s="559"/>
    </row>
    <row r="63" spans="2:11" ht="15.75">
      <c r="B63" s="27"/>
      <c r="C63" s="18"/>
      <c r="D63" s="18"/>
      <c r="E63" s="23"/>
      <c r="G63" s="559"/>
      <c r="H63" s="559"/>
      <c r="I63" s="559"/>
      <c r="J63" s="559"/>
      <c r="K63" s="559"/>
    </row>
    <row r="64" spans="2:11" ht="15.75">
      <c r="B64" s="27"/>
      <c r="C64" s="18"/>
      <c r="D64" s="18"/>
      <c r="E64" s="23"/>
      <c r="G64" s="874" t="str">
        <f>CONCATENATE("Desired Carryover Into ",E1+1,"")</f>
        <v>Desired Carryover Into 2016</v>
      </c>
      <c r="H64" s="875"/>
      <c r="I64" s="875"/>
      <c r="J64" s="876"/>
      <c r="K64" s="559"/>
    </row>
    <row r="65" spans="2:11" ht="15.75">
      <c r="B65" s="27"/>
      <c r="C65" s="18"/>
      <c r="D65" s="18"/>
      <c r="E65" s="23"/>
      <c r="G65" s="590"/>
      <c r="H65" s="591"/>
      <c r="I65" s="592"/>
      <c r="J65" s="593"/>
      <c r="K65" s="559"/>
    </row>
    <row r="66" spans="2:11" ht="15.75">
      <c r="B66" s="27"/>
      <c r="C66" s="18"/>
      <c r="D66" s="18"/>
      <c r="E66" s="23"/>
      <c r="G66" s="594" t="s">
        <v>697</v>
      </c>
      <c r="H66" s="592"/>
      <c r="I66" s="592"/>
      <c r="J66" s="595">
        <v>0</v>
      </c>
      <c r="K66" s="559"/>
    </row>
    <row r="67" spans="2:11" ht="15.75">
      <c r="B67" s="27"/>
      <c r="C67" s="18"/>
      <c r="D67" s="18"/>
      <c r="E67" s="23"/>
      <c r="G67" s="590" t="s">
        <v>698</v>
      </c>
      <c r="H67" s="591"/>
      <c r="I67" s="591"/>
      <c r="J67" s="596">
        <f>IF(J66=0,"",ROUND((J66+E80-G79)/inputOth!E7*1000,3)-G84)</f>
      </c>
      <c r="K67" s="559"/>
    </row>
    <row r="68" spans="2:11" ht="15.75">
      <c r="B68" s="27"/>
      <c r="C68" s="18"/>
      <c r="D68" s="18"/>
      <c r="E68" s="23"/>
      <c r="G68" s="597" t="str">
        <f>CONCATENATE("",E1," Tot Exp/Non-Appr Must Be:")</f>
        <v>2015 Tot Exp/Non-Appr Must Be:</v>
      </c>
      <c r="H68" s="598"/>
      <c r="I68" s="599"/>
      <c r="J68" s="600">
        <f>IF(J66&gt;0,IF(E77&lt;E61,IF(J66=G79,E77,((J66-G79)*(1-D79))+E61),E77+(J66-G79)),0)</f>
        <v>0</v>
      </c>
      <c r="K68" s="559"/>
    </row>
    <row r="69" spans="2:11" ht="15.75">
      <c r="B69" s="27"/>
      <c r="C69" s="18"/>
      <c r="D69" s="18"/>
      <c r="E69" s="23"/>
      <c r="G69" s="601" t="s">
        <v>806</v>
      </c>
      <c r="H69" s="602"/>
      <c r="I69" s="602"/>
      <c r="J69" s="603">
        <f>IF(J66&gt;0,J68-E77,0)</f>
        <v>0</v>
      </c>
      <c r="K69" s="559"/>
    </row>
    <row r="70" spans="2:11" ht="15.75">
      <c r="B70" s="24" t="s">
        <v>197</v>
      </c>
      <c r="C70" s="18"/>
      <c r="D70" s="18"/>
      <c r="E70" s="35">
        <f>nhood!E11</f>
      </c>
      <c r="G70" s="559"/>
      <c r="H70" s="559"/>
      <c r="I70" s="559"/>
      <c r="J70" s="559"/>
      <c r="K70" s="559"/>
    </row>
    <row r="71" spans="2:11" ht="15.75">
      <c r="B71" s="24" t="s">
        <v>195</v>
      </c>
      <c r="C71" s="18"/>
      <c r="D71" s="18"/>
      <c r="E71" s="23"/>
      <c r="G71" s="874" t="str">
        <f>CONCATENATE("Projected Carryover Into ",E1+1,"")</f>
        <v>Projected Carryover Into 2016</v>
      </c>
      <c r="H71" s="877"/>
      <c r="I71" s="877"/>
      <c r="J71" s="878"/>
      <c r="K71" s="559"/>
    </row>
    <row r="72" spans="2:11" ht="15.75">
      <c r="B72" s="24" t="s">
        <v>604</v>
      </c>
      <c r="C72" s="372">
        <f>IF(C73*0.1&lt;C71,"Exceed 10% Rule","")</f>
      </c>
      <c r="D72" s="372">
        <f>IF(D73*0.1&lt;D71,"Exceed 10% Rule","")</f>
      </c>
      <c r="E72" s="34">
        <f>IF(E73*0.1&lt;E71,"Exceed 10% Rule","")</f>
      </c>
      <c r="G72" s="644"/>
      <c r="H72" s="591"/>
      <c r="I72" s="591"/>
      <c r="J72" s="645"/>
      <c r="K72" s="559"/>
    </row>
    <row r="73" spans="2:11" ht="15.75">
      <c r="B73" s="32" t="s">
        <v>26</v>
      </c>
      <c r="C73" s="377">
        <f>SUM(C63:C71)</f>
        <v>0</v>
      </c>
      <c r="D73" s="377">
        <f>SUM(D63:D71)</f>
        <v>0</v>
      </c>
      <c r="E73" s="31">
        <f>SUM(E63:E71)</f>
        <v>0</v>
      </c>
      <c r="G73" s="608">
        <f>D74</f>
        <v>0</v>
      </c>
      <c r="H73" s="609" t="str">
        <f>CONCATENATE("",E1-1," Ending Cash Balance (est.)")</f>
        <v>2014 Ending Cash Balance (est.)</v>
      </c>
      <c r="I73" s="610"/>
      <c r="J73" s="645"/>
      <c r="K73" s="559"/>
    </row>
    <row r="74" spans="2:11" ht="15.75">
      <c r="B74" s="16" t="s">
        <v>116</v>
      </c>
      <c r="C74" s="370">
        <f>C61-C73</f>
        <v>0</v>
      </c>
      <c r="D74" s="370">
        <f>D61-D73</f>
        <v>0</v>
      </c>
      <c r="E74" s="22" t="s">
        <v>272</v>
      </c>
      <c r="G74" s="608">
        <f>E60</f>
        <v>0</v>
      </c>
      <c r="H74" s="592" t="str">
        <f>CONCATENATE("",E1," Non-AV Receipts (est.)")</f>
        <v>2015 Non-AV Receipts (est.)</v>
      </c>
      <c r="I74" s="610"/>
      <c r="J74" s="645"/>
      <c r="K74" s="559"/>
    </row>
    <row r="75" spans="2:11" ht="15.75">
      <c r="B75" s="37" t="str">
        <f>CONCATENATE("",E1-2,"/",E1-1," Budget Authority Amount:")</f>
        <v>2013/2014 Budget Authority Amount:</v>
      </c>
      <c r="C75" s="121">
        <f>inputOth!B51</f>
        <v>0</v>
      </c>
      <c r="D75" s="149">
        <f>inputPrYr!D21</f>
        <v>0</v>
      </c>
      <c r="E75" s="22" t="s">
        <v>272</v>
      </c>
      <c r="F75" s="39"/>
      <c r="G75" s="617">
        <f>IF(E79&gt;0,E78,E80)</f>
        <v>0</v>
      </c>
      <c r="H75" s="592" t="str">
        <f>CONCATENATE("",E1," Ad Valorem Tax (est.)")</f>
        <v>2015 Ad Valorem Tax (est.)</v>
      </c>
      <c r="I75" s="610"/>
      <c r="J75" s="645"/>
      <c r="K75" s="618">
        <f>IF(G75=E80,"","Note: Does not include Delinquent Taxes")</f>
      </c>
    </row>
    <row r="76" spans="2:11" ht="15.75">
      <c r="B76" s="37"/>
      <c r="C76" s="795" t="s">
        <v>605</v>
      </c>
      <c r="D76" s="796"/>
      <c r="E76" s="23"/>
      <c r="F76" s="470">
        <f>IF(E73/0.95-E73&lt;E76,"Exceeds 5%","")</f>
      </c>
      <c r="G76" s="647">
        <f>SUM(G73:G75)</f>
        <v>0</v>
      </c>
      <c r="H76" s="592" t="str">
        <f>CONCATENATE("Total ",E1," Resources Available")</f>
        <v>Total 2015 Resources Available</v>
      </c>
      <c r="I76" s="648"/>
      <c r="J76" s="645"/>
      <c r="K76" s="559"/>
    </row>
    <row r="77" spans="2:11" ht="15.75">
      <c r="B77" s="383" t="str">
        <f>CONCATENATE(C94,"     ",D94)</f>
        <v>     </v>
      </c>
      <c r="C77" s="797" t="s">
        <v>606</v>
      </c>
      <c r="D77" s="798"/>
      <c r="E77" s="21">
        <f>E73+E76</f>
        <v>0</v>
      </c>
      <c r="G77" s="649"/>
      <c r="H77" s="650"/>
      <c r="I77" s="591"/>
      <c r="J77" s="645"/>
      <c r="K77" s="559"/>
    </row>
    <row r="78" spans="2:11" ht="15.75">
      <c r="B78" s="383" t="str">
        <f>CONCATENATE(C95,"     ",D95)</f>
        <v>     </v>
      </c>
      <c r="C78" s="49"/>
      <c r="D78" s="41" t="s">
        <v>28</v>
      </c>
      <c r="E78" s="35">
        <f>IF(E77-E61&gt;0,E77-E61,0)</f>
        <v>0</v>
      </c>
      <c r="G78" s="617">
        <f>ROUND(C73*0.05+C73,0)</f>
        <v>0</v>
      </c>
      <c r="H78" s="592" t="str">
        <f>CONCATENATE("Less ",E1-2," Expenditures + 5%")</f>
        <v>Less 2013 Expenditures + 5%</v>
      </c>
      <c r="I78" s="648"/>
      <c r="J78" s="645"/>
      <c r="K78" s="559"/>
    </row>
    <row r="79" spans="2:11" ht="15.75">
      <c r="B79" s="41"/>
      <c r="C79" s="387" t="s">
        <v>607</v>
      </c>
      <c r="D79" s="666">
        <f>inputOth!$E$40</f>
        <v>0</v>
      </c>
      <c r="E79" s="21">
        <f>ROUND(IF(D79&gt;0,(E78*D79),0),0)</f>
        <v>0</v>
      </c>
      <c r="G79" s="625">
        <f>G76-G78</f>
        <v>0</v>
      </c>
      <c r="H79" s="626" t="str">
        <f>CONCATENATE("Projected ",E1+1," carryover (est.)")</f>
        <v>Projected 2016 carryover (est.)</v>
      </c>
      <c r="I79" s="651"/>
      <c r="J79" s="652"/>
      <c r="K79" s="559"/>
    </row>
    <row r="80" spans="2:11" ht="15.75">
      <c r="B80" s="3"/>
      <c r="C80" s="793" t="str">
        <f>CONCATENATE("Amount of  ",$E$1-1," Ad Valorem Tax")</f>
        <v>Amount of  2014 Ad Valorem Tax</v>
      </c>
      <c r="D80" s="794"/>
      <c r="E80" s="35">
        <f>E78+E79</f>
        <v>0</v>
      </c>
      <c r="G80" s="559"/>
      <c r="H80" s="559"/>
      <c r="I80" s="559"/>
      <c r="J80" s="559"/>
      <c r="K80" s="559"/>
    </row>
    <row r="81" spans="2:11" ht="15.75">
      <c r="B81" s="41" t="s">
        <v>9</v>
      </c>
      <c r="C81" s="54"/>
      <c r="D81" s="3"/>
      <c r="E81" s="3"/>
      <c r="G81" s="881" t="s">
        <v>807</v>
      </c>
      <c r="H81" s="882"/>
      <c r="I81" s="882"/>
      <c r="J81" s="883"/>
      <c r="K81" s="559"/>
    </row>
    <row r="82" spans="2:11" ht="15.75">
      <c r="B82" s="69"/>
      <c r="G82" s="632"/>
      <c r="H82" s="609"/>
      <c r="I82" s="633"/>
      <c r="J82" s="634"/>
      <c r="K82" s="559"/>
    </row>
    <row r="83" spans="7:11" ht="15.75">
      <c r="G83" s="635" t="e">
        <f>summ!#REF!</f>
        <v>#REF!</v>
      </c>
      <c r="H83" s="609" t="str">
        <f>CONCATENATE("",E1," Fund Mill Rate")</f>
        <v>2015 Fund Mill Rate</v>
      </c>
      <c r="I83" s="633"/>
      <c r="J83" s="634"/>
      <c r="K83" s="559"/>
    </row>
    <row r="84" spans="7:11" ht="15.75">
      <c r="G84" s="636" t="e">
        <f>summ!#REF!</f>
        <v>#REF!</v>
      </c>
      <c r="H84" s="609" t="str">
        <f>CONCATENATE("",E1-1," Fund Mill Rate")</f>
        <v>2014 Fund Mill Rate</v>
      </c>
      <c r="I84" s="633"/>
      <c r="J84" s="634"/>
      <c r="K84" s="559"/>
    </row>
    <row r="85" spans="7:11" ht="15.75">
      <c r="G85" s="638">
        <f>summ!I21</f>
        <v>16.343</v>
      </c>
      <c r="H85" s="609" t="str">
        <f>CONCATENATE("Total ",E1," Mill Rate")</f>
        <v>Total 2015 Mill Rate</v>
      </c>
      <c r="I85" s="633"/>
      <c r="J85" s="634"/>
      <c r="K85" s="559"/>
    </row>
    <row r="86" spans="7:11" ht="15.75">
      <c r="G86" s="636">
        <f>summ!F21</f>
        <v>17.765</v>
      </c>
      <c r="H86" s="639" t="str">
        <f>CONCATENATE("Total ",E1-1," Mill Rate")</f>
        <v>Total 2014 Mill Rate</v>
      </c>
      <c r="I86" s="640"/>
      <c r="J86" s="641"/>
      <c r="K86" s="559"/>
    </row>
    <row r="88" spans="7:9" ht="15.75">
      <c r="G88" s="721" t="s">
        <v>915</v>
      </c>
      <c r="H88" s="720"/>
      <c r="I88" s="719"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 operator="greaterThan" stopIfTrue="1">
      <formula>$C$75</formula>
    </cfRule>
  </conditionalFormatting>
  <conditionalFormatting sqref="D73">
    <cfRule type="cellIs" priority="19" dxfId="1" operator="greaterThan" stopIfTrue="1">
      <formula>$D$75</formula>
    </cfRule>
  </conditionalFormatting>
  <conditionalFormatting sqref="C33">
    <cfRule type="cellIs" priority="20" dxfId="1" operator="greaterThan" stopIfTrue="1">
      <formula>$C$35</formula>
    </cfRule>
  </conditionalFormatting>
  <conditionalFormatting sqref="D33">
    <cfRule type="cellIs" priority="21" dxfId="1"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37" sqref="E3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Irving Township</v>
      </c>
      <c r="B1" s="79"/>
      <c r="C1" s="79"/>
      <c r="D1" s="79"/>
      <c r="E1" s="79">
        <f>inputPrYr!D5</f>
        <v>2015</v>
      </c>
    </row>
    <row r="2" spans="1:5" ht="15.75">
      <c r="A2" s="77" t="str">
        <f>inputPrYr!D3</f>
        <v>Brown County</v>
      </c>
      <c r="B2" s="79"/>
      <c r="C2" s="79"/>
      <c r="D2" s="79"/>
      <c r="E2" s="79"/>
    </row>
    <row r="3" spans="1:5" ht="15.75">
      <c r="A3" s="79"/>
      <c r="B3" s="79"/>
      <c r="C3" s="79"/>
      <c r="D3" s="79"/>
      <c r="E3" s="79"/>
    </row>
    <row r="4" spans="1:5" ht="15.75">
      <c r="A4" s="748" t="s">
        <v>141</v>
      </c>
      <c r="B4" s="749"/>
      <c r="C4" s="749"/>
      <c r="D4" s="749"/>
      <c r="E4" s="749"/>
    </row>
    <row r="5" spans="1:5" ht="15.75">
      <c r="A5" s="79"/>
      <c r="B5" s="79"/>
      <c r="C5" s="79"/>
      <c r="D5" s="79"/>
      <c r="E5" s="79"/>
    </row>
    <row r="6" spans="1:5" ht="15.75">
      <c r="A6" s="268" t="str">
        <f>CONCATENATE("From the County Clerks Budget Information for ",E1,":")</f>
        <v>From the County Clerks Budget Information for 2015:</v>
      </c>
      <c r="B6" s="269"/>
      <c r="C6" s="269"/>
      <c r="D6" s="3"/>
      <c r="E6" s="44"/>
    </row>
    <row r="7" spans="1:5" ht="15.75">
      <c r="A7" s="11" t="str">
        <f>CONCATENATE("Total Assessed Valuation for ",E1-1,"")</f>
        <v>Total Assessed Valuation for 2014</v>
      </c>
      <c r="B7" s="8"/>
      <c r="C7" s="8"/>
      <c r="D7" s="8"/>
      <c r="E7" s="270">
        <v>7945740</v>
      </c>
    </row>
    <row r="8" spans="1:5" ht="15.75">
      <c r="A8" s="11" t="str">
        <f>CONCATENATE("New Improvements for ",E1-1,"")</f>
        <v>New Improvements for 2014</v>
      </c>
      <c r="B8" s="8"/>
      <c r="C8" s="8"/>
      <c r="D8" s="8"/>
      <c r="E8" s="271">
        <v>2831</v>
      </c>
    </row>
    <row r="9" spans="1:5" ht="15.75">
      <c r="A9" s="11" t="str">
        <f>CONCATENATE("Personal Property excluding oil, gas, and mobile homes - ",E1-1,"")</f>
        <v>Personal Property excluding oil, gas, and mobile homes - 2014</v>
      </c>
      <c r="B9" s="8"/>
      <c r="C9" s="8"/>
      <c r="D9" s="8"/>
      <c r="E9" s="271">
        <v>313022</v>
      </c>
    </row>
    <row r="10" spans="1:5" ht="15.75">
      <c r="A10" s="11" t="str">
        <f>CONCATENATE("Property that has changed in use for ",E1-1,"")</f>
        <v>Property that has changed in use for 2014</v>
      </c>
      <c r="B10" s="8"/>
      <c r="C10" s="8"/>
      <c r="D10" s="8"/>
      <c r="E10" s="271">
        <v>263027</v>
      </c>
    </row>
    <row r="11" spans="1:5" ht="15.75">
      <c r="A11" s="11" t="str">
        <f>CONCATENATE("Personal Property excluding oil, gas, and mobile homes- ",E1-2,"")</f>
        <v>Personal Property excluding oil, gas, and mobile homes- 2013</v>
      </c>
      <c r="B11" s="8"/>
      <c r="C11" s="8"/>
      <c r="D11" s="8"/>
      <c r="E11" s="271">
        <v>300274</v>
      </c>
    </row>
    <row r="12" spans="1:5" ht="15.75">
      <c r="A12" s="11" t="str">
        <f>CONCATENATE("Gross earnings (intangible) tax estimate for ",E1,"")</f>
        <v>Gross earnings (intangible) tax estimate for 2015</v>
      </c>
      <c r="B12" s="8"/>
      <c r="C12" s="8"/>
      <c r="D12" s="8"/>
      <c r="E12" s="271">
        <v>1484</v>
      </c>
    </row>
    <row r="13" spans="1:5" ht="15.75">
      <c r="A13" s="11" t="str">
        <f>CONCATENATE("Neighborhood Revitalization - ",E1,"")</f>
        <v>Neighborhood Revitalization - 2015</v>
      </c>
      <c r="B13" s="8"/>
      <c r="C13" s="8"/>
      <c r="D13" s="8"/>
      <c r="E13" s="271">
        <v>27591</v>
      </c>
    </row>
    <row r="14" spans="1:5" ht="15.75">
      <c r="A14" s="11"/>
      <c r="B14" s="8"/>
      <c r="C14" s="8"/>
      <c r="D14" s="8"/>
      <c r="E14" s="272"/>
    </row>
    <row r="15" spans="1:5" ht="15.75">
      <c r="A15" s="273" t="str">
        <f>CONCATENATE("Actual Tax Rates for the ",E1-1," Budget:")</f>
        <v>Actual Tax Rates for the 2014 Budget:</v>
      </c>
      <c r="B15" s="8"/>
      <c r="C15" s="8"/>
      <c r="D15" s="8"/>
      <c r="E15" s="274"/>
    </row>
    <row r="16" spans="1:5" ht="15.75">
      <c r="A16" s="753" t="s">
        <v>268</v>
      </c>
      <c r="B16" s="754"/>
      <c r="C16" s="79"/>
      <c r="D16" s="275" t="s">
        <v>3</v>
      </c>
      <c r="E16" s="274"/>
    </row>
    <row r="17" spans="1:5" ht="15.75">
      <c r="A17" s="60" t="str">
        <f>inputPrYr!B16</f>
        <v>General</v>
      </c>
      <c r="B17" s="9"/>
      <c r="C17" s="8"/>
      <c r="D17" s="276">
        <v>0.695</v>
      </c>
      <c r="E17" s="274"/>
    </row>
    <row r="18" spans="1:5" ht="15.75">
      <c r="A18" s="60" t="str">
        <f>inputPrYr!B17</f>
        <v>Debt Service</v>
      </c>
      <c r="B18" s="255"/>
      <c r="C18" s="8"/>
      <c r="D18" s="277"/>
      <c r="E18" s="274"/>
    </row>
    <row r="19" spans="1:5" ht="15.75">
      <c r="A19" s="60" t="str">
        <f>inputPrYr!B18</f>
        <v>Library</v>
      </c>
      <c r="B19" s="255"/>
      <c r="C19" s="8"/>
      <c r="D19" s="277"/>
      <c r="E19" s="274"/>
    </row>
    <row r="20" spans="1:5" ht="15.75">
      <c r="A20" s="60" t="str">
        <f>inputPrYr!B19</f>
        <v>Road</v>
      </c>
      <c r="B20" s="255"/>
      <c r="C20" s="8"/>
      <c r="D20" s="277">
        <v>17.07</v>
      </c>
      <c r="E20" s="274"/>
    </row>
    <row r="21" spans="1:5" ht="15.75">
      <c r="A21" s="60">
        <f>inputPrYr!B20</f>
        <v>0</v>
      </c>
      <c r="B21" s="255"/>
      <c r="C21" s="8"/>
      <c r="D21" s="277"/>
      <c r="E21" s="274"/>
    </row>
    <row r="22" spans="1:5" ht="15.75">
      <c r="A22" s="60">
        <f>inputPrYr!B21</f>
        <v>0</v>
      </c>
      <c r="B22" s="255"/>
      <c r="C22" s="8"/>
      <c r="D22" s="277"/>
      <c r="E22" s="274"/>
    </row>
    <row r="23" spans="1:5" ht="15.75">
      <c r="A23" s="60">
        <f>inputPrYr!B22</f>
        <v>0</v>
      </c>
      <c r="B23" s="255"/>
      <c r="C23" s="8"/>
      <c r="D23" s="278"/>
      <c r="E23" s="274"/>
    </row>
    <row r="24" spans="1:5" ht="15.75">
      <c r="A24" s="60">
        <f>inputPrYr!B23</f>
        <v>0</v>
      </c>
      <c r="B24" s="255"/>
      <c r="C24" s="8"/>
      <c r="D24" s="278"/>
      <c r="E24" s="274"/>
    </row>
    <row r="25" spans="1:5" ht="15.75">
      <c r="A25" s="60">
        <f>inputPrYr!B24</f>
        <v>0</v>
      </c>
      <c r="B25" s="255"/>
      <c r="C25" s="8"/>
      <c r="D25" s="278"/>
      <c r="E25" s="274"/>
    </row>
    <row r="26" spans="1:5" ht="15.75">
      <c r="A26" s="60">
        <f>inputPrYr!B25</f>
        <v>0</v>
      </c>
      <c r="B26" s="255"/>
      <c r="C26" s="8"/>
      <c r="D26" s="278"/>
      <c r="E26" s="274"/>
    </row>
    <row r="27" spans="1:5" ht="15.75">
      <c r="A27" s="3"/>
      <c r="B27" s="9" t="s">
        <v>258</v>
      </c>
      <c r="C27" s="247"/>
      <c r="D27" s="279">
        <f>SUM(D17:D26)</f>
        <v>17.765</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6952558</v>
      </c>
    </row>
    <row r="30" spans="1:5" ht="15.75">
      <c r="A30" s="3"/>
      <c r="B30" s="3"/>
      <c r="C30" s="3"/>
      <c r="D30" s="3"/>
      <c r="E30" s="3"/>
    </row>
    <row r="31" spans="1:5" ht="15.75">
      <c r="A31" s="280" t="str">
        <f>CONCATENATE("From the County Treasurer's Budget Information - ",E1," Budget Year Estimates:")</f>
        <v>From the County Treasurer's Budget Information - 2015 Budget Year Estimates:</v>
      </c>
      <c r="B31" s="281"/>
      <c r="C31" s="281"/>
      <c r="D31" s="282"/>
      <c r="E31" s="44"/>
    </row>
    <row r="32" spans="1:5" ht="15.75">
      <c r="A32" s="60" t="s">
        <v>142</v>
      </c>
      <c r="B32" s="9"/>
      <c r="C32" s="9"/>
      <c r="D32" s="283"/>
      <c r="E32" s="23">
        <v>6556</v>
      </c>
    </row>
    <row r="33" spans="1:5" ht="15.75">
      <c r="A33" s="284" t="s">
        <v>259</v>
      </c>
      <c r="B33" s="255"/>
      <c r="C33" s="255"/>
      <c r="D33" s="20"/>
      <c r="E33" s="23">
        <v>240</v>
      </c>
    </row>
    <row r="34" spans="1:5" ht="15.75">
      <c r="A34" s="284" t="s">
        <v>143</v>
      </c>
      <c r="B34" s="255"/>
      <c r="C34" s="255"/>
      <c r="D34" s="20"/>
      <c r="E34" s="23">
        <v>2005</v>
      </c>
    </row>
    <row r="35" spans="1:5" ht="15.75">
      <c r="A35" s="284" t="s">
        <v>144</v>
      </c>
      <c r="B35" s="255"/>
      <c r="C35" s="255"/>
      <c r="D35" s="20"/>
      <c r="E35" s="23"/>
    </row>
    <row r="36" spans="1:5" ht="15.75">
      <c r="A36" s="284" t="s">
        <v>100</v>
      </c>
      <c r="B36" s="9"/>
      <c r="C36" s="9"/>
      <c r="D36" s="283"/>
      <c r="E36" s="23">
        <v>4115</v>
      </c>
    </row>
    <row r="37" spans="1:5" ht="15.75">
      <c r="A37" s="3" t="s">
        <v>145</v>
      </c>
      <c r="B37" s="3"/>
      <c r="C37" s="3"/>
      <c r="D37" s="3"/>
      <c r="E37" s="3"/>
    </row>
    <row r="38" spans="1:5" ht="15.75">
      <c r="A38" s="57" t="s">
        <v>146</v>
      </c>
      <c r="B38" s="134"/>
      <c r="C38" s="134"/>
      <c r="D38" s="3"/>
      <c r="E38" s="3"/>
    </row>
    <row r="39" spans="1:5" ht="15.75">
      <c r="A39" s="60" t="str">
        <f>CONCATENATE("Actual Delinquency for ",E1-3," Tax - (rate .01213 = 1.213%, key in 1.2)")</f>
        <v>Actual Delinquency for 2012 Tax - (rate .01213 = 1.213%, key in 1.2)</v>
      </c>
      <c r="B39" s="9"/>
      <c r="C39" s="9"/>
      <c r="D39" s="247"/>
      <c r="E39" s="707">
        <v>0</v>
      </c>
    </row>
    <row r="40" spans="1:5" ht="15.75">
      <c r="A40" s="284" t="s">
        <v>838</v>
      </c>
      <c r="B40" s="262"/>
      <c r="C40" s="8"/>
      <c r="D40" s="8"/>
      <c r="E40" s="708">
        <v>0</v>
      </c>
    </row>
    <row r="41" spans="1:5" ht="15.75">
      <c r="A41" s="285" t="s">
        <v>147</v>
      </c>
      <c r="B41" s="285"/>
      <c r="C41" s="286"/>
      <c r="D41" s="286"/>
      <c r="E41" s="287"/>
    </row>
    <row r="42" spans="1:5" ht="15.75">
      <c r="A42" s="129"/>
      <c r="B42" s="129"/>
      <c r="C42" s="129"/>
      <c r="D42" s="129"/>
      <c r="E42" s="129"/>
    </row>
    <row r="43" spans="1:5" ht="15.75">
      <c r="A43" s="755" t="str">
        <f>CONCATENATE("From the ",E1-2," Budget Certificate Page")</f>
        <v>From the 2013 Budget Certificate Page</v>
      </c>
      <c r="B43" s="756"/>
      <c r="C43" s="129"/>
      <c r="D43" s="129"/>
      <c r="E43" s="129"/>
    </row>
    <row r="44" spans="1:5" ht="15.75">
      <c r="A44" s="288"/>
      <c r="B44" s="288" t="str">
        <f>CONCATENATE("",E1-2," Expenditure Amounts")</f>
        <v>2013 Expenditure Amounts</v>
      </c>
      <c r="C44" s="757" t="str">
        <f>CONCATENATE("Note: If the ",E1-2," budget was amended, then the")</f>
        <v>Note: If the 2013 budget was amended, then the</v>
      </c>
      <c r="D44" s="758"/>
      <c r="E44" s="758"/>
    </row>
    <row r="45" spans="1:5" ht="15.75">
      <c r="A45" s="289" t="s">
        <v>190</v>
      </c>
      <c r="B45" s="289" t="s">
        <v>191</v>
      </c>
      <c r="C45" s="290" t="s">
        <v>192</v>
      </c>
      <c r="D45" s="291"/>
      <c r="E45" s="291"/>
    </row>
    <row r="46" spans="1:5" ht="15.75">
      <c r="A46" s="292" t="str">
        <f>inputPrYr!B16</f>
        <v>General</v>
      </c>
      <c r="B46" s="25">
        <v>16400</v>
      </c>
      <c r="C46" s="290" t="s">
        <v>193</v>
      </c>
      <c r="D46" s="291"/>
      <c r="E46" s="291"/>
    </row>
    <row r="47" spans="1:5" ht="15.75">
      <c r="A47" s="292" t="str">
        <f>inputPrYr!B17</f>
        <v>Debt Service</v>
      </c>
      <c r="B47" s="25"/>
      <c r="C47" s="290"/>
      <c r="D47" s="291"/>
      <c r="E47" s="291"/>
    </row>
    <row r="48" spans="1:5" ht="15.75">
      <c r="A48" s="292" t="str">
        <f>inputPrYr!B18</f>
        <v>Library</v>
      </c>
      <c r="B48" s="25"/>
      <c r="C48" s="290"/>
      <c r="D48" s="291"/>
      <c r="E48" s="291"/>
    </row>
    <row r="49" spans="1:5" ht="15.75">
      <c r="A49" s="292" t="str">
        <f>inputPrYr!B19</f>
        <v>Road</v>
      </c>
      <c r="B49" s="25">
        <v>129539</v>
      </c>
      <c r="C49" s="129"/>
      <c r="D49" s="129"/>
      <c r="E49" s="129"/>
    </row>
    <row r="50" spans="1:5" ht="15.75">
      <c r="A50" s="292">
        <f>inputPrYr!B20</f>
        <v>0</v>
      </c>
      <c r="B50" s="25"/>
      <c r="C50" s="129"/>
      <c r="D50" s="129"/>
      <c r="E50" s="129"/>
    </row>
    <row r="51" spans="1:5" ht="15.75">
      <c r="A51" s="292">
        <f>inputPrYr!B21</f>
        <v>0</v>
      </c>
      <c r="B51" s="25"/>
      <c r="C51" s="129"/>
      <c r="D51" s="129"/>
      <c r="E51" s="129"/>
    </row>
    <row r="52" spans="1:5" ht="15.75">
      <c r="A52" s="292">
        <f>inputPrYr!B22</f>
        <v>0</v>
      </c>
      <c r="B52" s="25"/>
      <c r="C52" s="129"/>
      <c r="D52" s="129"/>
      <c r="E52" s="129"/>
    </row>
    <row r="53" spans="1:5" ht="15.75">
      <c r="A53" s="292">
        <f>inputPrYr!B23</f>
        <v>0</v>
      </c>
      <c r="B53" s="25"/>
      <c r="C53" s="129"/>
      <c r="D53" s="129"/>
      <c r="E53" s="129"/>
    </row>
    <row r="54" spans="1:5" ht="15.75">
      <c r="A54" s="292">
        <f>inputPrYr!B24</f>
        <v>0</v>
      </c>
      <c r="B54" s="25"/>
      <c r="C54" s="129"/>
      <c r="D54" s="129"/>
      <c r="E54" s="129"/>
    </row>
    <row r="55" spans="1:5" ht="15.75">
      <c r="A55" s="292">
        <f>inputPrYr!B25</f>
        <v>0</v>
      </c>
      <c r="B55" s="25"/>
      <c r="C55" s="129"/>
      <c r="D55" s="129"/>
      <c r="E55" s="129"/>
    </row>
    <row r="56" spans="1:5" ht="15.75">
      <c r="A56" s="292">
        <f>inputPrYr!B29</f>
        <v>0</v>
      </c>
      <c r="B56" s="25"/>
      <c r="C56" s="129"/>
      <c r="D56" s="129"/>
      <c r="E56" s="129"/>
    </row>
    <row r="57" spans="1:5" ht="15.75">
      <c r="A57" s="292">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55" sqref="K55"/>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Irving Township</v>
      </c>
      <c r="B1" s="78"/>
      <c r="C1" s="79"/>
      <c r="D1" s="79"/>
      <c r="E1" s="79"/>
      <c r="F1" s="80" t="s">
        <v>308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309</v>
      </c>
      <c r="B3" s="79"/>
      <c r="C3" s="79"/>
      <c r="D3" s="79"/>
      <c r="E3" s="79"/>
      <c r="F3" s="78"/>
      <c r="G3" s="79"/>
      <c r="H3" s="79"/>
      <c r="I3" s="79"/>
      <c r="J3" s="79"/>
      <c r="K3" s="79"/>
    </row>
    <row r="4" spans="1:11" ht="15.75">
      <c r="A4" s="79" t="s">
        <v>310</v>
      </c>
      <c r="B4" s="79"/>
      <c r="C4" s="79" t="s">
        <v>311</v>
      </c>
      <c r="D4" s="79"/>
      <c r="E4" s="79" t="s">
        <v>312</v>
      </c>
      <c r="F4" s="78"/>
      <c r="G4" s="79" t="s">
        <v>313</v>
      </c>
      <c r="H4" s="79"/>
      <c r="I4" s="79" t="s">
        <v>314</v>
      </c>
      <c r="J4" s="79"/>
      <c r="K4" s="79"/>
    </row>
    <row r="5" spans="1:11" ht="15.75">
      <c r="A5" s="885">
        <f>inputPrYr!B34</f>
        <v>0</v>
      </c>
      <c r="B5" s="886"/>
      <c r="C5" s="885">
        <f>inputPrYr!B35</f>
        <v>0</v>
      </c>
      <c r="D5" s="886"/>
      <c r="E5" s="885">
        <f>inputPrYr!B36</f>
        <v>0</v>
      </c>
      <c r="F5" s="886"/>
      <c r="G5" s="887">
        <f>inputPrYr!B37</f>
        <v>0</v>
      </c>
      <c r="H5" s="886"/>
      <c r="I5" s="887">
        <f>inputPrYr!B38</f>
        <v>0</v>
      </c>
      <c r="J5" s="886"/>
      <c r="K5" s="83"/>
    </row>
    <row r="6" spans="1:11" ht="15.75">
      <c r="A6" s="84" t="s">
        <v>315</v>
      </c>
      <c r="B6" s="85"/>
      <c r="C6" s="86" t="s">
        <v>315</v>
      </c>
      <c r="D6" s="87"/>
      <c r="E6" s="86" t="s">
        <v>315</v>
      </c>
      <c r="F6" s="88"/>
      <c r="G6" s="86" t="s">
        <v>315</v>
      </c>
      <c r="H6" s="82"/>
      <c r="I6" s="86" t="s">
        <v>315</v>
      </c>
      <c r="J6" s="79"/>
      <c r="K6" s="89" t="s">
        <v>258</v>
      </c>
    </row>
    <row r="7" spans="1:11" ht="15.75">
      <c r="A7" s="90" t="s">
        <v>316</v>
      </c>
      <c r="B7" s="91"/>
      <c r="C7" s="92" t="s">
        <v>316</v>
      </c>
      <c r="D7" s="91"/>
      <c r="E7" s="92" t="s">
        <v>316</v>
      </c>
      <c r="F7" s="91"/>
      <c r="G7" s="92" t="s">
        <v>316</v>
      </c>
      <c r="H7" s="91"/>
      <c r="I7" s="92" t="s">
        <v>316</v>
      </c>
      <c r="J7" s="91"/>
      <c r="K7" s="93">
        <f>SUM(B7+D7+F7+H7+J7)</f>
        <v>0</v>
      </c>
    </row>
    <row r="8" spans="1:11" ht="15.75">
      <c r="A8" s="94" t="s">
        <v>117</v>
      </c>
      <c r="B8" s="95"/>
      <c r="C8" s="94" t="s">
        <v>117</v>
      </c>
      <c r="D8" s="96"/>
      <c r="E8" s="94" t="s">
        <v>117</v>
      </c>
      <c r="F8" s="78"/>
      <c r="G8" s="94" t="s">
        <v>117</v>
      </c>
      <c r="H8" s="79"/>
      <c r="I8" s="94" t="s">
        <v>117</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317</v>
      </c>
      <c r="B29" s="93">
        <f>SUM(B18-B28)</f>
        <v>0</v>
      </c>
      <c r="C29" s="94" t="s">
        <v>317</v>
      </c>
      <c r="D29" s="93">
        <f>SUM(D18-D28)</f>
        <v>0</v>
      </c>
      <c r="E29" s="94" t="s">
        <v>317</v>
      </c>
      <c r="F29" s="93">
        <f>SUM(F18-F28)</f>
        <v>0</v>
      </c>
      <c r="G29" s="94" t="s">
        <v>317</v>
      </c>
      <c r="H29" s="93">
        <f>SUM(H18-H28)</f>
        <v>0</v>
      </c>
      <c r="I29" s="94" t="s">
        <v>317</v>
      </c>
      <c r="J29" s="93">
        <f>SUM(J18-J28)</f>
        <v>0</v>
      </c>
      <c r="K29" s="108">
        <f>SUM(B29+D29+F29+H29+J29)</f>
        <v>0</v>
      </c>
      <c r="L29" s="69" t="s">
        <v>318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318</v>
      </c>
    </row>
    <row r="31" spans="1:11" ht="15.75">
      <c r="A31" s="79"/>
      <c r="B31" s="109"/>
      <c r="C31" s="79"/>
      <c r="D31" s="78"/>
      <c r="E31" s="79"/>
      <c r="F31" s="79"/>
      <c r="G31" s="110" t="s">
        <v>319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62" customWidth="1"/>
    <col min="2" max="16384" width="8.796875" style="462" customWidth="1"/>
  </cols>
  <sheetData>
    <row r="1" ht="16.5">
      <c r="A1" s="461" t="s">
        <v>672</v>
      </c>
    </row>
    <row r="3" ht="31.5">
      <c r="A3" s="463" t="s">
        <v>673</v>
      </c>
    </row>
    <row r="4" ht="15.75">
      <c r="A4" s="464" t="s">
        <v>674</v>
      </c>
    </row>
    <row r="7" ht="31.5">
      <c r="A7" s="463" t="s">
        <v>675</v>
      </c>
    </row>
    <row r="8" ht="15.75">
      <c r="A8" s="464" t="s">
        <v>676</v>
      </c>
    </row>
    <row r="11" ht="15.75">
      <c r="A11" s="462" t="s">
        <v>677</v>
      </c>
    </row>
    <row r="12" ht="15.75">
      <c r="A12" s="464" t="s">
        <v>678</v>
      </c>
    </row>
    <row r="15" ht="15.75">
      <c r="A15" s="462" t="s">
        <v>679</v>
      </c>
    </row>
    <row r="16" ht="15.75">
      <c r="A16" s="464" t="s">
        <v>680</v>
      </c>
    </row>
    <row r="19" ht="15.75">
      <c r="A19" s="462" t="s">
        <v>681</v>
      </c>
    </row>
    <row r="20" ht="15.75">
      <c r="A20" s="464" t="s">
        <v>682</v>
      </c>
    </row>
    <row r="23" ht="15.75">
      <c r="A23" s="462" t="s">
        <v>683</v>
      </c>
    </row>
    <row r="24" ht="15.75">
      <c r="A24" s="464" t="s">
        <v>684</v>
      </c>
    </row>
    <row r="27" ht="15.75">
      <c r="A27" s="462" t="s">
        <v>685</v>
      </c>
    </row>
    <row r="28" ht="15.75">
      <c r="A28" s="464" t="s">
        <v>686</v>
      </c>
    </row>
    <row r="31" ht="15.75">
      <c r="A31" s="462" t="s">
        <v>687</v>
      </c>
    </row>
    <row r="32" ht="15.75">
      <c r="A32" s="464" t="s">
        <v>688</v>
      </c>
    </row>
    <row r="35" ht="15.75">
      <c r="A35" s="462" t="s">
        <v>689</v>
      </c>
    </row>
    <row r="36" ht="15.75">
      <c r="A36" s="464" t="s">
        <v>690</v>
      </c>
    </row>
    <row r="39" ht="15.75">
      <c r="A39" s="462" t="s">
        <v>691</v>
      </c>
    </row>
    <row r="40" ht="15.75">
      <c r="A40" s="464" t="s">
        <v>692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69" customWidth="1"/>
    <col min="2" max="16384" width="8.796875" style="69" customWidth="1"/>
  </cols>
  <sheetData>
    <row r="1" ht="15.75">
      <c r="A1" s="358" t="s">
        <v>921</v>
      </c>
    </row>
    <row r="2" ht="15.75">
      <c r="A2" s="724" t="s">
        <v>922</v>
      </c>
    </row>
    <row r="4" ht="15.75">
      <c r="A4" s="358" t="s">
        <v>916</v>
      </c>
    </row>
    <row r="5" ht="15.75">
      <c r="A5" s="718" t="s">
        <v>917</v>
      </c>
    </row>
    <row r="7" ht="15.75">
      <c r="A7" s="358" t="s">
        <v>918</v>
      </c>
    </row>
    <row r="8" ht="15.75">
      <c r="A8" s="722" t="s">
        <v>919</v>
      </c>
    </row>
    <row r="10" ht="15.75">
      <c r="A10" s="358" t="s">
        <v>913</v>
      </c>
    </row>
    <row r="11" ht="15.75">
      <c r="A11" s="69" t="s">
        <v>914</v>
      </c>
    </row>
    <row r="13" ht="15.75">
      <c r="A13" s="358" t="s">
        <v>911</v>
      </c>
    </row>
    <row r="14" ht="15.75">
      <c r="A14" s="718" t="s">
        <v>912</v>
      </c>
    </row>
    <row r="16" ht="15.75">
      <c r="A16" s="358" t="s">
        <v>877</v>
      </c>
    </row>
    <row r="17" ht="15.75">
      <c r="A17" s="69" t="s">
        <v>878</v>
      </c>
    </row>
    <row r="18" ht="15.75">
      <c r="A18" s="69" t="s">
        <v>879</v>
      </c>
    </row>
    <row r="19" ht="15.75">
      <c r="A19" s="69" t="s">
        <v>880</v>
      </c>
    </row>
    <row r="20" ht="15.75">
      <c r="A20" s="69" t="s">
        <v>881</v>
      </c>
    </row>
    <row r="21" ht="15.75">
      <c r="A21" s="69" t="s">
        <v>882</v>
      </c>
    </row>
    <row r="22" ht="15.75">
      <c r="A22" s="69" t="s">
        <v>883</v>
      </c>
    </row>
    <row r="23" ht="15.75">
      <c r="A23" s="69" t="s">
        <v>884</v>
      </c>
    </row>
    <row r="24" ht="15.75">
      <c r="A24" s="69" t="s">
        <v>885</v>
      </c>
    </row>
    <row r="25" ht="15.75">
      <c r="A25" s="69" t="s">
        <v>886</v>
      </c>
    </row>
    <row r="26" ht="15.75">
      <c r="A26" s="69" t="s">
        <v>887</v>
      </c>
    </row>
    <row r="27" ht="15.75">
      <c r="A27" s="69" t="s">
        <v>888</v>
      </c>
    </row>
    <row r="28" ht="15.75">
      <c r="A28" s="69" t="s">
        <v>889</v>
      </c>
    </row>
    <row r="29" ht="15.75">
      <c r="A29" s="69" t="s">
        <v>890</v>
      </c>
    </row>
    <row r="30" ht="15.75">
      <c r="A30" s="69" t="s">
        <v>891</v>
      </c>
    </row>
    <row r="31" ht="15.75">
      <c r="A31" s="69" t="s">
        <v>892</v>
      </c>
    </row>
    <row r="32" ht="15.75">
      <c r="A32" s="69" t="s">
        <v>893</v>
      </c>
    </row>
    <row r="33" ht="15.75">
      <c r="A33" s="69" t="s">
        <v>894</v>
      </c>
    </row>
    <row r="34" ht="15.75">
      <c r="A34" s="69" t="s">
        <v>895</v>
      </c>
    </row>
    <row r="35" ht="15.75">
      <c r="A35" s="69" t="s">
        <v>896</v>
      </c>
    </row>
    <row r="36" ht="15.75">
      <c r="A36" s="69" t="s">
        <v>897</v>
      </c>
    </row>
    <row r="37" ht="15.75">
      <c r="A37" s="69" t="s">
        <v>898</v>
      </c>
    </row>
    <row r="38" ht="15.75">
      <c r="A38" s="69" t="s">
        <v>899</v>
      </c>
    </row>
    <row r="39" ht="15.75">
      <c r="A39" s="69" t="s">
        <v>900</v>
      </c>
    </row>
    <row r="40" ht="15.75">
      <c r="A40" s="69" t="s">
        <v>901</v>
      </c>
    </row>
    <row r="41" ht="15.75">
      <c r="A41" s="69" t="s">
        <v>902</v>
      </c>
    </row>
    <row r="42" ht="15.75">
      <c r="A42" s="69" t="s">
        <v>903</v>
      </c>
    </row>
    <row r="43" ht="15.75">
      <c r="A43" s="69" t="s">
        <v>904</v>
      </c>
    </row>
    <row r="44" ht="15.75">
      <c r="A44" s="69" t="s">
        <v>906</v>
      </c>
    </row>
    <row r="45" ht="15.75">
      <c r="A45" s="69" t="s">
        <v>905</v>
      </c>
    </row>
    <row r="47" ht="15.75">
      <c r="A47" s="358" t="s">
        <v>737</v>
      </c>
    </row>
    <row r="48" ht="15.75">
      <c r="A48" s="69" t="s">
        <v>738</v>
      </c>
    </row>
    <row r="50" ht="15.75">
      <c r="A50" s="358" t="s">
        <v>735</v>
      </c>
    </row>
    <row r="51" ht="15.75">
      <c r="A51" s="69" t="s">
        <v>736</v>
      </c>
    </row>
    <row r="53" ht="15.75">
      <c r="A53" s="358" t="s">
        <v>732</v>
      </c>
    </row>
    <row r="54" ht="15.75">
      <c r="A54" s="511" t="s">
        <v>733</v>
      </c>
    </row>
    <row r="56" ht="15.75">
      <c r="A56" s="358" t="s">
        <v>729</v>
      </c>
    </row>
    <row r="57" ht="15.75">
      <c r="A57" s="69" t="s">
        <v>730</v>
      </c>
    </row>
    <row r="58" ht="15.75">
      <c r="A58" s="69" t="s">
        <v>731</v>
      </c>
    </row>
    <row r="60" ht="15.75">
      <c r="A60" s="358" t="s">
        <v>704</v>
      </c>
    </row>
    <row r="61" ht="15.75">
      <c r="A61" s="511" t="s">
        <v>705</v>
      </c>
    </row>
    <row r="62" ht="15.75">
      <c r="A62" s="511" t="s">
        <v>706</v>
      </c>
    </row>
    <row r="63" ht="31.5">
      <c r="A63" s="510" t="s">
        <v>707</v>
      </c>
    </row>
    <row r="64" ht="15.75">
      <c r="A64" s="511" t="s">
        <v>708</v>
      </c>
    </row>
    <row r="65" ht="15.75">
      <c r="A65" s="511" t="s">
        <v>709</v>
      </c>
    </row>
    <row r="66" ht="15.75">
      <c r="A66" s="511" t="s">
        <v>710</v>
      </c>
    </row>
    <row r="67" ht="15.75">
      <c r="A67" s="511" t="s">
        <v>711</v>
      </c>
    </row>
    <row r="68" ht="15.75">
      <c r="A68" s="511" t="s">
        <v>712</v>
      </c>
    </row>
    <row r="69" ht="15.75">
      <c r="A69" s="511" t="s">
        <v>713</v>
      </c>
    </row>
    <row r="70" ht="15.75">
      <c r="A70" s="511" t="s">
        <v>714</v>
      </c>
    </row>
    <row r="71" ht="15.75">
      <c r="A71" s="511" t="s">
        <v>715</v>
      </c>
    </row>
    <row r="72" ht="15.75">
      <c r="A72" s="511" t="s">
        <v>716</v>
      </c>
    </row>
    <row r="73" ht="15.75">
      <c r="A73" s="511" t="s">
        <v>727</v>
      </c>
    </row>
    <row r="74" ht="15.75">
      <c r="A74" s="511" t="s">
        <v>717</v>
      </c>
    </row>
    <row r="75" ht="15.75">
      <c r="A75" s="511" t="s">
        <v>718</v>
      </c>
    </row>
    <row r="76" ht="15.75">
      <c r="A76" s="511" t="s">
        <v>719</v>
      </c>
    </row>
    <row r="77" ht="15.75">
      <c r="A77" s="511" t="s">
        <v>720</v>
      </c>
    </row>
    <row r="78" ht="15.75">
      <c r="A78" s="511" t="s">
        <v>721</v>
      </c>
    </row>
    <row r="79" ht="15.75">
      <c r="A79" s="511" t="s">
        <v>722</v>
      </c>
    </row>
    <row r="80" ht="15.75">
      <c r="A80" s="511" t="s">
        <v>723</v>
      </c>
    </row>
    <row r="81" ht="15.75">
      <c r="A81" s="511" t="s">
        <v>724</v>
      </c>
    </row>
    <row r="82" ht="15.75">
      <c r="A82" s="511" t="s">
        <v>725</v>
      </c>
    </row>
    <row r="83" ht="15.75">
      <c r="A83" s="511" t="s">
        <v>728</v>
      </c>
    </row>
    <row r="85" ht="15.75">
      <c r="A85" s="358" t="s">
        <v>602</v>
      </c>
    </row>
    <row r="86" ht="39" customHeight="1">
      <c r="A86" s="322" t="s">
        <v>603</v>
      </c>
    </row>
    <row r="87" ht="23.25" customHeight="1"/>
    <row r="88" ht="15.75">
      <c r="A88" s="358" t="s">
        <v>598</v>
      </c>
    </row>
    <row r="89" ht="15.75">
      <c r="A89" s="69" t="s">
        <v>599</v>
      </c>
    </row>
    <row r="90" ht="15.75">
      <c r="A90" s="69" t="s">
        <v>600</v>
      </c>
    </row>
    <row r="91" ht="15.75">
      <c r="A91" s="69" t="s">
        <v>601</v>
      </c>
    </row>
    <row r="93" ht="15.75">
      <c r="A93" s="361" t="s">
        <v>587</v>
      </c>
    </row>
    <row r="94" ht="15.75">
      <c r="A94" s="69" t="s">
        <v>597</v>
      </c>
    </row>
    <row r="96" ht="15.75">
      <c r="A96" s="358" t="s">
        <v>571</v>
      </c>
    </row>
    <row r="97" ht="15.75">
      <c r="A97" s="359" t="s">
        <v>572</v>
      </c>
    </row>
    <row r="98" ht="15.75">
      <c r="A98" s="359" t="s">
        <v>573</v>
      </c>
    </row>
    <row r="99" ht="15.75">
      <c r="A99" s="359" t="s">
        <v>574</v>
      </c>
    </row>
    <row r="100" ht="15.75">
      <c r="A100" s="357" t="s">
        <v>575</v>
      </c>
    </row>
    <row r="102" ht="15.75">
      <c r="A102" s="333" t="s">
        <v>299</v>
      </c>
    </row>
    <row r="103" ht="15.75">
      <c r="A103" s="69" t="s">
        <v>301</v>
      </c>
    </row>
    <row r="104" ht="15.75">
      <c r="A104" s="69" t="s">
        <v>302</v>
      </c>
    </row>
    <row r="105" ht="15.75">
      <c r="A105" s="69" t="s">
        <v>303</v>
      </c>
    </row>
    <row r="106" ht="15.75">
      <c r="A106" s="69" t="s">
        <v>304</v>
      </c>
    </row>
    <row r="107" ht="15.75">
      <c r="A107" s="69" t="s">
        <v>305</v>
      </c>
    </row>
    <row r="108" ht="15.75">
      <c r="A108" s="69" t="s">
        <v>306</v>
      </c>
    </row>
    <row r="109" ht="15.75">
      <c r="A109" s="69" t="s">
        <v>321</v>
      </c>
    </row>
    <row r="110" ht="15.75">
      <c r="A110" s="69" t="s">
        <v>322</v>
      </c>
    </row>
    <row r="111" ht="15.75">
      <c r="A111" s="69" t="s">
        <v>323</v>
      </c>
    </row>
    <row r="112" ht="15.75">
      <c r="A112" s="69" t="s">
        <v>324</v>
      </c>
    </row>
    <row r="113" ht="15.75">
      <c r="A113" s="69" t="s">
        <v>339</v>
      </c>
    </row>
    <row r="114" ht="31.5">
      <c r="A114" s="322" t="s">
        <v>340</v>
      </c>
    </row>
    <row r="115" ht="15.75">
      <c r="A115" s="322" t="s">
        <v>349</v>
      </c>
    </row>
    <row r="116" ht="15.75">
      <c r="A116" s="335" t="s">
        <v>352</v>
      </c>
    </row>
    <row r="117" ht="15.75">
      <c r="A117" s="336" t="s">
        <v>353</v>
      </c>
    </row>
    <row r="119" ht="15.75">
      <c r="A119" s="333" t="s">
        <v>294</v>
      </c>
    </row>
    <row r="120" ht="15.75">
      <c r="A120" s="69" t="s">
        <v>295</v>
      </c>
    </row>
    <row r="121" ht="15.75">
      <c r="A121" s="69" t="s">
        <v>296</v>
      </c>
    </row>
    <row r="123" ht="15.75">
      <c r="A123" s="333" t="s">
        <v>292</v>
      </c>
    </row>
    <row r="124" ht="15.75">
      <c r="A124" s="69" t="s">
        <v>293</v>
      </c>
    </row>
    <row r="126" ht="15.75">
      <c r="A126" s="333" t="s">
        <v>290</v>
      </c>
    </row>
    <row r="127" ht="15.75">
      <c r="A127" s="69" t="s">
        <v>291</v>
      </c>
    </row>
    <row r="129" ht="15.75">
      <c r="A129" s="333" t="s">
        <v>287</v>
      </c>
    </row>
    <row r="130" ht="15.75">
      <c r="A130" s="69" t="s">
        <v>288</v>
      </c>
    </row>
    <row r="131" ht="15.75">
      <c r="A131" s="69" t="s">
        <v>289</v>
      </c>
    </row>
    <row r="133" ht="15.75">
      <c r="A133" s="69" t="s">
        <v>283</v>
      </c>
    </row>
    <row r="134" ht="15.75">
      <c r="A134" s="69" t="s">
        <v>284</v>
      </c>
    </row>
    <row r="135" ht="15.75">
      <c r="A135" s="69" t="s">
        <v>285</v>
      </c>
    </row>
    <row r="136" ht="15.75">
      <c r="A136" s="69" t="s">
        <v>286</v>
      </c>
    </row>
    <row r="138" ht="15.75">
      <c r="A138" s="69" t="s">
        <v>279</v>
      </c>
    </row>
    <row r="139" ht="15.75">
      <c r="A139" s="69" t="s">
        <v>280</v>
      </c>
    </row>
    <row r="140" ht="15.75">
      <c r="A140" s="69" t="s">
        <v>281</v>
      </c>
    </row>
    <row r="142" ht="15.75">
      <c r="A142" s="69" t="s">
        <v>277</v>
      </c>
    </row>
    <row r="143" ht="34.5" customHeight="1">
      <c r="A143" s="69" t="s">
        <v>278</v>
      </c>
    </row>
    <row r="145" ht="15.75">
      <c r="A145" s="69" t="s">
        <v>232</v>
      </c>
    </row>
    <row r="146" ht="15.75">
      <c r="A146" s="69" t="s">
        <v>233</v>
      </c>
    </row>
    <row r="147" ht="31.5">
      <c r="A147" s="322" t="s">
        <v>249</v>
      </c>
    </row>
    <row r="148" ht="15.75">
      <c r="A148" s="69" t="s">
        <v>234</v>
      </c>
    </row>
    <row r="149" ht="15.75">
      <c r="A149" s="69" t="s">
        <v>235</v>
      </c>
    </row>
    <row r="150" ht="15.75">
      <c r="A150" s="69" t="s">
        <v>236</v>
      </c>
    </row>
    <row r="151" ht="15.75">
      <c r="A151" s="69" t="s">
        <v>237</v>
      </c>
    </row>
    <row r="152" ht="31.5">
      <c r="A152" s="322" t="s">
        <v>217</v>
      </c>
    </row>
    <row r="153" ht="31.5">
      <c r="A153" s="322" t="s">
        <v>245</v>
      </c>
    </row>
    <row r="154" ht="31.5">
      <c r="A154" s="322" t="s">
        <v>238</v>
      </c>
    </row>
    <row r="155" ht="15.75">
      <c r="A155" s="322" t="s">
        <v>239</v>
      </c>
    </row>
    <row r="156" ht="31.5">
      <c r="A156" s="322" t="s">
        <v>240</v>
      </c>
    </row>
    <row r="157" ht="33.75" customHeight="1">
      <c r="A157" s="69" t="s">
        <v>241</v>
      </c>
    </row>
    <row r="158" ht="26.25" customHeight="1">
      <c r="A158" s="69" t="s">
        <v>242</v>
      </c>
    </row>
    <row r="159" ht="33.75" customHeight="1">
      <c r="A159" s="69" t="s">
        <v>243</v>
      </c>
    </row>
    <row r="160" ht="30.75" customHeight="1">
      <c r="A160" s="69" t="s">
        <v>248</v>
      </c>
    </row>
    <row r="161" ht="21" customHeight="1">
      <c r="A161" s="322" t="s">
        <v>246</v>
      </c>
    </row>
    <row r="162" ht="38.25" customHeight="1">
      <c r="A162" s="322" t="s">
        <v>211</v>
      </c>
    </row>
    <row r="163" ht="33.75" customHeight="1">
      <c r="A163" s="322" t="s">
        <v>218</v>
      </c>
    </row>
    <row r="164" ht="33.75" customHeight="1">
      <c r="A164" s="322" t="s">
        <v>212</v>
      </c>
    </row>
    <row r="165" ht="33.75" customHeight="1">
      <c r="A165" s="322" t="s">
        <v>213</v>
      </c>
    </row>
    <row r="166" ht="33.75" customHeight="1">
      <c r="A166" s="322" t="s">
        <v>214</v>
      </c>
    </row>
    <row r="167" ht="31.5">
      <c r="A167" s="322" t="s">
        <v>215</v>
      </c>
    </row>
    <row r="168" ht="31.5">
      <c r="A168" s="322" t="s">
        <v>219</v>
      </c>
    </row>
    <row r="169" ht="31.5">
      <c r="A169" s="322" t="s">
        <v>216</v>
      </c>
    </row>
    <row r="170" ht="31.5">
      <c r="A170" s="322" t="s">
        <v>220</v>
      </c>
    </row>
    <row r="171" ht="15.75">
      <c r="A171" s="322" t="s">
        <v>226</v>
      </c>
    </row>
    <row r="173" ht="15.75">
      <c r="A173" s="69" t="s">
        <v>170</v>
      </c>
    </row>
    <row r="174" ht="47.25">
      <c r="A174" s="322" t="s">
        <v>221</v>
      </c>
    </row>
    <row r="175" ht="15.75">
      <c r="A175" s="69" t="s">
        <v>171</v>
      </c>
    </row>
    <row r="176" ht="15.75">
      <c r="A176" s="69" t="s">
        <v>175</v>
      </c>
    </row>
    <row r="177" ht="15.75">
      <c r="A177" s="69" t="s">
        <v>176</v>
      </c>
    </row>
    <row r="178" ht="15.75">
      <c r="A178" s="69" t="s">
        <v>172</v>
      </c>
    </row>
    <row r="179" ht="15.75">
      <c r="A179" s="69" t="s">
        <v>173</v>
      </c>
    </row>
    <row r="180" ht="15.75">
      <c r="A180" s="69" t="s">
        <v>174</v>
      </c>
    </row>
    <row r="181" ht="15.75">
      <c r="A181" s="322" t="s">
        <v>177</v>
      </c>
    </row>
    <row r="182" ht="15.75">
      <c r="A182" s="69" t="s">
        <v>178</v>
      </c>
    </row>
    <row r="183" ht="15.75">
      <c r="A183" s="69" t="s">
        <v>179</v>
      </c>
    </row>
    <row r="184" ht="15.75">
      <c r="A184" s="69" t="s">
        <v>222</v>
      </c>
    </row>
    <row r="185" ht="15.75">
      <c r="A185" s="69" t="s">
        <v>180</v>
      </c>
    </row>
    <row r="186" ht="15.75">
      <c r="A186" s="69" t="s">
        <v>223</v>
      </c>
    </row>
    <row r="187" ht="15.75">
      <c r="A187" s="69" t="s">
        <v>181</v>
      </c>
    </row>
    <row r="188" ht="15.75">
      <c r="A188" s="69" t="s">
        <v>224</v>
      </c>
    </row>
    <row r="189" ht="15.75">
      <c r="A189" s="69" t="s">
        <v>182</v>
      </c>
    </row>
    <row r="190" ht="15.75">
      <c r="A190" s="69" t="s">
        <v>186</v>
      </c>
    </row>
    <row r="191" ht="15.75">
      <c r="A191" s="69" t="s">
        <v>225</v>
      </c>
    </row>
    <row r="192" ht="15.75">
      <c r="A192" s="69" t="s">
        <v>201</v>
      </c>
    </row>
    <row r="193" ht="15.75">
      <c r="A193" s="69" t="s">
        <v>202</v>
      </c>
    </row>
    <row r="194" ht="15.75">
      <c r="A194" s="69" t="s">
        <v>203</v>
      </c>
    </row>
    <row r="195" ht="15.75">
      <c r="A195" s="69" t="s">
        <v>187</v>
      </c>
    </row>
    <row r="196" ht="15.75">
      <c r="A196" s="69" t="s">
        <v>188</v>
      </c>
    </row>
    <row r="197" ht="15.75">
      <c r="A197" s="69" t="s">
        <v>189</v>
      </c>
    </row>
    <row r="198" ht="15.75">
      <c r="A198" s="69" t="s">
        <v>198</v>
      </c>
    </row>
    <row r="199" ht="15.75">
      <c r="A199" s="69" t="s">
        <v>199</v>
      </c>
    </row>
    <row r="200" ht="15.75">
      <c r="A200" s="69" t="s">
        <v>200</v>
      </c>
    </row>
    <row r="201" ht="15.75">
      <c r="A201" s="69" t="s">
        <v>210</v>
      </c>
    </row>
    <row r="202" ht="15.75">
      <c r="A202" s="69" t="s">
        <v>227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688" t="s">
        <v>822</v>
      </c>
    </row>
    <row r="2" spans="1:10" ht="54" customHeight="1">
      <c r="A2" s="759" t="s">
        <v>354</v>
      </c>
      <c r="B2" s="760"/>
      <c r="C2" s="760"/>
      <c r="D2" s="760"/>
      <c r="E2" s="760"/>
      <c r="F2" s="760"/>
      <c r="J2" s="688" t="s">
        <v>823</v>
      </c>
    </row>
    <row r="3" ht="15.75">
      <c r="J3" s="688" t="s">
        <v>824</v>
      </c>
    </row>
    <row r="4" spans="1:10" ht="15.75">
      <c r="A4" s="462" t="s">
        <v>820</v>
      </c>
      <c r="B4" s="344" t="s">
        <v>952</v>
      </c>
      <c r="C4" s="687"/>
      <c r="J4" s="688" t="s">
        <v>825</v>
      </c>
    </row>
    <row r="5" spans="1:10" ht="15.75">
      <c r="A5" s="462"/>
      <c r="B5" s="687"/>
      <c r="J5" s="688" t="s">
        <v>826</v>
      </c>
    </row>
    <row r="6" spans="1:10" ht="15.75">
      <c r="A6" s="462" t="s">
        <v>821</v>
      </c>
      <c r="B6" s="344" t="s">
        <v>953</v>
      </c>
      <c r="J6" s="688" t="s">
        <v>827</v>
      </c>
    </row>
    <row r="7" spans="1:10" ht="15.75">
      <c r="A7" s="341"/>
      <c r="B7" s="341"/>
      <c r="C7" s="341"/>
      <c r="D7" s="343"/>
      <c r="E7" s="341"/>
      <c r="F7" s="341"/>
      <c r="J7" s="688" t="s">
        <v>828</v>
      </c>
    </row>
    <row r="8" spans="1:10" ht="15.75">
      <c r="A8" s="342" t="s">
        <v>355</v>
      </c>
      <c r="B8" s="344" t="s">
        <v>951</v>
      </c>
      <c r="C8" s="345"/>
      <c r="D8" s="342" t="s">
        <v>819</v>
      </c>
      <c r="E8" s="341"/>
      <c r="F8" s="341"/>
      <c r="J8" s="688" t="s">
        <v>829</v>
      </c>
    </row>
    <row r="9" spans="1:10" ht="15.75">
      <c r="A9" s="342"/>
      <c r="B9" s="346"/>
      <c r="C9" s="347"/>
      <c r="D9" s="342" t="str">
        <f>IF(B8="","",CONCATENATE("Latest date for notice to be published in your newspaper: ",G19," ",G23,", ",G24))</f>
        <v>Latest date for notice to be published in your newspaper: July 19, 2014</v>
      </c>
      <c r="E9" s="341"/>
      <c r="F9" s="341"/>
      <c r="J9" s="688" t="s">
        <v>830</v>
      </c>
    </row>
    <row r="10" spans="1:10" ht="15.75">
      <c r="A10" s="342" t="s">
        <v>356</v>
      </c>
      <c r="B10" s="344" t="s">
        <v>950</v>
      </c>
      <c r="C10" s="348"/>
      <c r="D10" s="342"/>
      <c r="E10" s="341"/>
      <c r="F10" s="341"/>
      <c r="J10" s="688" t="s">
        <v>831</v>
      </c>
    </row>
    <row r="11" spans="1:10" ht="15.75">
      <c r="A11" s="342"/>
      <c r="B11" s="342"/>
      <c r="C11" s="342"/>
      <c r="D11" s="342"/>
      <c r="E11" s="341"/>
      <c r="F11" s="341"/>
      <c r="J11" s="688" t="s">
        <v>832</v>
      </c>
    </row>
    <row r="12" spans="1:10" ht="15.75">
      <c r="A12" s="342" t="s">
        <v>357</v>
      </c>
      <c r="B12" s="349" t="s">
        <v>938</v>
      </c>
      <c r="C12" s="349"/>
      <c r="D12" s="349"/>
      <c r="E12" s="350"/>
      <c r="F12" s="341"/>
      <c r="J12" s="688" t="s">
        <v>833</v>
      </c>
    </row>
    <row r="13" spans="1:6" ht="15.75">
      <c r="A13" s="342"/>
      <c r="B13" s="342"/>
      <c r="C13" s="342"/>
      <c r="D13" s="342"/>
      <c r="E13" s="341"/>
      <c r="F13" s="341"/>
    </row>
    <row r="14" spans="1:6" ht="15.75">
      <c r="A14" s="342"/>
      <c r="B14" s="342"/>
      <c r="C14" s="342"/>
      <c r="D14" s="342"/>
      <c r="E14" s="341"/>
      <c r="F14" s="341"/>
    </row>
    <row r="15" spans="1:6" ht="15.75">
      <c r="A15" s="342" t="s">
        <v>358</v>
      </c>
      <c r="B15" s="349" t="s">
        <v>936</v>
      </c>
      <c r="C15" s="349"/>
      <c r="D15" s="349"/>
      <c r="E15" s="350"/>
      <c r="F15" s="341"/>
    </row>
    <row r="18" spans="1:6" ht="15.75">
      <c r="A18" s="761" t="s">
        <v>359</v>
      </c>
      <c r="B18" s="761"/>
      <c r="C18" s="342"/>
      <c r="D18" s="342"/>
      <c r="E18" s="342"/>
      <c r="F18" s="341"/>
    </row>
    <row r="19" spans="1:7" ht="15.75">
      <c r="A19" s="342"/>
      <c r="B19" s="342"/>
      <c r="C19" s="342"/>
      <c r="D19" s="342"/>
      <c r="E19" s="342"/>
      <c r="F19" s="341"/>
      <c r="G19" s="688" t="str">
        <f ca="1">IF(B8="","",INDIRECT(G20))</f>
        <v>July</v>
      </c>
    </row>
    <row r="20" spans="1:7" ht="15.75">
      <c r="A20" s="342" t="s">
        <v>355</v>
      </c>
      <c r="B20" s="346" t="s">
        <v>360</v>
      </c>
      <c r="C20" s="342"/>
      <c r="D20" s="342"/>
      <c r="E20" s="342"/>
      <c r="G20" s="689" t="str">
        <f>IF(B8="","",CONCATENATE("J",G22))</f>
        <v>J7</v>
      </c>
    </row>
    <row r="21" spans="1:7" ht="15.75">
      <c r="A21" s="342"/>
      <c r="B21" s="342"/>
      <c r="C21" s="342"/>
      <c r="D21" s="342"/>
      <c r="E21" s="342"/>
      <c r="G21" s="690">
        <f>B8-10</f>
        <v>41839</v>
      </c>
    </row>
    <row r="22" spans="1:7" ht="15.75">
      <c r="A22" s="342" t="s">
        <v>356</v>
      </c>
      <c r="B22" s="342" t="s">
        <v>361</v>
      </c>
      <c r="C22" s="342"/>
      <c r="D22" s="342"/>
      <c r="E22" s="342"/>
      <c r="G22" s="691">
        <f>IF(B8="","",MONTH(G21))</f>
        <v>7</v>
      </c>
    </row>
    <row r="23" spans="1:7" ht="15.75">
      <c r="A23" s="342"/>
      <c r="B23" s="342"/>
      <c r="C23" s="342"/>
      <c r="D23" s="342"/>
      <c r="E23" s="342"/>
      <c r="G23" s="692">
        <f>IF(B8="","",DAY(G21))</f>
        <v>19</v>
      </c>
    </row>
    <row r="24" spans="1:7" ht="15.75">
      <c r="A24" s="342" t="s">
        <v>357</v>
      </c>
      <c r="B24" s="342" t="s">
        <v>363</v>
      </c>
      <c r="C24" s="342"/>
      <c r="D24" s="342"/>
      <c r="E24" s="342"/>
      <c r="G24" s="693">
        <f>IF(B8="","",YEAR(G21))</f>
        <v>2014</v>
      </c>
    </row>
    <row r="25" spans="1:5" ht="15.75">
      <c r="A25" s="342"/>
      <c r="B25" s="342"/>
      <c r="C25" s="342"/>
      <c r="D25" s="342"/>
      <c r="E25" s="342"/>
    </row>
    <row r="26" spans="1:5" ht="15.75">
      <c r="A26" s="342" t="s">
        <v>358</v>
      </c>
      <c r="B26" s="342" t="s">
        <v>362</v>
      </c>
      <c r="C26" s="342"/>
      <c r="D26" s="342"/>
      <c r="E26" s="34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5">
      <selection activeCell="C41" sqref="C41:D4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67" t="s">
        <v>70</v>
      </c>
      <c r="C1" s="767"/>
      <c r="D1" s="767"/>
      <c r="E1" s="767"/>
      <c r="F1" s="767"/>
      <c r="G1" s="767"/>
      <c r="H1" s="3">
        <f>inputPrYr!D5</f>
        <v>2015</v>
      </c>
    </row>
    <row r="2" spans="3:7" s="3" customFormat="1" ht="15.75">
      <c r="C2" s="134"/>
      <c r="D2" s="134"/>
      <c r="E2" s="134"/>
      <c r="F2" s="134"/>
      <c r="G2" s="51"/>
    </row>
    <row r="3" spans="2:8" s="3" customFormat="1" ht="15.75">
      <c r="B3" s="762" t="str">
        <f>CONCATENATE("To the Clerk of ",inputPrYr!D3,", State of Kansas")</f>
        <v>To the Clerk of Brown County, State of Kansas</v>
      </c>
      <c r="C3" s="775"/>
      <c r="D3" s="775"/>
      <c r="E3" s="775"/>
      <c r="F3" s="775"/>
      <c r="G3" s="775"/>
      <c r="H3" s="775"/>
    </row>
    <row r="4" spans="2:7" s="3" customFormat="1" ht="15.75">
      <c r="B4" s="762" t="s">
        <v>137</v>
      </c>
      <c r="C4" s="763"/>
      <c r="D4" s="763"/>
      <c r="E4" s="763"/>
      <c r="F4" s="763"/>
      <c r="G4" s="763"/>
    </row>
    <row r="5" spans="2:7" s="3" customFormat="1" ht="15.75">
      <c r="B5" s="764" t="str">
        <f>inputPrYr!D2</f>
        <v>Irving Township</v>
      </c>
      <c r="C5" s="763"/>
      <c r="D5" s="763"/>
      <c r="E5" s="763"/>
      <c r="F5" s="763"/>
      <c r="G5" s="763"/>
    </row>
    <row r="6" spans="2:7" s="3" customFormat="1" ht="15.75">
      <c r="B6" s="774" t="s">
        <v>135</v>
      </c>
      <c r="C6" s="775"/>
      <c r="D6" s="775"/>
      <c r="E6" s="775"/>
      <c r="F6" s="775"/>
      <c r="G6" s="775"/>
    </row>
    <row r="7" spans="2:7" s="3" customFormat="1" ht="15.75" customHeight="1">
      <c r="B7" s="762" t="s">
        <v>136</v>
      </c>
      <c r="C7" s="776"/>
      <c r="D7" s="776"/>
      <c r="E7" s="776"/>
      <c r="F7" s="776"/>
      <c r="G7" s="776"/>
    </row>
    <row r="8" spans="2:7" s="3" customFormat="1" ht="15.75" customHeight="1">
      <c r="B8" s="762" t="str">
        <f>CONCATENATE("maximum expenditures for the various funds for the year ",H1,"; and (3) the")</f>
        <v>maximum expenditures for the various funds for the year 2015; and (3) the</v>
      </c>
      <c r="C8" s="763"/>
      <c r="D8" s="763"/>
      <c r="E8" s="763"/>
      <c r="F8" s="763"/>
      <c r="G8" s="763"/>
    </row>
    <row r="9" spans="2:7" s="3" customFormat="1" ht="15.75" customHeight="1">
      <c r="B9" s="762" t="str">
        <f>CONCATENATE("Amount(s) of ",H1-1," Ad Valorem Tax are within statutory limitations for the ",H1," Budget.")</f>
        <v>Amount(s) of 2014 Ad Valorem Tax are within statutory limitations for the 2015 Budget.</v>
      </c>
      <c r="C9" s="763"/>
      <c r="D9" s="763"/>
      <c r="E9" s="763"/>
      <c r="F9" s="763"/>
      <c r="G9" s="763"/>
    </row>
    <row r="10" spans="5:7" s="3" customFormat="1" ht="15.75" customHeight="1">
      <c r="E10" s="55"/>
      <c r="F10" s="55"/>
      <c r="G10" s="55"/>
    </row>
    <row r="11" spans="4:7" s="3" customFormat="1" ht="15.75">
      <c r="D11" s="8"/>
      <c r="E11" s="771" t="str">
        <f>CONCATENATE("",H1," Adopted Budget")</f>
        <v>2015 Adopted Budget</v>
      </c>
      <c r="F11" s="772"/>
      <c r="G11" s="773"/>
    </row>
    <row r="12" spans="2:7" s="3" customFormat="1" ht="15.75">
      <c r="B12" s="11"/>
      <c r="D12" s="55"/>
      <c r="E12" s="243" t="s">
        <v>260</v>
      </c>
      <c r="F12" s="768" t="str">
        <f>CONCATENATE("Amount of ",H1-1," Ad Valorem Tax")</f>
        <v>Amount of 2014 Ad Valorem Tax</v>
      </c>
      <c r="G12" s="12" t="s">
        <v>261</v>
      </c>
    </row>
    <row r="13" spans="4:7" s="3" customFormat="1" ht="15.75">
      <c r="D13" s="12" t="s">
        <v>262</v>
      </c>
      <c r="E13" s="499" t="s">
        <v>191</v>
      </c>
      <c r="F13" s="769"/>
      <c r="G13" s="145" t="s">
        <v>263</v>
      </c>
    </row>
    <row r="14" spans="2:7" s="3" customFormat="1" ht="15.75">
      <c r="B14" s="60" t="s">
        <v>264</v>
      </c>
      <c r="C14" s="9"/>
      <c r="D14" s="15" t="s">
        <v>265</v>
      </c>
      <c r="E14" s="500" t="s">
        <v>701</v>
      </c>
      <c r="F14" s="770"/>
      <c r="G14" s="15" t="s">
        <v>267</v>
      </c>
    </row>
    <row r="15" spans="2:7" s="3" customFormat="1" ht="15.75">
      <c r="B15" s="16" t="str">
        <f>CONCATENATE("Computation to Determine Limit for ",H1,"")</f>
        <v>Computation to Determine Limit for 2015</v>
      </c>
      <c r="C15" s="17"/>
      <c r="D15" s="12">
        <v>2</v>
      </c>
      <c r="E15" s="8"/>
      <c r="F15" s="8"/>
      <c r="G15" s="244"/>
    </row>
    <row r="16" spans="2:7" s="3" customFormat="1" ht="15.75">
      <c r="B16" s="16" t="s">
        <v>817</v>
      </c>
      <c r="C16" s="17"/>
      <c r="D16" s="149">
        <v>3</v>
      </c>
      <c r="E16" s="8"/>
      <c r="F16" s="8"/>
      <c r="G16" s="245"/>
    </row>
    <row r="17" spans="2:7" s="3" customFormat="1" ht="15.75">
      <c r="B17" s="53" t="s">
        <v>152</v>
      </c>
      <c r="C17" s="17"/>
      <c r="D17" s="149">
        <v>4</v>
      </c>
      <c r="E17" s="8"/>
      <c r="F17" s="8"/>
      <c r="G17" s="245"/>
    </row>
    <row r="18" spans="2:7" s="3" customFormat="1" ht="15.75">
      <c r="B18" s="53" t="s">
        <v>126</v>
      </c>
      <c r="C18" s="17"/>
      <c r="D18" s="149">
        <v>5</v>
      </c>
      <c r="E18" s="8"/>
      <c r="F18" s="8"/>
      <c r="G18" s="245"/>
    </row>
    <row r="19" spans="2:7" s="3" customFormat="1" ht="15.75">
      <c r="B19" s="53">
        <f>IF(inputPrYr!E18="","","Computation to Determine State Library Grant")</f>
      </c>
      <c r="C19" s="17"/>
      <c r="D19" s="149">
        <f>IF(inputPrYr!D18="","",'Library Grant'!F40)</f>
      </c>
      <c r="E19" s="8"/>
      <c r="F19" s="8"/>
      <c r="G19" s="245"/>
    </row>
    <row r="20" spans="2:7" s="3" customFormat="1" ht="15.75">
      <c r="B20" s="246" t="s">
        <v>268</v>
      </c>
      <c r="C20" s="135" t="s">
        <v>269</v>
      </c>
      <c r="D20" s="167"/>
      <c r="G20" s="247"/>
    </row>
    <row r="21" spans="2:7" s="3" customFormat="1" ht="15.75">
      <c r="B21" s="74" t="str">
        <f>inputPrYr!B16</f>
        <v>General</v>
      </c>
      <c r="C21" s="248" t="str">
        <f>inputPrYr!C16</f>
        <v>79-1962</v>
      </c>
      <c r="D21" s="249">
        <f>IF(gen!C54&gt;0,gen!C54,"  ")</f>
        <v>6</v>
      </c>
      <c r="E21" s="699">
        <f>IF(gen!$E$43&lt;&gt;0,gen!$E$43,"  ")</f>
        <v>16500</v>
      </c>
      <c r="F21" s="699">
        <f>IF(gen!$E$50&lt;&gt;0,gen!$E$50,0)</f>
        <v>14547</v>
      </c>
      <c r="G21" s="700">
        <f>IF(AND(gen!E50=0,$C$40&gt;=0)," ",IF(AND(F21&gt;0,$C$40=0)," ",IF(AND(F21&gt;0,$C$40&gt;0),ROUND(F21/$C$40*1000,3))))</f>
        <v>1.874</v>
      </c>
    </row>
    <row r="22" spans="2:7" s="3" customFormat="1" ht="15.75">
      <c r="B22" s="74" t="s">
        <v>282</v>
      </c>
      <c r="C22" s="248" t="str">
        <f>inputPrYr!C17</f>
        <v>10-113</v>
      </c>
      <c r="D22" s="249" t="str">
        <f>IF('DebtSvs-Library'!C83&gt;0,'DebtSvs-Library'!C83,"  ")</f>
        <v>  </v>
      </c>
      <c r="E22" s="699" t="str">
        <f>IF('DebtSvs-Library'!E33&lt;&gt;0,'DebtSvs-Library'!E33,"  ")</f>
        <v>  </v>
      </c>
      <c r="F22" s="699" t="str">
        <f>IF('DebtSvs-Library'!E40&lt;&gt;0,'DebtSvs-Library'!E40,"  ")</f>
        <v>  </v>
      </c>
      <c r="G22" s="700"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9" t="str">
        <f>IF('DebtSvs-Library'!E73&lt;&gt;0,'DebtSvs-Library'!E73,"  ")</f>
        <v>  </v>
      </c>
      <c r="F23" s="699" t="str">
        <f>IF('DebtSvs-Library'!E80&lt;&gt;0,'DebtSvs-Library'!E80,"  ")</f>
        <v>  </v>
      </c>
      <c r="G23" s="700" t="str">
        <f>IF(AND('DebtSvs-Library'!E80=0,$C$40&gt;=0)," ",IF(AND(F23&gt;0,$C$40=0)," ",IF(AND(F23&gt;0,$C$40&gt;0),ROUND(F23/$C$40*1000,3))))</f>
        <v> </v>
      </c>
    </row>
    <row r="24" spans="2:7" s="3" customFormat="1" ht="15.75">
      <c r="B24" s="74" t="str">
        <f>IF(inputPrYr!$B19&gt;"  ",inputPrYr!$B19,"  ")</f>
        <v>Road</v>
      </c>
      <c r="C24" s="248" t="str">
        <f>IF(inputPrYr!C19&gt;0,inputPrYr!C19,"  ")</f>
        <v>68-518c</v>
      </c>
      <c r="D24" s="249">
        <f>IF(road!C65&gt;0,road!C65,"  ")</f>
        <v>7</v>
      </c>
      <c r="E24" s="699">
        <f>IF(road!$E$41&lt;&gt;0,road!$E$41,"  ")</f>
        <v>132059</v>
      </c>
      <c r="F24" s="699">
        <f>IF(road!$E$48&lt;&gt;0,road!$E$48,"  ")</f>
        <v>115305</v>
      </c>
      <c r="G24" s="700">
        <f>IF(AND(road!E48=0,$C$40&gt;=0)," ",IF(AND(F24&gt;0,$C$40=0)," ",IF(AND(F24&gt;0,$C$40&gt;0),ROUND(F24/$C$40*1000,3))))</f>
        <v>14.851</v>
      </c>
    </row>
    <row r="25" spans="2:7" s="3" customFormat="1" ht="15.75">
      <c r="B25" s="74" t="str">
        <f>IF(inputPrYr!$B20&gt;"  ",inputPrYr!$B20,"  ")</f>
        <v>  </v>
      </c>
      <c r="C25" s="248" t="str">
        <f>IF(inputPrYr!C20&gt;0,inputPrYr!C20,"  ")</f>
        <v>  </v>
      </c>
      <c r="D25" s="249" t="str">
        <f>IF(levypage9!C81&gt;0,levypage9!C81,"  ")</f>
        <v>  </v>
      </c>
      <c r="E25" s="699" t="str">
        <f>IF(levypage9!$E$33&lt;&gt;0,levypage9!$E$33,"  ")</f>
        <v>  </v>
      </c>
      <c r="F25" s="699" t="str">
        <f>IF(levypage9!$E$40&lt;&gt;0,levypage9!$E$40,"  ")</f>
        <v>  </v>
      </c>
      <c r="G25" s="700"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9" t="str">
        <f>IF(levypage9!$E$73&lt;&gt;0,levypage9!$E$73,"  ")</f>
        <v>  </v>
      </c>
      <c r="F26" s="699" t="str">
        <f>IF(levypage9!$E$80&lt;&gt;0,levypage9!$E$80,"  ")</f>
        <v>  </v>
      </c>
      <c r="G26" s="700"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9" t="str">
        <f>IF(levypage10!$E$33&lt;&gt;0,levypage10!$E$33,"  ")</f>
        <v>  </v>
      </c>
      <c r="F27" s="699" t="str">
        <f>IF(levypage10!$E$40&lt;&gt;0,levypage10!$E$40,"  ")</f>
        <v>  </v>
      </c>
      <c r="G27" s="700"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9" t="str">
        <f>IF(levypage10!$E$73&lt;&gt;0,levypage10!$E$73,"  ")</f>
        <v>  </v>
      </c>
      <c r="F28" s="699" t="str">
        <f>IF(levypage10!$E$80&lt;&gt;0,levypage10!$E$80,"  ")</f>
        <v>  </v>
      </c>
      <c r="G28" s="700"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9" t="str">
        <f>IF(levypage11!$E$33&lt;&gt;0,levypage11!$E$33,"  ")</f>
        <v>  </v>
      </c>
      <c r="F29" s="699" t="str">
        <f>IF(levypage11!$E$40&lt;&gt;0,levypage11!$E$40,"  ")</f>
        <v>  </v>
      </c>
      <c r="G29" s="700"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9" t="str">
        <f>IF(levypage11!$E$73&lt;&gt;0,levypage11!$E$73,"  ")</f>
        <v>  </v>
      </c>
      <c r="F30" s="699" t="str">
        <f>IF(levypage11!$E$80&lt;&gt;0,levypage11!$E$80,"  ")</f>
        <v>  </v>
      </c>
      <c r="G30" s="700" t="str">
        <f>IF(AND(levypage11!$E$80=0,$C$40&gt;=0)," ",IF(AND(F30&gt;0,$C$40=0)," ",IF(AND(F30&gt;0,$C$40&gt;0),ROUND(F30/$C$40*1000,3))))</f>
        <v> </v>
      </c>
    </row>
    <row r="31" spans="2:7" s="3" customFormat="1" ht="15.75">
      <c r="B31" s="250" t="str">
        <f>IF(inputPrYr!$B29&gt;"  ",inputPrYr!$B29,"  ")</f>
        <v>  </v>
      </c>
      <c r="C31" s="251"/>
      <c r="D31" s="252" t="str">
        <f>IF(nolevypage12!$C$65&gt;0,nolevypage12!$C$65,"  ")</f>
        <v>  </v>
      </c>
      <c r="E31" s="699" t="str">
        <f>IF(nolevypage12!$E$28&lt;&gt;0,nolevypage12!$E$28,"  ")</f>
        <v>  </v>
      </c>
      <c r="F31" s="699"/>
      <c r="G31" s="700"/>
    </row>
    <row r="32" spans="2:7" s="3" customFormat="1" ht="15.75">
      <c r="B32" s="253" t="str">
        <f>IF(inputPrYr!$B30&gt;"  ",inputPrYr!$B30,"  ")</f>
        <v>  </v>
      </c>
      <c r="C32" s="14"/>
      <c r="D32" s="252" t="str">
        <f>IF(nolevypage12!$C$65&gt;0,nolevypage12!$C$65,"  ")</f>
        <v>  </v>
      </c>
      <c r="E32" s="699" t="str">
        <f>IF(nolevypage12!$E$59&lt;&gt;0,nolevypage12!$E$59,"  ")</f>
        <v>  </v>
      </c>
      <c r="F32" s="699"/>
      <c r="G32" s="700"/>
    </row>
    <row r="33" spans="2:7" s="3" customFormat="1" ht="15.75">
      <c r="B33" s="250" t="str">
        <f>IF((inputPrYr!$B34&gt;"  "),(nonbud!$A3),"  ")</f>
        <v>  </v>
      </c>
      <c r="C33" s="14"/>
      <c r="D33" s="252" t="str">
        <f>IF(nonbud!$F$33&gt;0,nonbud!$F$33,"  ")</f>
        <v>  </v>
      </c>
      <c r="E33" s="699"/>
      <c r="F33" s="699"/>
      <c r="G33" s="700"/>
    </row>
    <row r="34" spans="2:7" s="3" customFormat="1" ht="15.75">
      <c r="B34" s="16" t="s">
        <v>270</v>
      </c>
      <c r="C34" s="251"/>
      <c r="D34" s="252">
        <f>IF(road!C65&gt;0,road!C65,"  ")</f>
        <v>7</v>
      </c>
      <c r="E34" s="224"/>
      <c r="F34" s="224"/>
      <c r="G34" s="700"/>
    </row>
    <row r="35" spans="2:7" s="3" customFormat="1" ht="16.5" thickBot="1">
      <c r="B35" s="254" t="s">
        <v>271</v>
      </c>
      <c r="C35" s="255"/>
      <c r="D35" s="147" t="s">
        <v>272</v>
      </c>
      <c r="E35" s="701">
        <f>SUM(E21:E30)</f>
        <v>148559</v>
      </c>
      <c r="F35" s="701">
        <f>SUM(F21:F30)</f>
        <v>129852</v>
      </c>
      <c r="G35" s="702">
        <f>IF(SUM(G21:G30)&gt;0,SUM(G21:G30),"")</f>
        <v>16.725</v>
      </c>
    </row>
    <row r="36" spans="2:4" s="3" customFormat="1" ht="16.5" thickTop="1">
      <c r="B36" s="16" t="s">
        <v>151</v>
      </c>
      <c r="C36" s="247"/>
      <c r="D36" s="252">
        <f>summ!D36</f>
        <v>8</v>
      </c>
    </row>
    <row r="37" spans="2:6" s="3" customFormat="1" ht="15.75">
      <c r="B37" s="16" t="s">
        <v>197</v>
      </c>
      <c r="C37" s="17"/>
      <c r="D37" s="252">
        <f>IF(nhood!C38&gt;0,nhood!C38,"")</f>
      </c>
      <c r="E37" s="256" t="s">
        <v>928</v>
      </c>
      <c r="F37" s="257" t="str">
        <f>IF(F35&gt;computation!J36,"Yes","No")</f>
        <v>No</v>
      </c>
    </row>
    <row r="38" spans="2:6" s="3" customFormat="1" ht="15.75">
      <c r="B38" s="16" t="s">
        <v>935</v>
      </c>
      <c r="C38" s="17"/>
      <c r="D38" s="252"/>
      <c r="E38" s="258"/>
      <c r="F38" s="259"/>
    </row>
    <row r="39" spans="2:7" s="3" customFormat="1" ht="15.75">
      <c r="B39" s="53" t="s">
        <v>97</v>
      </c>
      <c r="C39" s="777" t="s">
        <v>121</v>
      </c>
      <c r="D39" s="778"/>
      <c r="E39" s="260"/>
      <c r="G39" s="11" t="s">
        <v>273</v>
      </c>
    </row>
    <row r="40" spans="2:7" s="3" customFormat="1" ht="15.75">
      <c r="B40" s="16" t="s">
        <v>98</v>
      </c>
      <c r="C40" s="779">
        <v>7764002</v>
      </c>
      <c r="D40" s="780"/>
      <c r="E40" s="261"/>
      <c r="G40" s="11"/>
    </row>
    <row r="41" spans="2:7" s="3" customFormat="1" ht="15.75">
      <c r="B41" s="262"/>
      <c r="C41" s="781" t="str">
        <f>CONCATENATE("Nov. 1, ",H1-1," Valuation")</f>
        <v>Nov. 1, 2014 Valuation</v>
      </c>
      <c r="D41" s="782"/>
      <c r="E41" s="260"/>
      <c r="G41" s="11"/>
    </row>
    <row r="42" spans="2:7" s="3" customFormat="1" ht="15.75">
      <c r="B42" s="262" t="s">
        <v>274</v>
      </c>
      <c r="E42" s="8"/>
      <c r="G42" s="11"/>
    </row>
    <row r="43" spans="2:7" s="3" customFormat="1" ht="15.75">
      <c r="B43" s="263" t="s">
        <v>930</v>
      </c>
      <c r="C43" s="263"/>
      <c r="E43" s="703" t="s">
        <v>834</v>
      </c>
      <c r="F43" s="703"/>
      <c r="G43" s="703"/>
    </row>
    <row r="44" spans="2:7" s="3" customFormat="1" ht="15.75">
      <c r="B44" s="264"/>
      <c r="C44" s="264"/>
      <c r="E44" s="704"/>
      <c r="F44" s="704"/>
      <c r="G44" s="704"/>
    </row>
    <row r="45" spans="2:7" s="3" customFormat="1" ht="15.75">
      <c r="B45" s="262" t="s">
        <v>130</v>
      </c>
      <c r="E45" s="703" t="s">
        <v>834</v>
      </c>
      <c r="F45" s="703"/>
      <c r="G45" s="703"/>
    </row>
    <row r="46" spans="2:7" s="3" customFormat="1" ht="15.75">
      <c r="B46" s="263" t="s">
        <v>931</v>
      </c>
      <c r="C46" s="263"/>
      <c r="D46" s="11"/>
      <c r="E46" s="703"/>
      <c r="F46" s="703"/>
      <c r="G46" s="703"/>
    </row>
    <row r="47" spans="2:7" s="3" customFormat="1" ht="15.75">
      <c r="B47" s="264" t="s">
        <v>932</v>
      </c>
      <c r="C47" s="264"/>
      <c r="D47" s="11"/>
      <c r="E47" s="703" t="s">
        <v>834</v>
      </c>
      <c r="F47" s="705"/>
      <c r="G47" s="705"/>
    </row>
    <row r="48" spans="2:8" ht="15.75">
      <c r="B48" s="262" t="s">
        <v>818</v>
      </c>
      <c r="C48" s="3"/>
      <c r="D48" s="11"/>
      <c r="E48" s="706"/>
      <c r="F48" s="703"/>
      <c r="G48" s="703"/>
      <c r="H48" s="79"/>
    </row>
    <row r="49" spans="2:8" ht="15.75">
      <c r="B49" s="726" t="s">
        <v>933</v>
      </c>
      <c r="C49" s="263"/>
      <c r="D49" s="11"/>
      <c r="E49" s="703" t="s">
        <v>834</v>
      </c>
      <c r="F49" s="705"/>
      <c r="G49" s="705"/>
      <c r="H49" s="79"/>
    </row>
    <row r="50" spans="2:8" ht="15.75">
      <c r="B50" s="55"/>
      <c r="C50" s="3"/>
      <c r="D50" s="11"/>
      <c r="E50" s="706"/>
      <c r="F50" s="703"/>
      <c r="G50" s="703"/>
      <c r="H50" s="79"/>
    </row>
    <row r="51" spans="2:8" ht="15.75">
      <c r="B51" s="508" t="s">
        <v>134</v>
      </c>
      <c r="C51" s="267">
        <f>H1-1</f>
        <v>2014</v>
      </c>
      <c r="D51" s="11"/>
      <c r="E51" s="703" t="s">
        <v>834</v>
      </c>
      <c r="F51" s="705"/>
      <c r="G51" s="705"/>
      <c r="H51" s="79"/>
    </row>
    <row r="52" spans="2:8" ht="15.75">
      <c r="B52" s="3"/>
      <c r="C52" s="3"/>
      <c r="D52" s="3"/>
      <c r="E52" s="703"/>
      <c r="F52" s="706"/>
      <c r="G52" s="703"/>
      <c r="H52" s="79"/>
    </row>
    <row r="53" spans="2:8" ht="15.75">
      <c r="B53" s="498"/>
      <c r="C53" s="3"/>
      <c r="D53" s="3"/>
      <c r="E53" s="703" t="s">
        <v>834</v>
      </c>
      <c r="F53" s="703"/>
      <c r="G53" s="703"/>
      <c r="H53" s="79"/>
    </row>
    <row r="54" spans="2:7" ht="15.75">
      <c r="B54" s="38" t="s">
        <v>276</v>
      </c>
      <c r="C54" s="3"/>
      <c r="D54" s="3"/>
      <c r="E54" s="765" t="s">
        <v>275</v>
      </c>
      <c r="F54" s="766"/>
      <c r="G54" s="766"/>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6" t="s">
        <v>0</v>
      </c>
      <c r="C58" s="265"/>
      <c r="D58" s="265"/>
      <c r="E58" s="265"/>
      <c r="F58" s="118"/>
      <c r="G58" s="3"/>
    </row>
    <row r="59" spans="2:7" ht="15.75">
      <c r="B59" s="266" t="s">
        <v>1</v>
      </c>
      <c r="C59" s="265"/>
      <c r="D59" s="265"/>
      <c r="E59" s="265"/>
      <c r="F59" s="118"/>
      <c r="G59" s="3"/>
    </row>
    <row r="60" spans="2:7" ht="15.75">
      <c r="B60" s="266"/>
      <c r="C60" s="265"/>
      <c r="D60" s="265"/>
      <c r="E60" s="265"/>
      <c r="F60" s="118"/>
      <c r="G60" s="3"/>
    </row>
    <row r="61" spans="2:7" ht="15.75">
      <c r="B61" s="3"/>
      <c r="C61" s="3"/>
      <c r="D61" s="3"/>
      <c r="E61" s="3"/>
      <c r="F61" s="3"/>
      <c r="G61" s="3"/>
    </row>
    <row r="62" spans="2:7" ht="15.75">
      <c r="B62" s="512"/>
      <c r="C62" s="513"/>
      <c r="D62" s="513"/>
      <c r="E62" s="513"/>
      <c r="F62" s="513"/>
      <c r="G62" s="513"/>
    </row>
    <row r="63" spans="2:7" ht="15.75">
      <c r="B63" s="512"/>
      <c r="C63" s="513"/>
      <c r="D63" s="513"/>
      <c r="E63" s="513"/>
      <c r="F63" s="513"/>
      <c r="G63" s="513"/>
    </row>
    <row r="64" spans="2:7" ht="15.75">
      <c r="B64" s="512"/>
      <c r="C64" s="513"/>
      <c r="D64" s="513"/>
      <c r="E64" s="514"/>
      <c r="F64" s="515"/>
      <c r="G64" s="513"/>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hyperlinks>
    <hyperlink ref="B49" r:id="rId1" display="brockck@sbcglobal.net"/>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80" zoomScaleNormal="80" zoomScalePageLayoutView="0" workbookViewId="0" topLeftCell="A13">
      <selection activeCell="K32" sqref="K32"/>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Irving Township</v>
      </c>
      <c r="D1" s="3"/>
      <c r="E1" s="3"/>
      <c r="F1" s="3"/>
      <c r="G1" s="3"/>
      <c r="H1" s="3"/>
      <c r="I1" s="3"/>
      <c r="J1" s="3">
        <f>inputPrYr!D5</f>
        <v>2015</v>
      </c>
    </row>
    <row r="2" spans="1:10" ht="15.75">
      <c r="A2" s="3"/>
      <c r="B2" s="3"/>
      <c r="C2" s="3"/>
      <c r="D2" s="3"/>
      <c r="E2" s="3"/>
      <c r="F2" s="3"/>
      <c r="G2" s="3"/>
      <c r="H2" s="3"/>
      <c r="I2" s="3"/>
      <c r="J2" s="3"/>
    </row>
    <row r="3" spans="1:10" ht="15.75">
      <c r="A3" s="785" t="str">
        <f>CONCATENATE("Computation to Determine Limit for ",J1,"")</f>
        <v>Computation to Determine Limit for 2015</v>
      </c>
      <c r="B3" s="767"/>
      <c r="C3" s="767"/>
      <c r="D3" s="767"/>
      <c r="E3" s="767"/>
      <c r="F3" s="767"/>
      <c r="G3" s="767"/>
      <c r="H3" s="767"/>
      <c r="I3" s="767"/>
      <c r="J3" s="767"/>
    </row>
    <row r="4" spans="1:10" ht="15.75">
      <c r="A4" s="3"/>
      <c r="B4" s="3"/>
      <c r="C4" s="3"/>
      <c r="D4" s="3"/>
      <c r="E4" s="767"/>
      <c r="F4" s="767"/>
      <c r="G4" s="767"/>
      <c r="H4" s="114"/>
      <c r="I4" s="3"/>
      <c r="J4" s="232" t="s">
        <v>79</v>
      </c>
    </row>
    <row r="5" spans="1:10" ht="15.75">
      <c r="A5" s="233" t="s">
        <v>80</v>
      </c>
      <c r="B5" s="3" t="str">
        <f>CONCATENATE("Total Tax Levy Amount in ",J1-1,"")</f>
        <v>Total Tax Levy Amount in 2014</v>
      </c>
      <c r="C5" s="3"/>
      <c r="D5" s="3"/>
      <c r="E5" s="44"/>
      <c r="F5" s="44"/>
      <c r="G5" s="44"/>
      <c r="H5" s="234" t="s">
        <v>15</v>
      </c>
      <c r="I5" s="44" t="s">
        <v>2</v>
      </c>
      <c r="J5" s="235">
        <f>inputPrYr!E26</f>
        <v>123512</v>
      </c>
    </row>
    <row r="6" spans="1:10" ht="15.75">
      <c r="A6" s="233" t="s">
        <v>81</v>
      </c>
      <c r="B6" s="3" t="str">
        <f>CONCATENATE("Debt Service Levy in ",J1-1,"")</f>
        <v>Debt Service Levy in 2014</v>
      </c>
      <c r="C6" s="3"/>
      <c r="D6" s="3"/>
      <c r="E6" s="44"/>
      <c r="F6" s="44"/>
      <c r="G6" s="44"/>
      <c r="H6" s="234" t="s">
        <v>82</v>
      </c>
      <c r="I6" s="44" t="s">
        <v>2</v>
      </c>
      <c r="J6" s="236">
        <f>inputPrYr!E17</f>
        <v>0</v>
      </c>
    </row>
    <row r="7" spans="1:10" ht="15.75">
      <c r="A7" s="233" t="s">
        <v>83</v>
      </c>
      <c r="B7" s="6" t="s">
        <v>107</v>
      </c>
      <c r="C7" s="3"/>
      <c r="D7" s="3"/>
      <c r="E7" s="44"/>
      <c r="F7" s="44"/>
      <c r="G7" s="44"/>
      <c r="H7" s="44"/>
      <c r="I7" s="44" t="s">
        <v>2</v>
      </c>
      <c r="J7" s="237">
        <f>J5-J6</f>
        <v>123512</v>
      </c>
    </row>
    <row r="8" spans="1:10" ht="15.75">
      <c r="A8" s="3"/>
      <c r="B8" s="3"/>
      <c r="C8" s="3"/>
      <c r="D8" s="3"/>
      <c r="E8" s="44"/>
      <c r="F8" s="44"/>
      <c r="G8" s="44"/>
      <c r="H8" s="44"/>
      <c r="I8" s="44"/>
      <c r="J8" s="44"/>
    </row>
    <row r="9" spans="1:10" ht="15.75">
      <c r="A9" s="3"/>
      <c r="B9" s="6" t="str">
        <f>CONCATENATE("",J1-1," Valuation Information for Valuation Adjustments:")</f>
        <v>2014 Valuation Information for Valuation Adjustments:</v>
      </c>
      <c r="C9" s="3"/>
      <c r="D9" s="3"/>
      <c r="E9" s="44"/>
      <c r="F9" s="44"/>
      <c r="G9" s="44"/>
      <c r="H9" s="44"/>
      <c r="I9" s="44"/>
      <c r="J9" s="44"/>
    </row>
    <row r="10" spans="1:10" ht="15.75">
      <c r="A10" s="3"/>
      <c r="B10" s="3"/>
      <c r="C10" s="6"/>
      <c r="D10" s="3"/>
      <c r="E10" s="44"/>
      <c r="F10" s="44"/>
      <c r="G10" s="44"/>
      <c r="H10" s="44"/>
      <c r="I10" s="44"/>
      <c r="J10" s="44"/>
    </row>
    <row r="11" spans="1:10" ht="15.75">
      <c r="A11" s="233" t="s">
        <v>84</v>
      </c>
      <c r="B11" s="6" t="str">
        <f>CONCATENATE("New Improvements for ",J1-1,":")</f>
        <v>New Improvements for 2014:</v>
      </c>
      <c r="C11" s="3"/>
      <c r="D11" s="3"/>
      <c r="E11" s="234"/>
      <c r="F11" s="234" t="s">
        <v>15</v>
      </c>
      <c r="G11" s="235">
        <f>inputOth!E8</f>
        <v>2831</v>
      </c>
      <c r="H11" s="42"/>
      <c r="I11" s="44"/>
      <c r="J11" s="44"/>
    </row>
    <row r="12" spans="1:10" ht="15.75">
      <c r="A12" s="233"/>
      <c r="B12" s="233"/>
      <c r="C12" s="3"/>
      <c r="D12" s="3"/>
      <c r="E12" s="234"/>
      <c r="F12" s="234"/>
      <c r="G12" s="42"/>
      <c r="H12" s="42"/>
      <c r="I12" s="44"/>
      <c r="J12" s="44"/>
    </row>
    <row r="13" spans="1:10" ht="15.75">
      <c r="A13" s="233" t="s">
        <v>85</v>
      </c>
      <c r="B13" s="6" t="str">
        <f>CONCATENATE("Increase in Personal Property for ",J1-1,":")</f>
        <v>Increase in Personal Property for 2014:</v>
      </c>
      <c r="C13" s="3"/>
      <c r="D13" s="3"/>
      <c r="E13" s="234"/>
      <c r="F13" s="234"/>
      <c r="G13" s="42"/>
      <c r="H13" s="42"/>
      <c r="I13" s="44"/>
      <c r="J13" s="44"/>
    </row>
    <row r="14" spans="1:10" ht="15.75">
      <c r="A14" s="3"/>
      <c r="B14" s="3" t="s">
        <v>86</v>
      </c>
      <c r="C14" s="3" t="str">
        <f>CONCATENATE("Personal Property ",J1-1,"")</f>
        <v>Personal Property 2014</v>
      </c>
      <c r="D14" s="233" t="s">
        <v>15</v>
      </c>
      <c r="E14" s="235">
        <f>inputOth!E9</f>
        <v>313022</v>
      </c>
      <c r="F14" s="234"/>
      <c r="G14" s="44"/>
      <c r="H14" s="44"/>
      <c r="I14" s="42"/>
      <c r="J14" s="44"/>
    </row>
    <row r="15" spans="1:10" ht="15.75">
      <c r="A15" s="233"/>
      <c r="B15" s="3" t="s">
        <v>87</v>
      </c>
      <c r="C15" s="3" t="str">
        <f>CONCATENATE("Personal Property ",J1-2,"")</f>
        <v>Personal Property 2013</v>
      </c>
      <c r="D15" s="233" t="s">
        <v>82</v>
      </c>
      <c r="E15" s="237">
        <f>inputOth!E11</f>
        <v>300274</v>
      </c>
      <c r="F15" s="234"/>
      <c r="G15" s="42"/>
      <c r="H15" s="42"/>
      <c r="I15" s="44"/>
      <c r="J15" s="44"/>
    </row>
    <row r="16" spans="1:10" ht="15.75">
      <c r="A16" s="233"/>
      <c r="B16" s="3" t="s">
        <v>88</v>
      </c>
      <c r="C16" s="3" t="s">
        <v>108</v>
      </c>
      <c r="D16" s="3"/>
      <c r="E16" s="44"/>
      <c r="F16" s="44" t="s">
        <v>15</v>
      </c>
      <c r="G16" s="235">
        <f>IF(E14&gt;E15,E14-E15,0)</f>
        <v>12748</v>
      </c>
      <c r="H16" s="42"/>
      <c r="I16" s="44"/>
      <c r="J16" s="44"/>
    </row>
    <row r="17" spans="1:10" ht="15.75">
      <c r="A17" s="233"/>
      <c r="B17" s="233"/>
      <c r="C17" s="3"/>
      <c r="D17" s="3"/>
      <c r="E17" s="44"/>
      <c r="F17" s="44"/>
      <c r="G17" s="42" t="s">
        <v>96</v>
      </c>
      <c r="H17" s="42"/>
      <c r="I17" s="44"/>
      <c r="J17" s="44"/>
    </row>
    <row r="18" spans="1:10" ht="15.75">
      <c r="A18" s="233" t="s">
        <v>89</v>
      </c>
      <c r="B18" s="6" t="str">
        <f>CONCATENATE("Valuation of Property that Changed in Use during ",J1-1,":")</f>
        <v>Valuation of Property that Changed in Use during 2014:</v>
      </c>
      <c r="C18" s="3"/>
      <c r="D18" s="3"/>
      <c r="E18" s="44"/>
      <c r="F18" s="234" t="s">
        <v>15</v>
      </c>
      <c r="G18" s="235">
        <f>inputOth!E10</f>
        <v>263027</v>
      </c>
      <c r="H18" s="44"/>
      <c r="I18" s="44"/>
      <c r="J18" s="44"/>
    </row>
    <row r="19" spans="1:10" ht="15.75">
      <c r="A19" s="3" t="s">
        <v>260</v>
      </c>
      <c r="B19" s="3"/>
      <c r="C19" s="3"/>
      <c r="D19" s="233"/>
      <c r="E19" s="42"/>
      <c r="F19" s="42"/>
      <c r="G19" s="42"/>
      <c r="H19" s="44"/>
      <c r="I19" s="44"/>
      <c r="J19" s="44"/>
    </row>
    <row r="20" spans="1:10" ht="15.75">
      <c r="A20" s="233" t="s">
        <v>90</v>
      </c>
      <c r="B20" s="6" t="s">
        <v>109</v>
      </c>
      <c r="C20" s="3"/>
      <c r="D20" s="3"/>
      <c r="E20" s="44"/>
      <c r="F20" s="44"/>
      <c r="G20" s="235">
        <f>G11+G16+G18</f>
        <v>278606</v>
      </c>
      <c r="H20" s="42"/>
      <c r="I20" s="44"/>
      <c r="J20" s="44"/>
    </row>
    <row r="21" spans="1:10" ht="15.75">
      <c r="A21" s="233"/>
      <c r="B21" s="233"/>
      <c r="C21" s="6"/>
      <c r="D21" s="3"/>
      <c r="E21" s="44"/>
      <c r="F21" s="44"/>
      <c r="G21" s="42"/>
      <c r="H21" s="42"/>
      <c r="I21" s="44"/>
      <c r="J21" s="44"/>
    </row>
    <row r="22" spans="1:10" ht="15.75">
      <c r="A22" s="233" t="s">
        <v>91</v>
      </c>
      <c r="B22" s="3" t="str">
        <f>CONCATENATE("Total Estimated Valuation July 1,",J1-1,"")</f>
        <v>Total Estimated Valuation July 1,2014</v>
      </c>
      <c r="C22" s="3"/>
      <c r="D22" s="3"/>
      <c r="E22" s="235">
        <f>inputOth!E7</f>
        <v>7945740</v>
      </c>
      <c r="F22" s="44"/>
      <c r="G22" s="44"/>
      <c r="H22" s="44"/>
      <c r="I22" s="234"/>
      <c r="J22" s="44"/>
    </row>
    <row r="23" spans="1:10" ht="15.75">
      <c r="A23" s="233"/>
      <c r="B23" s="233"/>
      <c r="C23" s="3"/>
      <c r="D23" s="3"/>
      <c r="E23" s="42"/>
      <c r="F23" s="44"/>
      <c r="G23" s="44"/>
      <c r="H23" s="44"/>
      <c r="I23" s="234"/>
      <c r="J23" s="44"/>
    </row>
    <row r="24" spans="1:10" ht="15.75">
      <c r="A24" s="233" t="s">
        <v>92</v>
      </c>
      <c r="B24" s="6" t="s">
        <v>110</v>
      </c>
      <c r="C24" s="3"/>
      <c r="D24" s="3"/>
      <c r="E24" s="44"/>
      <c r="F24" s="44"/>
      <c r="G24" s="235">
        <f>E22-G20</f>
        <v>7667134</v>
      </c>
      <c r="H24" s="42"/>
      <c r="I24" s="234"/>
      <c r="J24" s="44"/>
    </row>
    <row r="25" spans="1:10" ht="15.75">
      <c r="A25" s="233"/>
      <c r="B25" s="233"/>
      <c r="C25" s="6"/>
      <c r="D25" s="3"/>
      <c r="E25" s="3"/>
      <c r="F25" s="3"/>
      <c r="G25" s="238"/>
      <c r="H25" s="8"/>
      <c r="I25" s="233"/>
      <c r="J25" s="3"/>
    </row>
    <row r="26" spans="1:10" ht="15.75">
      <c r="A26" s="233" t="s">
        <v>93</v>
      </c>
      <c r="B26" s="3" t="s">
        <v>111</v>
      </c>
      <c r="C26" s="3"/>
      <c r="D26" s="3"/>
      <c r="E26" s="3"/>
      <c r="F26" s="3"/>
      <c r="G26" s="239">
        <f>IF(G20&gt;0,G20/G24,0)</f>
        <v>0.03633769802379872</v>
      </c>
      <c r="H26" s="8"/>
      <c r="I26" s="3"/>
      <c r="J26" s="3"/>
    </row>
    <row r="27" spans="1:10" ht="15.75">
      <c r="A27" s="233"/>
      <c r="B27" s="233"/>
      <c r="C27" s="3"/>
      <c r="D27" s="3"/>
      <c r="E27" s="3"/>
      <c r="F27" s="3"/>
      <c r="G27" s="8"/>
      <c r="H27" s="8"/>
      <c r="I27" s="3"/>
      <c r="J27" s="3"/>
    </row>
    <row r="28" spans="1:10" ht="15.75">
      <c r="A28" s="233" t="s">
        <v>94</v>
      </c>
      <c r="B28" s="3" t="s">
        <v>112</v>
      </c>
      <c r="C28" s="3"/>
      <c r="D28" s="3"/>
      <c r="E28" s="3"/>
      <c r="F28" s="3"/>
      <c r="G28" s="8"/>
      <c r="H28" s="240" t="s">
        <v>15</v>
      </c>
      <c r="I28" s="3" t="s">
        <v>2</v>
      </c>
      <c r="J28" s="235">
        <f>ROUND(G26*J7,0)</f>
        <v>4488</v>
      </c>
    </row>
    <row r="29" spans="1:10" ht="15.75">
      <c r="A29" s="233"/>
      <c r="B29" s="233"/>
      <c r="C29" s="3"/>
      <c r="D29" s="3"/>
      <c r="E29" s="3"/>
      <c r="F29" s="3"/>
      <c r="G29" s="8"/>
      <c r="H29" s="240"/>
      <c r="I29" s="3"/>
      <c r="J29" s="42"/>
    </row>
    <row r="30" spans="1:10" ht="16.5" thickBot="1">
      <c r="A30" s="233" t="s">
        <v>95</v>
      </c>
      <c r="B30" s="6" t="s">
        <v>924</v>
      </c>
      <c r="C30" s="3"/>
      <c r="D30" s="3"/>
      <c r="E30" s="3"/>
      <c r="F30" s="3"/>
      <c r="G30" s="3"/>
      <c r="H30" s="3"/>
      <c r="I30" s="3" t="s">
        <v>2</v>
      </c>
      <c r="J30" s="241">
        <f>J7+J28</f>
        <v>128000</v>
      </c>
    </row>
    <row r="31" spans="1:10" ht="16.5" thickTop="1">
      <c r="A31" s="3"/>
      <c r="B31" s="3"/>
      <c r="C31" s="3"/>
      <c r="D31" s="3"/>
      <c r="E31" s="3"/>
      <c r="F31" s="3"/>
      <c r="G31" s="3"/>
      <c r="H31" s="3"/>
      <c r="I31" s="3"/>
      <c r="J31" s="3"/>
    </row>
    <row r="32" spans="1:10" ht="15.75">
      <c r="A32" s="233" t="s">
        <v>113</v>
      </c>
      <c r="B32" s="6" t="str">
        <f>CONCATENATE("Debt Service Levy in this ",J1,"")</f>
        <v>Debt Service Levy in this 2015</v>
      </c>
      <c r="C32" s="3"/>
      <c r="D32" s="3"/>
      <c r="E32" s="3"/>
      <c r="F32" s="3"/>
      <c r="G32" s="3"/>
      <c r="H32" s="3"/>
      <c r="I32" s="3"/>
      <c r="J32" s="235">
        <f>'DebtSvs-Library'!E40</f>
        <v>0</v>
      </c>
    </row>
    <row r="33" spans="1:10" ht="15.75">
      <c r="A33" s="233"/>
      <c r="B33" s="6"/>
      <c r="C33" s="3"/>
      <c r="D33" s="3"/>
      <c r="E33" s="3"/>
      <c r="F33" s="3"/>
      <c r="G33" s="3"/>
      <c r="H33" s="3"/>
      <c r="I33" s="3"/>
      <c r="J33" s="8"/>
    </row>
    <row r="34" spans="1:10" ht="15.75">
      <c r="A34" s="233" t="s">
        <v>114</v>
      </c>
      <c r="B34" s="6" t="s">
        <v>925</v>
      </c>
      <c r="C34" s="3"/>
      <c r="D34" s="3"/>
      <c r="E34" s="725">
        <v>0.015</v>
      </c>
      <c r="F34" s="3"/>
      <c r="G34" s="3"/>
      <c r="H34" s="3"/>
      <c r="I34" s="3"/>
      <c r="J34" s="235">
        <f>+J7*E34</f>
        <v>1852.6799999999998</v>
      </c>
    </row>
    <row r="35" spans="1:10" ht="15.75">
      <c r="A35" s="233"/>
      <c r="B35" s="6"/>
      <c r="C35" s="3"/>
      <c r="D35" s="3"/>
      <c r="E35" s="3"/>
      <c r="F35" s="3"/>
      <c r="G35" s="3"/>
      <c r="H35" s="3"/>
      <c r="I35" s="3"/>
      <c r="J35" s="42"/>
    </row>
    <row r="36" spans="1:10" ht="16.5" thickBot="1">
      <c r="A36" s="233" t="s">
        <v>923</v>
      </c>
      <c r="B36" s="6" t="s">
        <v>926</v>
      </c>
      <c r="C36" s="3"/>
      <c r="D36" s="3"/>
      <c r="E36" s="3"/>
      <c r="F36" s="3"/>
      <c r="G36" s="3"/>
      <c r="H36" s="3"/>
      <c r="I36" s="3" t="s">
        <v>2</v>
      </c>
      <c r="J36" s="241">
        <f>+J30+J32+J34</f>
        <v>129852.68</v>
      </c>
    </row>
    <row r="37" spans="1:10" ht="16.5" thickTop="1">
      <c r="A37" s="3"/>
      <c r="B37" s="3"/>
      <c r="C37" s="3"/>
      <c r="D37" s="3"/>
      <c r="E37" s="3"/>
      <c r="F37" s="3"/>
      <c r="G37" s="3"/>
      <c r="H37" s="3"/>
      <c r="I37" s="3"/>
      <c r="J37" s="3"/>
    </row>
    <row r="38" spans="1:10" s="242" customFormat="1" ht="18.75">
      <c r="A38" s="783" t="str">
        <f>CONCATENATE("If the ",J1," budget includes tax levies exceeding the total on line 15, you must")</f>
        <v>If the 2015 budget includes tax levies exceeding the total on line 15, you must</v>
      </c>
      <c r="B38" s="783"/>
      <c r="C38" s="783"/>
      <c r="D38" s="783"/>
      <c r="E38" s="783"/>
      <c r="F38" s="783"/>
      <c r="G38" s="783"/>
      <c r="H38" s="783"/>
      <c r="I38" s="783"/>
      <c r="J38" s="783"/>
    </row>
    <row r="39" spans="1:10" s="242" customFormat="1" ht="18.75">
      <c r="A39" s="783" t="s">
        <v>927</v>
      </c>
      <c r="B39" s="783"/>
      <c r="C39" s="783"/>
      <c r="D39" s="783"/>
      <c r="E39" s="783"/>
      <c r="F39" s="783"/>
      <c r="G39" s="783"/>
      <c r="H39" s="783"/>
      <c r="I39" s="783"/>
      <c r="J39" s="783"/>
    </row>
    <row r="40" spans="1:10" s="242" customFormat="1" ht="18.75">
      <c r="A40" s="784" t="s">
        <v>929</v>
      </c>
      <c r="B40" s="784"/>
      <c r="C40" s="784"/>
      <c r="D40" s="784"/>
      <c r="E40" s="784"/>
      <c r="F40" s="784"/>
      <c r="G40" s="784"/>
      <c r="H40" s="784"/>
      <c r="I40" s="784"/>
      <c r="J40" s="784"/>
    </row>
  </sheetData>
  <sheetProtection/>
  <mergeCells count="5">
    <mergeCell ref="A38:J38"/>
    <mergeCell ref="A40:J40"/>
    <mergeCell ref="A3:J3"/>
    <mergeCell ref="E4:G4"/>
    <mergeCell ref="A39:J3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Irving Township</v>
      </c>
      <c r="C1" s="3"/>
      <c r="D1" s="3"/>
      <c r="E1" s="3"/>
      <c r="F1" s="3"/>
      <c r="G1" s="3"/>
      <c r="H1" s="3"/>
      <c r="I1" s="3"/>
      <c r="J1" s="4">
        <f>inputPrYr!D5</f>
        <v>2015</v>
      </c>
      <c r="K1" s="4"/>
      <c r="L1" s="79"/>
    </row>
    <row r="2" spans="2:12" ht="15.75">
      <c r="B2" s="2" t="str">
        <f>inputPrYr!D3</f>
        <v>Brown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791" t="s">
        <v>750</v>
      </c>
      <c r="C6" s="766"/>
      <c r="D6" s="766"/>
      <c r="E6" s="766"/>
      <c r="F6" s="766"/>
      <c r="G6" s="766"/>
      <c r="H6" s="766"/>
      <c r="I6" s="766"/>
      <c r="J6" s="766"/>
      <c r="K6" s="3"/>
      <c r="L6" s="3"/>
    </row>
    <row r="7" spans="2:12" ht="15.75">
      <c r="B7" s="218"/>
      <c r="C7" s="1"/>
      <c r="D7" s="129"/>
      <c r="E7" s="129"/>
      <c r="F7" s="129"/>
      <c r="G7" s="129"/>
      <c r="H7" s="129"/>
      <c r="I7" s="129"/>
      <c r="J7" s="129"/>
      <c r="K7" s="129"/>
      <c r="L7" s="129"/>
    </row>
    <row r="8" spans="2:12" ht="15.75">
      <c r="B8" s="3"/>
      <c r="C8" s="219"/>
      <c r="D8" s="219"/>
      <c r="E8" s="219"/>
      <c r="F8" s="219"/>
      <c r="G8" s="220"/>
      <c r="H8" s="134"/>
      <c r="I8" s="134"/>
      <c r="J8" s="3"/>
      <c r="K8" s="8"/>
      <c r="L8" s="528"/>
    </row>
    <row r="9" spans="2:13" ht="21" customHeight="1">
      <c r="B9" s="202" t="s">
        <v>748</v>
      </c>
      <c r="C9" s="159"/>
      <c r="D9" s="530" t="s">
        <v>749</v>
      </c>
      <c r="E9" s="786" t="str">
        <f>CONCATENATE("Budget Tax Levy Rate for ",J1-1,"")</f>
        <v>Budget Tax Levy Rate for 2014</v>
      </c>
      <c r="F9" s="221"/>
      <c r="G9" s="788" t="str">
        <f>CONCATENATE("Allocation for Proposed Year ",J1,"")</f>
        <v>Allocation for Proposed Year 2015</v>
      </c>
      <c r="H9" s="789"/>
      <c r="I9" s="789"/>
      <c r="J9" s="790"/>
      <c r="K9" s="79"/>
      <c r="L9" s="79"/>
      <c r="M9" s="527"/>
    </row>
    <row r="10" spans="2:13" ht="15.75" customHeight="1">
      <c r="B10" s="529" t="str">
        <f>CONCATENATE("for ",J1-1,"")</f>
        <v>for 2014</v>
      </c>
      <c r="C10" s="165"/>
      <c r="D10" s="80" t="str">
        <f>CONCATENATE("Amount for ",J1,"")</f>
        <v>Amount for 2015</v>
      </c>
      <c r="E10" s="787"/>
      <c r="F10" s="14"/>
      <c r="G10" s="15" t="s">
        <v>77</v>
      </c>
      <c r="H10" s="15"/>
      <c r="I10" s="15" t="s">
        <v>78</v>
      </c>
      <c r="J10" s="149" t="s">
        <v>118</v>
      </c>
      <c r="K10" s="79"/>
      <c r="L10" s="79"/>
      <c r="M10" s="527"/>
    </row>
    <row r="11" spans="2:13" ht="15.75">
      <c r="B11" s="74" t="str">
        <f>inputPrYr!B16</f>
        <v>General</v>
      </c>
      <c r="C11" s="222"/>
      <c r="D11" s="149">
        <f>IF(inputPrYr!E16&gt;0,inputPrYr!E16,"  ")</f>
        <v>4835</v>
      </c>
      <c r="E11" s="120">
        <f>IF(inputOth!D17&gt;0,inputOth!D17,"  ")</f>
        <v>0.695</v>
      </c>
      <c r="F11" s="694"/>
      <c r="G11" s="149">
        <f>IF(inputPrYr!E16=0,0,G23-SUM(G12:G20))</f>
        <v>257</v>
      </c>
      <c r="H11" s="695"/>
      <c r="I11" s="149">
        <f>IF(inputPrYr!E16=0,0,I25-SUM(I12:I20))</f>
        <v>9</v>
      </c>
      <c r="J11" s="149">
        <f>IF(inputPrYr!E16=0,0,J27-SUM(J12:J20))</f>
        <v>78</v>
      </c>
      <c r="K11" s="79"/>
      <c r="L11" s="79"/>
      <c r="M11" s="527"/>
    </row>
    <row r="12" spans="2:13" ht="15.75">
      <c r="B12" s="74" t="str">
        <f>inputPrYr!B17</f>
        <v>Debt Service</v>
      </c>
      <c r="C12" s="222"/>
      <c r="D12" s="149">
        <f>IF(inputPrYr!E17&gt;=0,inputPrYr!E17,"  ")</f>
        <v>0</v>
      </c>
      <c r="E12" s="120" t="str">
        <f>IF(inputOth!D18&gt;0,inputOth!D18,"  ")</f>
        <v>  </v>
      </c>
      <c r="F12" s="694"/>
      <c r="G12" s="149">
        <f>IF(inputPrYr!E17=0,0,ROUND(D12*$G$30,0))</f>
        <v>0</v>
      </c>
      <c r="H12" s="695"/>
      <c r="I12" s="149">
        <f>IF(inputPrYr!$E$17=0,0,ROUND($D$12*$I$32,0))</f>
        <v>0</v>
      </c>
      <c r="J12" s="149">
        <f>IF(inputPrYr!E17=0,0,ROUND($D12*$J$34,0))</f>
        <v>0</v>
      </c>
      <c r="K12" s="79"/>
      <c r="L12" s="79"/>
      <c r="M12" s="527"/>
    </row>
    <row r="13" spans="2:13" ht="15.75">
      <c r="B13" s="74" t="str">
        <f>inputPrYr!B18</f>
        <v>Library</v>
      </c>
      <c r="C13" s="222"/>
      <c r="D13" s="149">
        <f>IF(inputPrYr!E18&gt;=0,inputPrYr!E18,"  ")</f>
        <v>0</v>
      </c>
      <c r="E13" s="120"/>
      <c r="F13" s="694"/>
      <c r="G13" s="149">
        <f>IF(inputPrYr!E18=0,0,ROUND(D13*$G$30,0))</f>
        <v>0</v>
      </c>
      <c r="H13" s="695"/>
      <c r="I13" s="149">
        <f>IF(inputPrYr!$E$18=0,0,ROUND($D$13*$I$32,0))</f>
        <v>0</v>
      </c>
      <c r="J13" s="149">
        <f>IF(inputPrYr!E18=0,0,ROUND($D13*$J$34,0))</f>
        <v>0</v>
      </c>
      <c r="K13" s="79"/>
      <c r="L13" s="79"/>
      <c r="M13" s="527"/>
    </row>
    <row r="14" spans="2:13" ht="15.75">
      <c r="B14" s="74" t="str">
        <f>IF(inputPrYr!$B19&gt;"  ",inputPrYr!$B19,"  ")</f>
        <v>Road</v>
      </c>
      <c r="C14" s="222"/>
      <c r="D14" s="149">
        <f>IF(inputPrYr!E19&gt;=0,inputPrYr!E19,"  ")</f>
        <v>118677</v>
      </c>
      <c r="E14" s="120">
        <f>IF(inputOth!D20&gt;0,inputOth!D20,"  ")</f>
        <v>17.07</v>
      </c>
      <c r="F14" s="694"/>
      <c r="G14" s="149">
        <f>IF(inputPrYr!E19=0,0,ROUND(D14*$G$30,0))</f>
        <v>6299</v>
      </c>
      <c r="H14" s="695"/>
      <c r="I14" s="149">
        <f>IF(inputPrYr!$E$19=0,0,ROUND($D$14*$I$32,0))</f>
        <v>231</v>
      </c>
      <c r="J14" s="149">
        <f>IF(inputPrYr!E19=0,0,ROUND($D14*$J$34,0))</f>
        <v>1927</v>
      </c>
      <c r="K14" s="79"/>
      <c r="L14" s="79"/>
      <c r="M14" s="527"/>
    </row>
    <row r="15" spans="2:13" ht="15.75">
      <c r="B15" s="74" t="str">
        <f>IF(inputPrYr!$B20&gt;"  ",inputPrYr!$B20,"  ")</f>
        <v>  </v>
      </c>
      <c r="C15" s="222"/>
      <c r="D15" s="149">
        <f>IF(inputPrYr!E20&gt;=0,inputPrYr!E20,"  ")</f>
        <v>0</v>
      </c>
      <c r="E15" s="120" t="str">
        <f>IF(inputOth!D21&gt;0,inputOth!D21,"  ")</f>
        <v>  </v>
      </c>
      <c r="F15" s="694"/>
      <c r="G15" s="149">
        <f>IF(inputPrYr!E20=0,0,ROUND(D15*$G$30,0))</f>
        <v>0</v>
      </c>
      <c r="H15" s="695"/>
      <c r="I15" s="149">
        <f>IF(inputPrYr!$E$20=0,0,ROUND($D$15*$I$32,0))</f>
        <v>0</v>
      </c>
      <c r="J15" s="149">
        <f>IF(inputPrYr!E20=0,0,ROUND($D15*$J$34,0))</f>
        <v>0</v>
      </c>
      <c r="K15" s="79"/>
      <c r="L15" s="79"/>
      <c r="M15" s="527"/>
    </row>
    <row r="16" spans="2:13" ht="15.75">
      <c r="B16" s="74" t="str">
        <f>IF(inputPrYr!$B21&gt;"  ",inputPrYr!$B21,"  ")</f>
        <v>  </v>
      </c>
      <c r="C16" s="222"/>
      <c r="D16" s="149">
        <f>IF(inputPrYr!E21&gt;=0,inputPrYr!E21,"  ")</f>
        <v>0</v>
      </c>
      <c r="E16" s="120" t="str">
        <f>IF(inputOth!D22&gt;0,inputOth!D22,"  ")</f>
        <v>  </v>
      </c>
      <c r="F16" s="694"/>
      <c r="G16" s="149">
        <f>IF(inputPrYr!E21=0,0,ROUND(D16*$G$30,0))</f>
        <v>0</v>
      </c>
      <c r="H16" s="695"/>
      <c r="I16" s="149">
        <f>IF(inputPrYr!$E$21=0,0,ROUND($D$16*$I$32,0))</f>
        <v>0</v>
      </c>
      <c r="J16" s="149">
        <f>IF(inputPrYr!E21=0,0,ROUND($D16*$J$34,0))</f>
        <v>0</v>
      </c>
      <c r="K16" s="79"/>
      <c r="L16" s="79"/>
      <c r="M16" s="527"/>
    </row>
    <row r="17" spans="2:13" ht="15.75">
      <c r="B17" s="74" t="str">
        <f>IF(inputPrYr!$B22&gt;"  ",inputPrYr!$B22,"  ")</f>
        <v>  </v>
      </c>
      <c r="C17" s="222"/>
      <c r="D17" s="149">
        <f>IF(inputPrYr!E22&gt;=0,inputPrYr!E22,"  ")</f>
        <v>0</v>
      </c>
      <c r="E17" s="120" t="str">
        <f>IF(inputOth!D23&gt;0,inputOth!D23,"  ")</f>
        <v>  </v>
      </c>
      <c r="F17" s="694"/>
      <c r="G17" s="149">
        <f>IF(inputPrYr!E22=0,0,ROUND(D17*$G$30,0))</f>
        <v>0</v>
      </c>
      <c r="H17" s="695"/>
      <c r="I17" s="149">
        <f>IF(inputPrYr!$E$22=0,0,ROUND($D$17*$I$32,0))</f>
        <v>0</v>
      </c>
      <c r="J17" s="149">
        <f>IF(inputPrYr!E22=0,0,ROUND($D17*$J$34,0))</f>
        <v>0</v>
      </c>
      <c r="K17" s="79"/>
      <c r="L17" s="79"/>
      <c r="M17" s="527"/>
    </row>
    <row r="18" spans="2:13" ht="15.75">
      <c r="B18" s="74" t="str">
        <f>IF(inputPrYr!$B23&gt;"  ",inputPrYr!$B23,"  ")</f>
        <v>  </v>
      </c>
      <c r="C18" s="222"/>
      <c r="D18" s="149">
        <f>IF(inputPrYr!E23&gt;=0,inputPrYr!E23,"  ")</f>
        <v>0</v>
      </c>
      <c r="E18" s="120" t="str">
        <f>IF(inputOth!D24&gt;0,inputOth!D24,"  ")</f>
        <v>  </v>
      </c>
      <c r="F18" s="694"/>
      <c r="G18" s="149">
        <f>IF(inputPrYr!E23=0,0,ROUND(D18*$G$30,0))</f>
        <v>0</v>
      </c>
      <c r="H18" s="695"/>
      <c r="I18" s="149">
        <f>IF(inputPrYr!$E$23=0,0,ROUND($D$18*$I$32,0))</f>
        <v>0</v>
      </c>
      <c r="J18" s="149">
        <f>IF(inputPrYr!E23=0,0,ROUND($D18*$J$34,0))</f>
        <v>0</v>
      </c>
      <c r="K18" s="79"/>
      <c r="L18" s="79"/>
      <c r="M18" s="527"/>
    </row>
    <row r="19" spans="2:13" ht="15.75">
      <c r="B19" s="74" t="str">
        <f>IF(inputPrYr!$B24&gt;"  ",inputPrYr!$B24,"  ")</f>
        <v>  </v>
      </c>
      <c r="C19" s="222"/>
      <c r="D19" s="149">
        <f>IF(inputPrYr!E24&gt;=0,inputPrYr!E24,"  ")</f>
        <v>0</v>
      </c>
      <c r="E19" s="120" t="str">
        <f>IF(inputOth!D25&gt;0,inputOth!D25,"  ")</f>
        <v>  </v>
      </c>
      <c r="F19" s="694"/>
      <c r="G19" s="149">
        <f>IF(inputPrYr!E24=0,0,ROUND(D19*$G$30,0))</f>
        <v>0</v>
      </c>
      <c r="H19" s="695"/>
      <c r="I19" s="149">
        <f>IF(inputPrYr!$E$24=0,0,ROUND($D$19*$I$32,0))</f>
        <v>0</v>
      </c>
      <c r="J19" s="149">
        <f>IF(inputPrYr!E24=0,0,ROUND($D19*$J$34,0))</f>
        <v>0</v>
      </c>
      <c r="K19" s="79"/>
      <c r="L19" s="79"/>
      <c r="M19" s="527"/>
    </row>
    <row r="20" spans="2:13" ht="15.75">
      <c r="B20" s="74" t="str">
        <f>IF(inputPrYr!$B25&gt;"  ",inputPrYr!$B25,"  ")</f>
        <v>  </v>
      </c>
      <c r="C20" s="222"/>
      <c r="D20" s="149">
        <f>IF(inputPrYr!E25&gt;=0,inputPrYr!E25,"  ")</f>
        <v>0</v>
      </c>
      <c r="E20" s="120" t="str">
        <f>IF(inputOth!D26&gt;0,inputOth!D26,"  ")</f>
        <v>  </v>
      </c>
      <c r="F20" s="694"/>
      <c r="G20" s="149">
        <f>IF(inputPrYr!E25=0,0,ROUND(D20*$G$30,0))</f>
        <v>0</v>
      </c>
      <c r="H20" s="695"/>
      <c r="I20" s="149">
        <f>IF(inputPrYr!$E$25=0,0,ROUND($D$20*$I$32,0))</f>
        <v>0</v>
      </c>
      <c r="J20" s="149">
        <f>IF(inputPrYr!E25=0,0,ROUND($D20*$J$34,0))</f>
        <v>0</v>
      </c>
      <c r="K20" s="79"/>
      <c r="L20" s="79"/>
      <c r="M20" s="527"/>
    </row>
    <row r="21" spans="2:13" ht="16.5" thickBot="1">
      <c r="B21" s="61" t="s">
        <v>258</v>
      </c>
      <c r="C21" s="225"/>
      <c r="D21" s="696">
        <f>SUM(D11:D20)</f>
        <v>123512</v>
      </c>
      <c r="E21" s="697">
        <f>SUM(E11:E20)</f>
        <v>17.765</v>
      </c>
      <c r="F21" s="698"/>
      <c r="G21" s="696">
        <f>SUM(G11:G20)</f>
        <v>6556</v>
      </c>
      <c r="H21" s="696"/>
      <c r="I21" s="696">
        <f>SUM(I11:I20)</f>
        <v>240</v>
      </c>
      <c r="J21" s="696">
        <f>SUM(J11:J20)</f>
        <v>2005</v>
      </c>
      <c r="K21" s="79"/>
      <c r="L21" s="79"/>
      <c r="M21" s="527"/>
    </row>
    <row r="22" spans="2:12" ht="16.5" thickTop="1">
      <c r="B22" s="3"/>
      <c r="C22" s="3"/>
      <c r="D22" s="3"/>
      <c r="E22" s="3"/>
      <c r="F22" s="3"/>
      <c r="G22" s="3"/>
      <c r="H22" s="3"/>
      <c r="I22" s="3"/>
      <c r="J22" s="3"/>
      <c r="K22" s="3"/>
      <c r="L22" s="79"/>
    </row>
    <row r="23" spans="2:12" ht="15.75">
      <c r="B23" s="11" t="s">
        <v>5</v>
      </c>
      <c r="C23" s="50"/>
      <c r="D23" s="3"/>
      <c r="E23" s="3"/>
      <c r="F23" s="3"/>
      <c r="G23" s="68">
        <f>inputOth!E32</f>
        <v>6556</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240</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2005</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6">
        <f>IF(D21=0,0,G23/D21)</f>
        <v>0.053079862685407084</v>
      </c>
      <c r="H30" s="3"/>
      <c r="I30" s="3"/>
      <c r="J30" s="3"/>
      <c r="K30" s="3"/>
      <c r="L30" s="79"/>
    </row>
    <row r="31" spans="2:12" ht="15.75">
      <c r="B31" s="3"/>
      <c r="C31" s="227"/>
      <c r="D31" s="3"/>
      <c r="E31" s="3"/>
      <c r="F31" s="3"/>
      <c r="G31" s="3"/>
      <c r="H31" s="3"/>
      <c r="I31" s="3"/>
      <c r="J31" s="3"/>
      <c r="K31" s="3"/>
      <c r="L31" s="79"/>
    </row>
    <row r="32" spans="2:12" ht="15.75">
      <c r="B32" s="11"/>
      <c r="C32" s="3"/>
      <c r="D32" s="11" t="s">
        <v>8</v>
      </c>
      <c r="E32" s="3"/>
      <c r="F32" s="3"/>
      <c r="G32" s="3"/>
      <c r="H32" s="228">
        <f>IF(D21=0,0,H25/D21)</f>
        <v>0</v>
      </c>
      <c r="I32" s="229">
        <f>IF(D21=0,0,I25/D21)</f>
        <v>0.0019431310318025778</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6">
        <f>IF(D21=0,0,J27/D21)</f>
        <v>0.0162332404948507</v>
      </c>
      <c r="K34" s="230"/>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1"/>
      <c r="C40" s="231"/>
      <c r="D40" s="231"/>
      <c r="E40" s="231"/>
      <c r="F40" s="231"/>
      <c r="G40" s="231"/>
      <c r="H40" s="231"/>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portrait" scale="6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Irving Township</v>
      </c>
      <c r="B2" s="77"/>
      <c r="C2" s="3"/>
      <c r="D2" s="3"/>
      <c r="E2" s="41"/>
      <c r="F2" s="3"/>
    </row>
    <row r="3" spans="1:6" ht="15.75">
      <c r="A3" s="2"/>
      <c r="B3" s="77"/>
      <c r="C3" s="3"/>
      <c r="D3" s="3"/>
      <c r="E3" s="41"/>
      <c r="F3" s="3"/>
    </row>
    <row r="4" spans="1:6" ht="15.75">
      <c r="A4" s="2"/>
      <c r="B4" s="3"/>
      <c r="C4" s="3"/>
      <c r="D4" s="3"/>
      <c r="E4" s="41"/>
      <c r="F4" s="3"/>
    </row>
    <row r="5" spans="1:6" ht="15" customHeight="1">
      <c r="A5" s="767" t="s">
        <v>152</v>
      </c>
      <c r="B5" s="767"/>
      <c r="C5" s="767"/>
      <c r="D5" s="767"/>
      <c r="E5" s="767"/>
      <c r="F5" s="767"/>
    </row>
    <row r="6" spans="1:6" ht="14.25" customHeight="1">
      <c r="A6" s="114"/>
      <c r="B6" s="201"/>
      <c r="C6" s="201"/>
      <c r="D6" s="201"/>
      <c r="E6" s="201"/>
      <c r="F6" s="201"/>
    </row>
    <row r="7" spans="1:6" ht="15" customHeight="1">
      <c r="A7" s="202" t="s">
        <v>266</v>
      </c>
      <c r="B7" s="202" t="s">
        <v>593</v>
      </c>
      <c r="C7" s="203" t="s">
        <v>32</v>
      </c>
      <c r="D7" s="203" t="s">
        <v>153</v>
      </c>
      <c r="E7" s="202" t="s">
        <v>154</v>
      </c>
      <c r="F7" s="202" t="s">
        <v>155</v>
      </c>
    </row>
    <row r="8" spans="1:6" ht="15" customHeight="1">
      <c r="A8" s="204" t="s">
        <v>594</v>
      </c>
      <c r="B8" s="204" t="s">
        <v>595</v>
      </c>
      <c r="C8" s="205" t="s">
        <v>156</v>
      </c>
      <c r="D8" s="205" t="s">
        <v>156</v>
      </c>
      <c r="E8" s="205" t="s">
        <v>156</v>
      </c>
      <c r="F8" s="205" t="s">
        <v>157</v>
      </c>
    </row>
    <row r="9" spans="1:6" s="208" customFormat="1" ht="15" customHeight="1" thickBot="1">
      <c r="A9" s="206" t="s">
        <v>158</v>
      </c>
      <c r="B9" s="207" t="s">
        <v>159</v>
      </c>
      <c r="C9" s="207">
        <f>F1-2</f>
        <v>2013</v>
      </c>
      <c r="D9" s="207">
        <f>F1-1</f>
        <v>2014</v>
      </c>
      <c r="E9" s="207">
        <f>F1</f>
        <v>2015</v>
      </c>
      <c r="F9" s="207" t="s">
        <v>253</v>
      </c>
    </row>
    <row r="10" spans="1:6" ht="15" customHeight="1" thickTop="1">
      <c r="A10" s="209"/>
      <c r="B10" s="209"/>
      <c r="C10" s="210"/>
      <c r="D10" s="210"/>
      <c r="E10" s="210"/>
      <c r="F10" s="209"/>
    </row>
    <row r="11" spans="1:6" ht="15" customHeight="1">
      <c r="A11" s="62" t="s">
        <v>231</v>
      </c>
      <c r="B11" s="62" t="s">
        <v>270</v>
      </c>
      <c r="C11" s="211">
        <f>gen!$C$36</f>
        <v>0</v>
      </c>
      <c r="D11" s="211">
        <f>gen!$D$36</f>
        <v>0</v>
      </c>
      <c r="E11" s="211">
        <f>gen!$E$36</f>
        <v>0</v>
      </c>
      <c r="F11" s="62">
        <f>IF(C11+D11+E11&gt;0,"80-1406b","")</f>
      </c>
    </row>
    <row r="12" spans="1:6" ht="15" customHeight="1">
      <c r="A12" s="62" t="s">
        <v>231</v>
      </c>
      <c r="B12" s="62" t="s">
        <v>270</v>
      </c>
      <c r="C12" s="211">
        <f>gen!$C$38</f>
        <v>0</v>
      </c>
      <c r="D12" s="211">
        <f>gen!$D$38</f>
        <v>0</v>
      </c>
      <c r="E12" s="211">
        <f>gen!$E$38</f>
        <v>0</v>
      </c>
      <c r="F12" s="62">
        <f>IF(C12+D12+E12&gt;0,"80-122","")</f>
      </c>
    </row>
    <row r="13" spans="1:6" ht="15" customHeight="1">
      <c r="A13" s="62" t="s">
        <v>257</v>
      </c>
      <c r="B13" s="62" t="s">
        <v>270</v>
      </c>
      <c r="C13" s="211">
        <f>road!$C$36</f>
        <v>0</v>
      </c>
      <c r="D13" s="211">
        <f>road!$D$36</f>
        <v>0</v>
      </c>
      <c r="E13" s="211">
        <f>road!$E$36</f>
        <v>0</v>
      </c>
      <c r="F13" s="62">
        <f>IF(C13+D13+E13&gt;0,"68-141g","")</f>
      </c>
    </row>
    <row r="14" spans="1:6" ht="15" customHeight="1">
      <c r="A14" s="212"/>
      <c r="B14" s="212"/>
      <c r="C14" s="213"/>
      <c r="D14" s="213"/>
      <c r="E14" s="213"/>
      <c r="F14" s="212"/>
    </row>
    <row r="15" spans="1:6" ht="15" customHeight="1">
      <c r="A15" s="212"/>
      <c r="B15" s="212"/>
      <c r="C15" s="213"/>
      <c r="D15" s="213"/>
      <c r="E15" s="213"/>
      <c r="F15" s="212"/>
    </row>
    <row r="16" spans="1:6" ht="15" customHeight="1">
      <c r="A16" s="212"/>
      <c r="B16" s="212"/>
      <c r="C16" s="213"/>
      <c r="D16" s="213"/>
      <c r="E16" s="213"/>
      <c r="F16" s="212"/>
    </row>
    <row r="17" spans="1:6" ht="15" customHeight="1">
      <c r="A17" s="212"/>
      <c r="B17" s="212"/>
      <c r="C17" s="213"/>
      <c r="D17" s="213"/>
      <c r="E17" s="213"/>
      <c r="F17" s="212"/>
    </row>
    <row r="18" spans="1:6" ht="15" customHeight="1">
      <c r="A18" s="212"/>
      <c r="B18" s="212"/>
      <c r="C18" s="213"/>
      <c r="D18" s="213"/>
      <c r="E18" s="213"/>
      <c r="F18" s="212"/>
    </row>
    <row r="19" spans="1:6" ht="15" customHeight="1">
      <c r="A19" s="212"/>
      <c r="B19" s="214"/>
      <c r="C19" s="213"/>
      <c r="D19" s="213"/>
      <c r="E19" s="213"/>
      <c r="F19" s="212"/>
    </row>
    <row r="20" spans="1:6" ht="15" customHeight="1">
      <c r="A20" s="212"/>
      <c r="B20" s="212"/>
      <c r="C20" s="213"/>
      <c r="D20" s="213"/>
      <c r="E20" s="213"/>
      <c r="F20" s="212"/>
    </row>
    <row r="21" spans="1:6" ht="15" customHeight="1">
      <c r="A21" s="212"/>
      <c r="B21" s="212"/>
      <c r="C21" s="213"/>
      <c r="D21" s="213"/>
      <c r="E21" s="213"/>
      <c r="F21" s="212"/>
    </row>
    <row r="22" spans="1:6" ht="15" customHeight="1">
      <c r="A22" s="212"/>
      <c r="B22" s="212"/>
      <c r="C22" s="213"/>
      <c r="D22" s="213"/>
      <c r="E22" s="213"/>
      <c r="F22" s="212"/>
    </row>
    <row r="23" spans="1:6" ht="15" customHeight="1">
      <c r="A23" s="212"/>
      <c r="B23" s="212"/>
      <c r="C23" s="213"/>
      <c r="D23" s="213"/>
      <c r="E23" s="213"/>
      <c r="F23" s="212"/>
    </row>
    <row r="24" spans="1:6" ht="15" customHeight="1">
      <c r="A24" s="212"/>
      <c r="B24" s="212"/>
      <c r="C24" s="213"/>
      <c r="D24" s="213"/>
      <c r="E24" s="213"/>
      <c r="F24" s="212"/>
    </row>
    <row r="25" spans="1:6" ht="15" customHeight="1">
      <c r="A25" s="212"/>
      <c r="B25" s="212"/>
      <c r="C25" s="213"/>
      <c r="D25" s="213"/>
      <c r="E25" s="213"/>
      <c r="F25" s="212"/>
    </row>
    <row r="26" spans="1:6" ht="15" customHeight="1">
      <c r="A26" s="212"/>
      <c r="B26" s="212"/>
      <c r="C26" s="213"/>
      <c r="D26" s="213"/>
      <c r="E26" s="213"/>
      <c r="F26" s="212"/>
    </row>
    <row r="27" spans="1:6" ht="15.75">
      <c r="A27" s="118"/>
      <c r="B27" s="215" t="s">
        <v>258</v>
      </c>
      <c r="C27" s="216">
        <f>SUM(C10:C26)</f>
        <v>0</v>
      </c>
      <c r="D27" s="216">
        <f>SUM(D10:D26)</f>
        <v>0</v>
      </c>
      <c r="E27" s="216">
        <f>SUM(E10:E26)</f>
        <v>0</v>
      </c>
      <c r="F27" s="118"/>
    </row>
    <row r="28" spans="1:6" ht="15.75">
      <c r="A28" s="118"/>
      <c r="B28" s="215" t="s">
        <v>592</v>
      </c>
      <c r="C28" s="118"/>
      <c r="D28" s="212"/>
      <c r="E28" s="212"/>
      <c r="F28" s="118"/>
    </row>
    <row r="29" spans="1:6" ht="15.75">
      <c r="A29" s="118"/>
      <c r="B29" s="167" t="s">
        <v>160</v>
      </c>
      <c r="C29" s="217">
        <f>C27</f>
        <v>0</v>
      </c>
      <c r="D29" s="217">
        <f>SUM(D27-D28)</f>
        <v>0</v>
      </c>
      <c r="E29" s="217">
        <f>SUM(E27-E28)</f>
        <v>0</v>
      </c>
      <c r="F29" s="118"/>
    </row>
    <row r="30" spans="1:6" ht="15.75">
      <c r="A30" s="118"/>
      <c r="B30" s="3"/>
      <c r="C30" s="3"/>
      <c r="D30" s="3"/>
      <c r="E30" s="3"/>
      <c r="F30" s="118"/>
    </row>
    <row r="31" spans="1:6" ht="15.75">
      <c r="A31" s="118"/>
      <c r="B31" s="3"/>
      <c r="C31" s="3"/>
      <c r="D31" s="3"/>
      <c r="E31" s="3"/>
      <c r="F31" s="118"/>
    </row>
    <row r="32" spans="1:6" ht="15.75">
      <c r="A32" s="362" t="s">
        <v>596</v>
      </c>
      <c r="B32" s="363"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I25" sqref="I25"/>
    </sheetView>
  </sheetViews>
  <sheetFormatPr defaultColWidth="8.796875" defaultRowHeight="15.75"/>
  <cols>
    <col min="1" max="1" width="8.796875" style="156" customWidth="1"/>
    <col min="2" max="2" width="18.69921875" style="156" customWidth="1"/>
    <col min="3" max="3" width="8.796875" style="156" customWidth="1"/>
    <col min="4" max="4" width="7.8984375" style="156" customWidth="1"/>
    <col min="5" max="5" width="8.796875" style="156" customWidth="1"/>
    <col min="6" max="6" width="16.19921875" style="156" customWidth="1"/>
    <col min="7" max="16384" width="8.796875" style="156" customWidth="1"/>
  </cols>
  <sheetData>
    <row r="1" spans="2:12" ht="15.75">
      <c r="B1" s="154" t="str">
        <f>inputPrYr!$D$2</f>
        <v>Irving Township</v>
      </c>
      <c r="C1" s="155"/>
      <c r="D1" s="155"/>
      <c r="E1" s="155"/>
      <c r="F1" s="155"/>
      <c r="G1" s="155"/>
      <c r="H1" s="155"/>
      <c r="I1" s="155"/>
      <c r="J1" s="3"/>
      <c r="K1" s="3"/>
      <c r="L1" s="4">
        <f>inputPrYr!D5</f>
        <v>2015</v>
      </c>
    </row>
    <row r="2" spans="2:12" ht="15.75">
      <c r="B2" s="154" t="str">
        <f>inputPrYr!$D$3</f>
        <v>Brown County</v>
      </c>
      <c r="C2" s="155"/>
      <c r="D2" s="155"/>
      <c r="E2" s="155"/>
      <c r="F2" s="155"/>
      <c r="G2" s="155"/>
      <c r="H2" s="155"/>
      <c r="I2" s="155"/>
      <c r="J2" s="3"/>
      <c r="K2" s="3"/>
      <c r="L2" s="41"/>
    </row>
    <row r="3" spans="2:12" ht="15.75">
      <c r="B3" s="157" t="s">
        <v>74</v>
      </c>
      <c r="C3" s="158"/>
      <c r="D3" s="158"/>
      <c r="E3" s="134"/>
      <c r="F3" s="158"/>
      <c r="G3" s="158"/>
      <c r="H3" s="158"/>
      <c r="I3" s="158"/>
      <c r="J3" s="158"/>
      <c r="K3" s="158"/>
      <c r="L3" s="158"/>
    </row>
    <row r="4" spans="2:12" ht="15.75">
      <c r="B4" s="155"/>
      <c r="C4" s="155"/>
      <c r="D4" s="155"/>
      <c r="E4" s="155"/>
      <c r="F4" s="155"/>
      <c r="G4" s="155"/>
      <c r="H4" s="155"/>
      <c r="I4" s="155"/>
      <c r="J4" s="155"/>
      <c r="K4" s="155"/>
      <c r="L4" s="155"/>
    </row>
    <row r="5" spans="2:12" ht="15.75">
      <c r="B5" s="159" t="s">
        <v>812</v>
      </c>
      <c r="C5" s="159" t="s">
        <v>54</v>
      </c>
      <c r="D5" s="159" t="s">
        <v>61</v>
      </c>
      <c r="E5" s="159"/>
      <c r="F5" s="159" t="s">
        <v>4</v>
      </c>
      <c r="G5" s="160"/>
      <c r="H5" s="161"/>
      <c r="I5" s="160" t="s">
        <v>55</v>
      </c>
      <c r="J5" s="161"/>
      <c r="K5" s="160" t="s">
        <v>55</v>
      </c>
      <c r="L5" s="161"/>
    </row>
    <row r="6" spans="2:12" ht="15.75">
      <c r="B6" s="162" t="s">
        <v>56</v>
      </c>
      <c r="C6" s="162" t="s">
        <v>56</v>
      </c>
      <c r="D6" s="162" t="s">
        <v>3</v>
      </c>
      <c r="E6" s="162" t="s">
        <v>4</v>
      </c>
      <c r="F6" s="162" t="s">
        <v>119</v>
      </c>
      <c r="G6" s="163" t="s">
        <v>57</v>
      </c>
      <c r="H6" s="164"/>
      <c r="I6" s="163">
        <f>L1-1</f>
        <v>2014</v>
      </c>
      <c r="J6" s="164"/>
      <c r="K6" s="163">
        <f>L1</f>
        <v>2015</v>
      </c>
      <c r="L6" s="164"/>
    </row>
    <row r="7" spans="2:12" ht="15.75">
      <c r="B7" s="165" t="s">
        <v>813</v>
      </c>
      <c r="C7" s="165" t="s">
        <v>58</v>
      </c>
      <c r="D7" s="165" t="s">
        <v>29</v>
      </c>
      <c r="E7" s="165" t="s">
        <v>59</v>
      </c>
      <c r="F7" s="166" t="str">
        <f>CONCATENATE("Jan 1,",L1-1,"")</f>
        <v>Jan 1,2014</v>
      </c>
      <c r="G7" s="167" t="s">
        <v>61</v>
      </c>
      <c r="H7" s="167" t="s">
        <v>62</v>
      </c>
      <c r="I7" s="167" t="s">
        <v>61</v>
      </c>
      <c r="J7" s="167" t="s">
        <v>62</v>
      </c>
      <c r="K7" s="167" t="s">
        <v>61</v>
      </c>
      <c r="L7" s="167" t="s">
        <v>62</v>
      </c>
    </row>
    <row r="8" spans="2:12" ht="15.75">
      <c r="B8" s="168" t="s">
        <v>51</v>
      </c>
      <c r="C8" s="169"/>
      <c r="D8" s="168"/>
      <c r="E8" s="168"/>
      <c r="F8" s="168"/>
      <c r="G8" s="170"/>
      <c r="H8" s="170"/>
      <c r="I8" s="168"/>
      <c r="J8" s="168"/>
      <c r="K8" s="168"/>
      <c r="L8" s="171"/>
    </row>
    <row r="9" spans="2:12" ht="15.75">
      <c r="B9" s="172"/>
      <c r="C9" s="364"/>
      <c r="D9" s="174"/>
      <c r="E9" s="23"/>
      <c r="F9" s="175"/>
      <c r="G9" s="176"/>
      <c r="H9" s="176"/>
      <c r="I9" s="175"/>
      <c r="J9" s="175"/>
      <c r="K9" s="175"/>
      <c r="L9" s="175"/>
    </row>
    <row r="10" spans="2:12" ht="15.75">
      <c r="B10" s="172"/>
      <c r="C10" s="364"/>
      <c r="D10" s="174"/>
      <c r="E10" s="23"/>
      <c r="F10" s="175"/>
      <c r="G10" s="176"/>
      <c r="H10" s="176"/>
      <c r="I10" s="175"/>
      <c r="J10" s="175"/>
      <c r="K10" s="175"/>
      <c r="L10" s="175"/>
    </row>
    <row r="11" spans="2:12" ht="15.75">
      <c r="B11" s="62" t="s">
        <v>139</v>
      </c>
      <c r="C11" s="177"/>
      <c r="D11" s="178"/>
      <c r="E11" s="21"/>
      <c r="F11" s="146">
        <f>SUM(F9:F10)</f>
        <v>0</v>
      </c>
      <c r="G11" s="179"/>
      <c r="H11" s="179"/>
      <c r="I11" s="146">
        <f>SUM(I9:I10)</f>
        <v>0</v>
      </c>
      <c r="J11" s="146">
        <f>SUM(J9:J10)</f>
        <v>0</v>
      </c>
      <c r="K11" s="146">
        <f>SUM(K9:K10)</f>
        <v>0</v>
      </c>
      <c r="L11" s="146">
        <f>SUM(L9:L10)</f>
        <v>0</v>
      </c>
    </row>
    <row r="12" spans="2:12" ht="15.75">
      <c r="B12" s="62" t="s">
        <v>21</v>
      </c>
      <c r="C12" s="177"/>
      <c r="D12" s="178"/>
      <c r="E12" s="21"/>
      <c r="F12" s="74"/>
      <c r="G12" s="179"/>
      <c r="H12" s="179"/>
      <c r="I12" s="74"/>
      <c r="J12" s="74"/>
      <c r="K12" s="74"/>
      <c r="L12" s="74"/>
    </row>
    <row r="13" spans="2:12" ht="15.75">
      <c r="B13" s="172"/>
      <c r="C13" s="364"/>
      <c r="D13" s="174"/>
      <c r="E13" s="23"/>
      <c r="F13" s="175"/>
      <c r="G13" s="176"/>
      <c r="H13" s="176"/>
      <c r="I13" s="175"/>
      <c r="J13" s="175"/>
      <c r="K13" s="175"/>
      <c r="L13" s="175"/>
    </row>
    <row r="14" spans="2:12" ht="15.75">
      <c r="B14" s="172"/>
      <c r="C14" s="364"/>
      <c r="D14" s="174"/>
      <c r="E14" s="23"/>
      <c r="F14" s="175"/>
      <c r="G14" s="176"/>
      <c r="H14" s="176"/>
      <c r="I14" s="175"/>
      <c r="J14" s="175"/>
      <c r="K14" s="175"/>
      <c r="L14" s="175"/>
    </row>
    <row r="15" spans="2:12" ht="15.75">
      <c r="B15" s="62" t="s">
        <v>140</v>
      </c>
      <c r="C15" s="177"/>
      <c r="D15" s="178"/>
      <c r="E15" s="21"/>
      <c r="F15" s="146">
        <f>SUM(F13:F14)</f>
        <v>0</v>
      </c>
      <c r="G15" s="179"/>
      <c r="H15" s="179"/>
      <c r="I15" s="146">
        <f>SUM(I13:I14)</f>
        <v>0</v>
      </c>
      <c r="J15" s="146">
        <f>SUM(J13:J14)</f>
        <v>0</v>
      </c>
      <c r="K15" s="146">
        <f>SUM(K13:K14)</f>
        <v>0</v>
      </c>
      <c r="L15" s="146">
        <f>SUM(L13:L14)</f>
        <v>0</v>
      </c>
    </row>
    <row r="16" spans="2:12" ht="15.75">
      <c r="B16" s="180" t="s">
        <v>814</v>
      </c>
      <c r="C16" s="660"/>
      <c r="D16" s="661"/>
      <c r="E16" s="662"/>
      <c r="F16" s="182">
        <f>SUM(F11+F15)</f>
        <v>0</v>
      </c>
      <c r="G16" s="660"/>
      <c r="H16" s="663"/>
      <c r="I16" s="182">
        <f>SUM(I11+I15)</f>
        <v>0</v>
      </c>
      <c r="J16" s="182">
        <f>SUM(J11+J15)</f>
        <v>0</v>
      </c>
      <c r="K16" s="182">
        <f>SUM(K11+K15)</f>
        <v>0</v>
      </c>
      <c r="L16" s="182">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5" customFormat="1" ht="15.75">
      <c r="B18" s="792" t="s">
        <v>73</v>
      </c>
      <c r="C18" s="763"/>
      <c r="D18" s="763"/>
      <c r="E18" s="763"/>
      <c r="F18" s="763"/>
      <c r="G18" s="763"/>
      <c r="H18" s="763"/>
      <c r="I18" s="763"/>
      <c r="J18" s="183"/>
      <c r="K18" s="183"/>
      <c r="L18" s="184"/>
    </row>
    <row r="19" spans="2:12" s="185" customFormat="1" ht="15.75">
      <c r="B19" s="8"/>
      <c r="C19" s="186"/>
      <c r="D19" s="186"/>
      <c r="E19" s="186"/>
      <c r="F19" s="186"/>
      <c r="G19" s="186"/>
      <c r="H19" s="186"/>
      <c r="I19" s="186"/>
      <c r="J19" s="187"/>
      <c r="K19" s="187"/>
      <c r="L19" s="184"/>
    </row>
    <row r="20" spans="2:12" s="185" customFormat="1" ht="15.75">
      <c r="B20" s="144"/>
      <c r="C20" s="144"/>
      <c r="D20" s="159" t="s">
        <v>60</v>
      </c>
      <c r="E20" s="144"/>
      <c r="F20" s="159" t="s">
        <v>258</v>
      </c>
      <c r="G20" s="144"/>
      <c r="H20" s="144"/>
      <c r="I20" s="144"/>
      <c r="J20" s="188"/>
      <c r="K20" s="189"/>
      <c r="L20" s="184"/>
    </row>
    <row r="21" spans="2:12" s="185" customFormat="1" ht="15.75">
      <c r="B21" s="190"/>
      <c r="C21" s="162"/>
      <c r="D21" s="162" t="s">
        <v>56</v>
      </c>
      <c r="E21" s="162" t="s">
        <v>61</v>
      </c>
      <c r="F21" s="162" t="s">
        <v>4</v>
      </c>
      <c r="G21" s="162" t="s">
        <v>62</v>
      </c>
      <c r="H21" s="162" t="s">
        <v>63</v>
      </c>
      <c r="I21" s="162" t="s">
        <v>63</v>
      </c>
      <c r="J21" s="184"/>
      <c r="K21" s="184"/>
      <c r="L21" s="184"/>
    </row>
    <row r="22" spans="2:12" s="185" customFormat="1" ht="15.75">
      <c r="B22" s="162" t="s">
        <v>815</v>
      </c>
      <c r="C22" s="162" t="s">
        <v>64</v>
      </c>
      <c r="D22" s="162" t="s">
        <v>65</v>
      </c>
      <c r="E22" s="162" t="s">
        <v>3</v>
      </c>
      <c r="F22" s="162" t="s">
        <v>66</v>
      </c>
      <c r="G22" s="162" t="s">
        <v>106</v>
      </c>
      <c r="H22" s="162" t="s">
        <v>67</v>
      </c>
      <c r="I22" s="162" t="s">
        <v>67</v>
      </c>
      <c r="J22" s="184"/>
      <c r="K22" s="184"/>
      <c r="L22" s="184"/>
    </row>
    <row r="23" spans="2:12" s="185" customFormat="1" ht="15.75">
      <c r="B23" s="165" t="s">
        <v>816</v>
      </c>
      <c r="C23" s="165" t="s">
        <v>54</v>
      </c>
      <c r="D23" s="191" t="s">
        <v>68</v>
      </c>
      <c r="E23" s="165" t="s">
        <v>29</v>
      </c>
      <c r="F23" s="191" t="s">
        <v>120</v>
      </c>
      <c r="G23" s="166" t="str">
        <f>CONCATENATE("Jan 1,",L1-1,"")</f>
        <v>Jan 1,2014</v>
      </c>
      <c r="H23" s="165">
        <f>L1-1</f>
        <v>2014</v>
      </c>
      <c r="I23" s="165">
        <f>L1</f>
        <v>2015</v>
      </c>
      <c r="J23" s="184"/>
      <c r="K23" s="184"/>
      <c r="L23" s="184"/>
    </row>
    <row r="24" spans="2:12" s="185" customFormat="1" ht="15.75">
      <c r="B24" s="172"/>
      <c r="C24" s="173"/>
      <c r="D24" s="192"/>
      <c r="E24" s="174"/>
      <c r="F24" s="23"/>
      <c r="G24" s="23"/>
      <c r="H24" s="23"/>
      <c r="I24" s="23"/>
      <c r="J24" s="184"/>
      <c r="K24" s="184"/>
      <c r="L24" s="184"/>
    </row>
    <row r="25" spans="2:12" s="185" customFormat="1" ht="15.75">
      <c r="B25" s="172" t="s">
        <v>939</v>
      </c>
      <c r="C25" s="173">
        <v>41271</v>
      </c>
      <c r="D25" s="192">
        <v>36</v>
      </c>
      <c r="E25" s="174">
        <v>3.3</v>
      </c>
      <c r="F25" s="23">
        <v>40704</v>
      </c>
      <c r="G25" s="23">
        <f>40704/3*2</f>
        <v>27136</v>
      </c>
      <c r="H25" s="23">
        <v>20873</v>
      </c>
      <c r="I25" s="23"/>
      <c r="J25" s="184"/>
      <c r="K25" s="184"/>
      <c r="L25" s="184"/>
    </row>
    <row r="26" spans="2:12" s="185" customFormat="1" ht="15.75">
      <c r="B26" s="172"/>
      <c r="C26" s="173"/>
      <c r="D26" s="192"/>
      <c r="E26" s="174"/>
      <c r="F26" s="23"/>
      <c r="G26" s="23"/>
      <c r="H26" s="23"/>
      <c r="I26" s="23"/>
      <c r="J26" s="184"/>
      <c r="K26" s="184"/>
      <c r="L26" s="184"/>
    </row>
    <row r="27" spans="2:12" s="185" customFormat="1" ht="15.75">
      <c r="B27" s="172"/>
      <c r="C27" s="173"/>
      <c r="D27" s="192"/>
      <c r="E27" s="174"/>
      <c r="F27" s="23"/>
      <c r="G27" s="23"/>
      <c r="H27" s="23"/>
      <c r="I27" s="23"/>
      <c r="J27" s="184"/>
      <c r="K27" s="184"/>
      <c r="L27" s="184"/>
    </row>
    <row r="28" spans="2:12" s="185" customFormat="1" ht="15.75">
      <c r="B28" s="172"/>
      <c r="C28" s="173"/>
      <c r="D28" s="192"/>
      <c r="E28" s="174"/>
      <c r="F28" s="23"/>
      <c r="G28" s="23"/>
      <c r="H28" s="23"/>
      <c r="I28" s="23"/>
      <c r="J28" s="184"/>
      <c r="K28" s="184"/>
      <c r="L28" s="184"/>
    </row>
    <row r="29" spans="2:12" s="185" customFormat="1" ht="15.75">
      <c r="B29" s="172"/>
      <c r="C29" s="173"/>
      <c r="D29" s="192"/>
      <c r="E29" s="174"/>
      <c r="F29" s="23"/>
      <c r="G29" s="23"/>
      <c r="H29" s="23"/>
      <c r="I29" s="23"/>
      <c r="J29" s="184"/>
      <c r="K29" s="184"/>
      <c r="L29" s="184"/>
    </row>
    <row r="30" spans="2:12" s="185" customFormat="1" ht="15.75">
      <c r="B30" s="172"/>
      <c r="C30" s="173"/>
      <c r="D30" s="192"/>
      <c r="E30" s="174"/>
      <c r="F30" s="23"/>
      <c r="G30" s="23"/>
      <c r="H30" s="23"/>
      <c r="I30" s="23"/>
      <c r="J30" s="184"/>
      <c r="K30" s="184"/>
      <c r="L30" s="184"/>
    </row>
    <row r="31" spans="2:12" s="185" customFormat="1" ht="15.75">
      <c r="B31" s="172"/>
      <c r="C31" s="173"/>
      <c r="D31" s="192"/>
      <c r="E31" s="174"/>
      <c r="F31" s="23"/>
      <c r="G31" s="23"/>
      <c r="H31" s="23"/>
      <c r="I31" s="23"/>
      <c r="J31" s="184"/>
      <c r="K31" s="184"/>
      <c r="L31" s="184"/>
    </row>
    <row r="32" spans="2:12" s="185" customFormat="1" ht="15.75">
      <c r="B32" s="172"/>
      <c r="C32" s="173"/>
      <c r="D32" s="192"/>
      <c r="E32" s="174"/>
      <c r="F32" s="23"/>
      <c r="G32" s="23"/>
      <c r="H32" s="23"/>
      <c r="I32" s="23"/>
      <c r="J32" s="184"/>
      <c r="K32" s="184"/>
      <c r="L32" s="184"/>
    </row>
    <row r="33" spans="2:12" s="185" customFormat="1" ht="15.75">
      <c r="B33" s="172"/>
      <c r="C33" s="173"/>
      <c r="D33" s="192"/>
      <c r="E33" s="174"/>
      <c r="F33" s="23"/>
      <c r="G33" s="23"/>
      <c r="H33" s="23"/>
      <c r="I33" s="23"/>
      <c r="J33" s="184"/>
      <c r="K33" s="184"/>
      <c r="L33" s="184"/>
    </row>
    <row r="34" spans="2:12" s="185" customFormat="1" ht="15.75">
      <c r="B34" s="172"/>
      <c r="C34" s="173"/>
      <c r="D34" s="192"/>
      <c r="E34" s="174"/>
      <c r="F34" s="23"/>
      <c r="G34" s="23"/>
      <c r="H34" s="23"/>
      <c r="I34" s="23"/>
      <c r="J34" s="184"/>
      <c r="K34" s="184"/>
      <c r="L34" s="184"/>
    </row>
    <row r="35" spans="2:12" s="185" customFormat="1" ht="15.75">
      <c r="B35" s="172"/>
      <c r="C35" s="173"/>
      <c r="D35" s="192"/>
      <c r="E35" s="174"/>
      <c r="F35" s="23"/>
      <c r="G35" s="23"/>
      <c r="H35" s="23"/>
      <c r="I35" s="23"/>
      <c r="J35" s="184"/>
      <c r="K35" s="184"/>
      <c r="L35" s="184"/>
    </row>
    <row r="36" spans="2:12" ht="15.75">
      <c r="B36" s="665"/>
      <c r="C36" s="181"/>
      <c r="D36" s="181"/>
      <c r="E36" s="193"/>
      <c r="F36" s="664" t="s">
        <v>258</v>
      </c>
      <c r="G36" s="182">
        <f>SUM(G24:G35)</f>
        <v>27136</v>
      </c>
      <c r="H36" s="182">
        <f>SUM(H24:H35)</f>
        <v>20873</v>
      </c>
      <c r="I36" s="182">
        <f>SUM(I24:I35)</f>
        <v>0</v>
      </c>
      <c r="J36" s="155"/>
      <c r="K36" s="155"/>
      <c r="L36" s="194"/>
    </row>
    <row r="37" spans="2:12" ht="15.75">
      <c r="B37" s="155"/>
      <c r="C37" s="155"/>
      <c r="D37" s="155"/>
      <c r="E37" s="155"/>
      <c r="F37" s="155"/>
      <c r="G37" s="155"/>
      <c r="H37" s="155"/>
      <c r="I37" s="155"/>
      <c r="J37" s="155"/>
      <c r="K37" s="155"/>
      <c r="L37" s="155"/>
    </row>
    <row r="38" spans="2:12" ht="15.75">
      <c r="B38" s="195" t="s">
        <v>228</v>
      </c>
      <c r="C38" s="195"/>
      <c r="D38" s="195"/>
      <c r="E38" s="195"/>
      <c r="F38" s="195"/>
      <c r="G38" s="195"/>
      <c r="H38" s="195"/>
      <c r="I38" s="155"/>
      <c r="J38" s="155"/>
      <c r="K38" s="155"/>
      <c r="L38" s="155"/>
    </row>
    <row r="39" ht="15.75">
      <c r="B39" s="196"/>
    </row>
  </sheetData>
  <sheetProtection sheet="1"/>
  <mergeCells count="1">
    <mergeCell ref="B18:I18"/>
  </mergeCells>
  <printOptions/>
  <pageMargins left="0.5" right="0.5" top="1" bottom="0.5" header="0.5" footer="0.5"/>
  <pageSetup blackAndWhite="1" fitToHeight="1" fitToWidth="1" horizontalDpi="300" verticalDpi="300" orientation="landscape" scale="80"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Debbie Parker</cp:lastModifiedBy>
  <cp:lastPrinted>2014-07-09T17:42:51Z</cp:lastPrinted>
  <dcterms:created xsi:type="dcterms:W3CDTF">1998-08-26T16:30:41Z</dcterms:created>
  <dcterms:modified xsi:type="dcterms:W3CDTF">2014-10-15T19:45:57Z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