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<sst xmlns="http://schemas.openxmlformats.org/spreadsheetml/2006/main" count="1579" uniqueCount="953">
  <si>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</si>
  <si>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</si>
  <si>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</si>
  <si>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</si>
  <si>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</si>
  <si>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</si>
  <si>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</si>
  <si>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</si>
  <si>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</si>
  <si>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</si>
  <si>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</si>
  <si>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</si>
  <si>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</si>
  <si>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</si>
  <si>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</si>
  <si>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</si>
  <si>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</si>
  <si>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</si>
  <si>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</si>
  <si>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</si>
  <si>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</si>
  <si>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</si>
  <si>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</si>
  <si>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</si>
  <si>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</si>
  <si>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</si>
  <si>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</si>
  <si>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</si>
  <si>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</si>
  <si>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</si>
  <si>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</si>
  <si>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</si>
  <si>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</si>
  <si>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</si>
  <si>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</si>
  <si>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</si>
  <si>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</si>
  <si>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</si>
  <si>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</si>
  <si>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</si>
  <si>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</si>
  <si>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</si>
  <si>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</si>
  <si>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</si>
  <si>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</si>
  <si>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</si>
  <si>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</si>
  <si>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</si>
  <si>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</si>
  <si>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</si>
  <si>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</si>
  <si>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</si>
  <si>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</si>
  <si>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</si>
  <si>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</si>
  <si>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</si>
  <si>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</si>
  <si>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</si>
  <si>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</si>
  <si>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</si>
  <si>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</si>
  <si>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</si>
  <si>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</si>
  <si>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</si>
  <si>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</si>
  <si>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</si>
  <si>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</si>
  <si>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</si>
  <si>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</si>
  <si>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</si>
  <si>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</si>
  <si>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</si>
  <si>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</si>
  <si>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</si>
  <si>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</si>
  <si>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</si>
  <si>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</si>
  <si>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</si>
  <si>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</si>
  <si>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</si>
  <si>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</si>
  <si>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</si>
  <si>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</si>
  <si>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</si>
  <si>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</si>
  <si>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</si>
  <si>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</si>
  <si>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</si>
  <si>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</si>
  <si>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</si>
  <si>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</si>
  <si>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</si>
  <si>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</si>
  <si>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</si>
  <si>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</si>
  <si>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</si>
  <si>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</si>
  <si>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</si>
  <si>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</si>
  <si>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</si>
  <si>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</si>
  <si>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</si>
  <si>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</si>
  <si>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</si>
  <si>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</si>
  <si>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</si>
  <si>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</si>
  <si>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</si>
  <si>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</si>
  <si>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</si>
  <si>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</si>
  <si>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</si>
  <si>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</si>
  <si>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</si>
  <si>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</si>
  <si>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</si>
  <si>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</si>
  <si>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</si>
  <si>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</si>
  <si>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</si>
  <si>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</si>
  <si>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</si>
  <si>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</si>
  <si>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</si>
  <si>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</si>
  <si>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</si>
  <si>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</si>
  <si>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</si>
  <si>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</si>
  <si>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</si>
  <si>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</si>
  <si>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</si>
  <si>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</si>
  <si>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</si>
  <si>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</si>
  <si>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</si>
  <si>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</si>
  <si>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</si>
  <si>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</si>
  <si>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</si>
  <si>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</si>
  <si>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</si>
  <si>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</si>
  <si>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</si>
  <si>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</si>
  <si>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</si>
  <si>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</si>
  <si>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</si>
  <si>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</si>
  <si>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</si>
  <si>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</si>
  <si>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</si>
  <si>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</si>
  <si>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</si>
  <si>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</si>
  <si>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</si>
  <si>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</si>
  <si>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</si>
  <si>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</si>
  <si>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</si>
  <si>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</si>
  <si>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</si>
  <si>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</si>
  <si>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</si>
  <si>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</si>
  <si>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</si>
  <si>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</si>
  <si>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</si>
  <si>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</si>
  <si>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</si>
  <si>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</si>
  <si>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</si>
  <si>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</si>
  <si>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</si>
  <si>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</si>
  <si>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</si>
  <si>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</si>
  <si>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</si>
  <si>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</si>
  <si>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</si>
  <si>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</si>
  <si>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</si>
  <si>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</si>
  <si>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</si>
  <si>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</si>
  <si>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</si>
  <si>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</si>
  <si>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</si>
  <si>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</si>
  <si>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</si>
  <si>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</si>
  <si>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</si>
  <si>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</si>
  <si>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</si>
  <si>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</si>
  <si>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</si>
  <si>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</si>
  <si>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</si>
  <si>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</si>
  <si>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</si>
  <si>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</si>
  <si>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</si>
  <si>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</si>
  <si>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</si>
  <si>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</si>
  <si>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</si>
  <si>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</si>
  <si>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</si>
  <si>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</si>
  <si>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</si>
  <si>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</si>
  <si>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</si>
  <si>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</si>
  <si>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</si>
  <si>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</si>
  <si>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</si>
  <si>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</si>
  <si>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</si>
  <si>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</si>
  <si>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</si>
  <si>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</si>
  <si>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</si>
  <si>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</si>
  <si>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</si>
  <si>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</si>
  <si>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</si>
  <si>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</si>
  <si>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</si>
  <si>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</si>
  <si>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</si>
  <si>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</si>
  <si>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</si>
  <si>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</si>
  <si>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</si>
  <si>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</si>
  <si>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</si>
  <si>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</si>
  <si>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</si>
  <si>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</si>
  <si>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</si>
  <si>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</si>
  <si>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</si>
  <si>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</si>
  <si>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</si>
  <si>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</si>
  <si>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</si>
  <si>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</si>
  <si>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</si>
  <si>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</si>
  <si>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</si>
  <si>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</si>
  <si>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</si>
  <si>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</si>
  <si>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</si>
  <si>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</si>
  <si>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</si>
  <si>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</si>
  <si>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</si>
  <si>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</si>
  <si>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</si>
  <si>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</si>
  <si>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</si>
  <si>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</si>
  <si>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</si>
  <si>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</si>
  <si>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</si>
  <si>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</si>
  <si>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</si>
  <si>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</si>
  <si>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</si>
  <si>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</si>
  <si>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</si>
  <si>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</si>
  <si>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</si>
  <si>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</si>
  <si>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</si>
  <si>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</si>
  <si>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</si>
  <si>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</si>
  <si>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</si>
  <si>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</si>
  <si>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</si>
  <si>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</si>
  <si>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</si>
  <si>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</si>
  <si>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</si>
  <si>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</si>
  <si>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</si>
  <si>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</si>
  <si>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</si>
  <si>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</si>
  <si>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</si>
  <si>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</si>
  <si>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</si>
  <si>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</si>
  <si>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</si>
  <si>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</si>
  <si>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</si>
  <si>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</si>
  <si>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</si>
  <si>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</si>
  <si>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</si>
  <si>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</si>
  <si>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</si>
  <si>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</si>
  <si>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</si>
  <si>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</si>
  <si>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</si>
  <si>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</si>
  <si>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</si>
  <si>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</si>
  <si>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</si>
  <si>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</si>
  <si>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</si>
  <si>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</si>
  <si>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</si>
  <si>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</si>
  <si>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</si>
  <si>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</si>
  <si>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</si>
  <si>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</si>
  <si>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</si>
  <si>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</si>
  <si>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</si>
  <si>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</si>
  <si>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</si>
  <si>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</si>
  <si>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</si>
  <si>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</si>
  <si>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</si>
  <si>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</si>
  <si>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</si>
  <si>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</si>
  <si>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</si>
  <si>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</si>
  <si>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</si>
  <si>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</si>
  <si>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</si>
  <si>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</si>
  <si>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</si>
  <si>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</si>
  <si>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</si>
  <si>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</si>
  <si>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</si>
  <si>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</si>
  <si>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</si>
  <si>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</si>
  <si>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</si>
  <si>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</si>
  <si>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</si>
  <si>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</si>
  <si>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</si>
  <si>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</si>
  <si>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</si>
  <si>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</si>
  <si>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</si>
  <si>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</si>
  <si>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</si>
  <si>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</si>
  <si>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</si>
  <si>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</si>
  <si>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</si>
  <si>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</si>
  <si>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</si>
  <si>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</si>
  <si>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</si>
  <si>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</si>
  <si>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</si>
  <si>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</si>
  <si>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</si>
  <si>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</si>
  <si>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</si>
  <si>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</si>
  <si>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</si>
  <si>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</si>
  <si>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</si>
  <si>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</si>
  <si>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</si>
  <si>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</si>
  <si>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</si>
  <si>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</si>
  <si>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</si>
  <si>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</si>
  <si>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</si>
  <si>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</si>
  <si>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</si>
  <si>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</si>
  <si>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</si>
  <si>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</si>
  <si>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</si>
  <si>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</si>
  <si>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</si>
  <si>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</si>
  <si>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</si>
  <si>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</si>
  <si>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</si>
  <si>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</si>
  <si>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</si>
  <si>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</si>
  <si>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</si>
  <si>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</si>
  <si>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</si>
  <si>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</si>
  <si>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</si>
  <si>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</si>
  <si>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</si>
  <si>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</si>
  <si>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</si>
  <si>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</si>
  <si>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</si>
  <si>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</si>
  <si>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</si>
  <si>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</si>
  <si>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</si>
  <si>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</si>
  <si>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</si>
  <si>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</si>
  <si>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</si>
  <si>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</si>
  <si>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</si>
  <si>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</si>
  <si>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</si>
  <si>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</si>
  <si>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</si>
  <si>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</si>
  <si>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</si>
  <si>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</si>
  <si>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</si>
  <si>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</si>
  <si>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</si>
  <si>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</si>
  <si>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</si>
  <si>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</si>
  <si>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</si>
  <si>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</si>
  <si>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</si>
  <si>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</si>
  <si>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</si>
  <si>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</si>
  <si>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</si>
  <si>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</si>
  <si>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</si>
  <si>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</si>
  <si>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</si>
  <si>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</si>
  <si>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</si>
  <si>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</si>
  <si>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</si>
  <si>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</si>
  <si>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</si>
  <si>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</si>
  <si>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</si>
  <si>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</si>
  <si>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</si>
  <si>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</si>
  <si>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</si>
  <si>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</si>
  <si>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</si>
  <si>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</si>
  <si>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</si>
  <si>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</si>
  <si>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</si>
  <si>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</si>
  <si>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</si>
  <si>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</si>
  <si>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</si>
  <si>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</si>
  <si>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</si>
  <si>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</si>
  <si>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</si>
  <si>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</si>
  <si>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</si>
  <si>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</si>
  <si>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</si>
  <si>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</si>
  <si>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</si>
  <si>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</si>
  <si>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</si>
  <si>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</si>
  <si>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</si>
  <si>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</si>
  <si>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</si>
  <si>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</si>
  <si>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</si>
  <si>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</si>
  <si>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</si>
  <si>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</si>
  <si>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</si>
  <si>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</si>
  <si>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</si>
  <si>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</si>
  <si>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</si>
  <si>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</si>
  <si>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</si>
  <si>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</si>
  <si>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</si>
  <si>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</si>
  <si>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</si>
  <si>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</si>
  <si>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</si>
  <si>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</si>
  <si>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</si>
  <si>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</si>
  <si>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</si>
  <si>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</si>
  <si>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</si>
  <si>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</si>
  <si>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</si>
  <si>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</si>
  <si>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</si>
  <si>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</si>
  <si>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</si>
  <si>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</si>
  <si>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</si>
  <si>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</si>
  <si>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</si>
  <si>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</si>
  <si>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</si>
  <si>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</si>
  <si>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</si>
  <si>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</si>
  <si>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</si>
  <si>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</si>
  <si>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</si>
  <si>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</si>
  <si>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</si>
  <si>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</si>
  <si>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</si>
  <si>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</si>
  <si>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</si>
  <si>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</si>
  <si>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</si>
  <si>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</si>
  <si>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</si>
  <si>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</si>
  <si>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</si>
  <si>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</si>
  <si>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</si>
  <si>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</si>
  <si>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</si>
  <si>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</si>
  <si>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</si>
  <si>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</si>
  <si>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</si>
  <si>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</si>
  <si>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</si>
  <si>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</si>
  <si>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</si>
  <si>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</si>
  <si>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</si>
  <si>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</si>
  <si>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</si>
  <si>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</si>
  <si>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</si>
  <si>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</si>
  <si>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</si>
  <si>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</si>
  <si>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</si>
  <si>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</si>
  <si>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</si>
  <si>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</si>
  <si>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</si>
  <si>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</si>
  <si>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</si>
  <si>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</si>
  <si>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</si>
  <si>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</si>
  <si>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</si>
  <si>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</si>
  <si>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</si>
  <si>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</si>
  <si>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</si>
  <si>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</si>
  <si>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</si>
  <si>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</si>
  <si>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</si>
  <si>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</si>
  <si>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</si>
  <si>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</si>
  <si>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</si>
  <si>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</si>
  <si>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</si>
  <si>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</si>
  <si>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</si>
  <si>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</si>
  <si>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</si>
  <si>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</si>
  <si>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</si>
  <si>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</si>
  <si>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</si>
  <si>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</si>
  <si>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</si>
  <si>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</si>
  <si>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</si>
  <si>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</si>
  <si>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</si>
  <si>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</si>
  <si>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</si>
  <si>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</si>
  <si>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</si>
  <si>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</si>
  <si>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</si>
  <si>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</si>
  <si>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</si>
  <si>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</si>
  <si>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</si>
  <si>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</si>
  <si>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</si>
  <si>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</si>
  <si>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</si>
  <si>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</si>
  <si>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</si>
  <si>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</si>
  <si>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</si>
  <si>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</si>
  <si>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</si>
  <si>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</si>
  <si>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</si>
  <si>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</si>
  <si>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</si>
  <si>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</si>
  <si>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</si>
  <si>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</si>
  <si>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</si>
  <si>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</si>
  <si>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</si>
  <si>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</si>
  <si>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</si>
  <si>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</si>
  <si>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</si>
  <si>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</si>
  <si>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</si>
  <si>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</si>
  <si>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</si>
  <si>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</si>
  <si>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</si>
  <si>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</si>
  <si>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</si>
  <si>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</si>
  <si>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</si>
  <si>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</si>
  <si>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</si>
  <si>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</si>
  <si>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</si>
  <si>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</si>
  <si>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</si>
  <si>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</si>
  <si>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</si>
  <si>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</si>
  <si>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</si>
  <si>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</si>
  <si>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</si>
  <si>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</si>
  <si>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</si>
  <si>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</si>
  <si>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</si>
  <si>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</si>
  <si>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</si>
  <si>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</si>
  <si>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</si>
  <si>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</si>
  <si>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</si>
  <si>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</si>
  <si>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</si>
  <si>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</si>
  <si>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</si>
  <si>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</si>
  <si>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</si>
  <si>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</si>
  <si>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</si>
  <si>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</si>
  <si>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</si>
  <si>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</si>
  <si>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</si>
  <si>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</si>
  <si>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</si>
  <si>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</si>
  <si>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</si>
  <si>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</si>
  <si>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</si>
  <si>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</si>
  <si>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</si>
  <si>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</si>
  <si>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</si>
  <si>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</si>
  <si>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</si>
  <si>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</si>
  <si>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</si>
  <si>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</si>
  <si>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</si>
  <si>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</si>
  <si>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</si>
  <si>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</si>
  <si>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</si>
  <si>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</si>
  <si>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</si>
  <si>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</si>
  <si>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</si>
  <si>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</si>
  <si>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</si>
  <si>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</si>
  <si>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</si>
  <si>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</si>
  <si>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</si>
  <si>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</si>
  <si>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</si>
  <si>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</si>
  <si>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</si>
  <si>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</si>
  <si>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</si>
  <si>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</si>
  <si>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</si>
  <si>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</si>
  <si>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</si>
  <si>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</si>
  <si>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</si>
  <si>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</si>
  <si>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</si>
  <si>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</si>
  <si>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</si>
  <si>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</si>
  <si>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</si>
  <si>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</si>
  <si>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</si>
  <si>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</si>
  <si>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</si>
  <si>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</si>
  <si>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</si>
  <si>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</si>
  <si>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</si>
  <si>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</si>
  <si>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</si>
  <si>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</si>
  <si>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</si>
  <si>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</si>
  <si>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</si>
  <si>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</si>
  <si>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</si>
  <si>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</si>
  <si>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</si>
  <si>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</si>
  <si>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</si>
  <si>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</si>
  <si>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</si>
  <si>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</si>
  <si>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</si>
  <si>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</si>
  <si>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</si>
  <si>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</si>
  <si>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</si>
  <si>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</si>
  <si>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</si>
  <si>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</si>
  <si>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</si>
  <si>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</si>
  <si>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</si>
  <si>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</si>
  <si>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</si>
  <si>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</si>
  <si>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</si>
  <si>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</si>
  <si>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</si>
  <si>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</si>
  <si>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</si>
  <si>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</si>
  <si>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</si>
  <si>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</si>
  <si>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</si>
  <si>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</si>
  <si>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</si>
  <si>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</si>
  <si>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</si>
  <si>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</si>
  <si>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</si>
  <si>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</si>
  <si>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</si>
  <si>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</si>
  <si>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</si>
  <si>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</si>
  <si>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</si>
  <si>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</si>
  <si>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</si>
  <si>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</si>
  <si>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</si>
  <si>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</si>
  <si>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</si>
  <si>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</si>
  <si>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</si>
  <si>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</si>
  <si>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</si>
  <si>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</si>
  <si>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</si>
  <si>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</si>
  <si>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</si>
  <si>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</si>
  <si>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</si>
  <si>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</si>
  <si>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</si>
  <si>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</si>
  <si>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</si>
  <si>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</si>
  <si>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</si>
  <si>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</si>
  <si>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</si>
  <si>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</si>
  <si>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</si>
  <si>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</si>
  <si>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</si>
  <si>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</si>
  <si>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</si>
  <si>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</si>
  <si>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</si>
  <si>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</si>
  <si>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</si>
  <si>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</si>
  <si>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</si>
  <si>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</si>
  <si>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</si>
  <si>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</si>
  <si>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</si>
  <si>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</si>
  <si>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</si>
  <si>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</si>
  <si>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</si>
  <si>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</si>
  <si>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</si>
  <si>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</si>
  <si>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</si>
  <si>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</si>
  <si>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</si>
  <si>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</si>
  <si>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</si>
  <si>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</si>
  <si>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</si>
  <si>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</si>
  <si>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</si>
  <si>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</si>
  <si>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</si>
  <si>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</si>
  <si>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</si>
  <si>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</si>
  <si>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</si>
  <si>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</si>
  <si>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</si>
  <si>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</si>
  <si>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</si>
  <si>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</si>
  <si>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</si>
  <si>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</si>
  <si>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</si>
  <si>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</si>
  <si>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</si>
  <si>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</si>
  <si>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</si>
  <si>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</si>
  <si>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</si>
  <si>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</si>
  <si>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</si>
  <si>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</si>
  <si>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</si>
  <si>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</si>
  <si>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</si>
  <si>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</si>
  <si>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</si>
  <si>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</si>
  <si>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</si>
  <si>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</si>
  <si>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</si>
  <si>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</si>
  <si>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</si>
  <si>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</si>
  <si>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</si>
  <si>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</si>
  <si>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</si>
  <si>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</si>
  <si>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</si>
  <si>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</si>
  <si>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</si>
  <si>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</si>
  <si>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</si>
  <si>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</si>
  <si>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</si>
  <si>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</si>
  <si>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</si>
  <si>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</si>
  <si>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</si>
  <si>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</si>
  <si>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</si>
  <si>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</si>
  <si>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</si>
  <si>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</si>
  <si>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</si>
  <si>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</si>
  <si>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</si>
  <si>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</si>
  <si>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</si>
  <si>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</si>
  <si>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</si>
  <si>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</si>
  <si>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</si>
  <si>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</si>
  <si>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</si>
  <si>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</si>
  <si>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</si>
  <si>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</si>
  <si>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</si>
  <si>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</si>
  <si>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</si>
  <si>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</si>
  <si>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</si>
  <si>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</si>
  <si>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</si>
  <si>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</si>
  <si>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</si>
  <si>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</si>
  <si>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</si>
  <si>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</si>
  <si>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</si>
  <si>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</si>
  <si>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</si>
  <si>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</si>
  <si>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</si>
  <si>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</si>
  <si>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</si>
  <si>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</si>
  <si>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</si>
  <si>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</si>
  <si>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</si>
  <si>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</si>
  <si>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</si>
  <si>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</si>
  <si>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</si>
  <si>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</si>
  <si>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</si>
  <si>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</si>
  <si>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</si>
  <si>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</si>
  <si>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</si>
  <si>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</si>
  <si>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</si>
  <si>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</si>
  <si>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</si>
  <si>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</si>
  <si>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80-115</t>
  </si>
  <si>
    <t>Fire Protection</t>
  </si>
  <si>
    <t>80-1503</t>
  </si>
  <si>
    <t>Independence Township</t>
  </si>
  <si>
    <t>Montgomery County Clerk's Office, Courthouse, Independence</t>
  </si>
  <si>
    <t>Publication</t>
  </si>
  <si>
    <t>Operations</t>
  </si>
  <si>
    <t>August 14, 2014</t>
  </si>
  <si>
    <t>9:00 AM</t>
  </si>
  <si>
    <t>Bill Padley Residence, 440 58 Road, Independence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</si>
</sst>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Independence Township</v>
      </c>
      <c r="C1" s="167"/>
      <c r="D1" s="167"/>
      <c r="E1" s="167"/>
      <c r="F1" s="167"/>
      <c r="G1" s="167"/>
      <c r="H1" s="167"/>
      <c r="I1" s="167"/>
      <c r="J1" s="14"/>
      <c r="K1" s="14"/>
      <c r="L1" s="15">
        <f>inputPrYr!D5</f>
        <v>2015</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2014</v>
      </c>
      <c r="J6" s="176"/>
      <c r="K6" s="175">
        <f>L1</f>
        <v>2015</v>
      </c>
      <c r="L6" s="176"/>
    </row>
    <row r="7" spans="2:12" ht="15.75">
      <c r="B7" s="177" t="s">
        <v>831</v>
      </c>
      <c r="C7" s="177" t="s">
        <v>58</v>
      </c>
      <c r="D7" s="177" t="s">
        <v>29</v>
      </c>
      <c r="E7" s="177" t="s">
        <v>59</v>
      </c>
      <c r="F7" s="178" t="str">
        <f>CONCATENATE("Jan 1,",L1-1,"")</f>
        <v>Jan 1,2014</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2015</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Independence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2014</v>
      </c>
      <c r="F14" s="556"/>
      <c r="G14" s="560">
        <f>inputPrYr!D5</f>
        <v>2015</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30324313</v>
      </c>
      <c r="F27" s="556"/>
      <c r="G27" s="561">
        <f>summ!G37</f>
        <v>30776010</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5.75">
      <c r="B47" s="573" t="str">
        <f>CONCATENATE("sources in ",E14,".")</f>
        <v>sources in 2014.</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(2014)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D39" sqref="D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Independence Township</v>
      </c>
      <c r="C1" s="14"/>
      <c r="D1" s="14"/>
      <c r="E1" s="15">
        <f>inputPrYr!D5</f>
        <v>2015</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118</v>
      </c>
      <c r="C6" s="29">
        <v>10163.2</v>
      </c>
      <c r="D6" s="387">
        <f>C51</f>
        <v>10267.2</v>
      </c>
      <c r="E6" s="32">
        <f>D51</f>
        <v>9720.2</v>
      </c>
    </row>
    <row r="7" spans="2:5" ht="15.75">
      <c r="B7" s="27" t="s">
        <v>120</v>
      </c>
      <c r="C7" s="387"/>
      <c r="D7" s="387"/>
      <c r="E7" s="33"/>
    </row>
    <row r="8" spans="2:5" ht="15.75">
      <c r="B8" s="27" t="s">
        <v>16</v>
      </c>
      <c r="C8" s="29">
        <v>1</v>
      </c>
      <c r="D8" s="387">
        <f>IF(inputPrYr!H15&gt;0,inputPrYr!G16,inputPrYr!E16)</f>
        <v>0</v>
      </c>
      <c r="E8" s="33" t="s">
        <v>289</v>
      </c>
    </row>
    <row r="9" spans="2:5" ht="15.75">
      <c r="B9" s="27" t="s">
        <v>17</v>
      </c>
      <c r="C9" s="29">
        <v>27</v>
      </c>
      <c r="D9" s="29">
        <v>0</v>
      </c>
      <c r="E9" s="34"/>
    </row>
    <row r="10" spans="2:5" ht="15.75">
      <c r="B10" s="27" t="s">
        <v>18</v>
      </c>
      <c r="C10" s="29">
        <v>287</v>
      </c>
      <c r="D10" s="29">
        <v>0</v>
      </c>
      <c r="E10" s="32">
        <f>mvalloc!G11</f>
        <v>0</v>
      </c>
    </row>
    <row r="11" spans="2:5" ht="15.75">
      <c r="B11" s="27" t="s">
        <v>19</v>
      </c>
      <c r="C11" s="29">
        <v>3</v>
      </c>
      <c r="D11" s="29">
        <v>0</v>
      </c>
      <c r="E11" s="32">
        <f>mvalloc!I11</f>
        <v>0</v>
      </c>
    </row>
    <row r="12" spans="2:5" ht="15.75">
      <c r="B12" s="35" t="s">
        <v>69</v>
      </c>
      <c r="C12" s="29">
        <v>3</v>
      </c>
      <c r="D12" s="29">
        <v>3</v>
      </c>
      <c r="E12" s="32">
        <f>mvalloc!J11</f>
        <v>0</v>
      </c>
    </row>
    <row r="13" spans="2:5" ht="15.75">
      <c r="B13" s="35" t="s">
        <v>161</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321</v>
      </c>
      <c r="D26" s="389">
        <f>SUM(D8:D24)</f>
        <v>3</v>
      </c>
      <c r="E26" s="42">
        <f>SUM(E8:E24)</f>
        <v>0</v>
      </c>
    </row>
    <row r="27" spans="2:5" ht="15.75">
      <c r="B27" s="43" t="s">
        <v>24</v>
      </c>
      <c r="C27" s="389">
        <f>C26+C6</f>
        <v>10484.2</v>
      </c>
      <c r="D27" s="389">
        <f>D26+D6</f>
        <v>10270.2</v>
      </c>
      <c r="E27" s="42">
        <f>E26+E6</f>
        <v>9720.2</v>
      </c>
    </row>
    <row r="28" spans="2:5" ht="15.75">
      <c r="B28" s="27" t="s">
        <v>25</v>
      </c>
      <c r="C28" s="387"/>
      <c r="D28" s="387"/>
      <c r="E28" s="32"/>
    </row>
    <row r="29" spans="2:5" ht="15.75">
      <c r="B29" s="37"/>
      <c r="C29" s="29"/>
      <c r="D29" s="29"/>
      <c r="E29" s="34"/>
    </row>
    <row r="30" spans="2:5" ht="15.75">
      <c r="B30" s="38" t="s">
        <v>101</v>
      </c>
      <c r="C30" s="29">
        <v>100</v>
      </c>
      <c r="D30" s="29">
        <v>300</v>
      </c>
      <c r="E30" s="34">
        <v>300</v>
      </c>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948</v>
      </c>
      <c r="C37" s="29">
        <v>117</v>
      </c>
      <c r="D37" s="29">
        <v>150</v>
      </c>
      <c r="E37" s="34">
        <v>175</v>
      </c>
    </row>
    <row r="38" spans="2:5" ht="15.75">
      <c r="B38" s="37" t="s">
        <v>949</v>
      </c>
      <c r="C38" s="29"/>
      <c r="D38" s="29">
        <v>100</v>
      </c>
      <c r="E38" s="34">
        <v>100</v>
      </c>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2015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2016</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217</v>
      </c>
      <c r="D50" s="381">
        <f>SUM(D29:D48)</f>
        <v>550</v>
      </c>
      <c r="E50" s="47">
        <f>SUM(E29:E43,E45,E47:E48)</f>
        <v>575</v>
      </c>
      <c r="G50" s="484">
        <f>D51</f>
        <v>9720.2</v>
      </c>
      <c r="H50" s="485" t="str">
        <f>CONCATENATE("",E1-1," Ending Cash Balance (est.)")</f>
        <v>2014 Ending Cash Balance (est.)</v>
      </c>
      <c r="I50" s="486"/>
      <c r="J50" s="257"/>
    </row>
    <row r="51" spans="2:10" ht="15.75">
      <c r="B51" s="27" t="s">
        <v>119</v>
      </c>
      <c r="C51" s="382">
        <f>C27-C50</f>
        <v>10267.2</v>
      </c>
      <c r="D51" s="382">
        <f>SUM(D27-D50)</f>
        <v>9720.2</v>
      </c>
      <c r="E51" s="33" t="s">
        <v>289</v>
      </c>
      <c r="G51" s="484">
        <f>E26</f>
        <v>0</v>
      </c>
      <c r="H51" s="487" t="str">
        <f>CONCATENATE("",E1," Non-AV Receipts (est.)")</f>
        <v>2015 Non-AV Receipts (est.)</v>
      </c>
      <c r="I51" s="486"/>
      <c r="J51" s="257"/>
    </row>
    <row r="52" spans="2:11" ht="15.75">
      <c r="B52" s="48" t="str">
        <f>CONCATENATE("",E1-2,"/",E1-1," Budget Authority Amount:")</f>
        <v>2013/2014 Budget Authority Amount:</v>
      </c>
      <c r="C52" s="132">
        <f>inputOth!B46</f>
        <v>450</v>
      </c>
      <c r="D52" s="161">
        <f>inputPrYr!D16</f>
        <v>575</v>
      </c>
      <c r="E52" s="33" t="s">
        <v>289</v>
      </c>
      <c r="F52" s="50"/>
      <c r="G52" s="488">
        <f>IF(D56&gt;0,E55,E57)</f>
        <v>0</v>
      </c>
      <c r="H52" s="487" t="str">
        <f>CONCATENATE("",E1," Ad Valorem Tax (est.)")</f>
        <v>2015 Ad Valorem Tax (est.)</v>
      </c>
      <c r="I52" s="486"/>
      <c r="J52" s="257"/>
      <c r="K52" s="701">
        <f>IF(G52=E57,"","Note: Does not include Delinquent Taxes")</f>
      </c>
    </row>
    <row r="53" spans="2:10" ht="15.75">
      <c r="B53" s="48"/>
      <c r="C53" s="801" t="s">
        <v>622</v>
      </c>
      <c r="D53" s="802"/>
      <c r="E53" s="34"/>
      <c r="F53" s="482">
        <f>IF(E50/0.95-E50&lt;E53,"Exceeds 5%","")</f>
      </c>
      <c r="G53" s="484">
        <f>SUM(G50:G52)</f>
        <v>9720.2</v>
      </c>
      <c r="H53" s="487" t="str">
        <f>CONCATENATE("Total ",E1," Resources Available")</f>
        <v>Total 2015 Resources Available</v>
      </c>
      <c r="I53" s="486"/>
      <c r="J53" s="257"/>
    </row>
    <row r="54" spans="2:10" ht="15.75">
      <c r="B54" s="395" t="str">
        <f>CONCATENATE(C72,"     ",D72)</f>
        <v>     </v>
      </c>
      <c r="C54" s="803" t="s">
        <v>623</v>
      </c>
      <c r="D54" s="804"/>
      <c r="E54" s="32">
        <f>E50+E53</f>
        <v>575</v>
      </c>
      <c r="G54" s="489"/>
      <c r="H54" s="487"/>
      <c r="I54" s="487"/>
      <c r="J54" s="257"/>
    </row>
    <row r="55" spans="2:10" ht="15.75">
      <c r="B55" s="395" t="str">
        <f>CONCATENATE(C73,"     ",D73)</f>
        <v>     </v>
      </c>
      <c r="C55" s="60"/>
      <c r="D55" s="52" t="s">
        <v>28</v>
      </c>
      <c r="E55" s="46">
        <f>IF(E54-E27&gt;0,E54-E27,0)</f>
        <v>0</v>
      </c>
      <c r="G55" s="488">
        <f>ROUND(C50*0.05+C50,0)</f>
        <v>228</v>
      </c>
      <c r="H55" s="487" t="str">
        <f>CONCATENATE("Less ",E1-2," Expenditures + 5%")</f>
        <v>Less 2013 Expenditures + 5%</v>
      </c>
      <c r="I55" s="486"/>
      <c r="J55" s="257"/>
    </row>
    <row r="56" spans="2:10" ht="15.75">
      <c r="B56" s="52"/>
      <c r="C56" s="399" t="s">
        <v>624</v>
      </c>
      <c r="D56" s="689">
        <f>inputOth!$E$40</f>
        <v>0</v>
      </c>
      <c r="E56" s="32">
        <f>ROUND(IF(D56&gt;0,(E55*D56),0),0)</f>
        <v>0</v>
      </c>
      <c r="G56" s="490">
        <f>G53-G55</f>
        <v>9492.2</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2015 Fund Mill Rate</v>
      </c>
      <c r="I60" s="691"/>
      <c r="J60" s="703"/>
      <c r="K60" s="16"/>
    </row>
    <row r="61" spans="2:10" ht="15.75">
      <c r="B61" s="52" t="s">
        <v>9</v>
      </c>
      <c r="C61" s="401">
        <f>IF(inputPrYr!D18&gt;0,7,6)</f>
        <v>6</v>
      </c>
      <c r="D61" s="14"/>
      <c r="E61" s="55"/>
      <c r="G61" s="705" t="str">
        <f>summ!F18</f>
        <v>  </v>
      </c>
      <c r="H61" s="485" t="str">
        <f>CONCATENATE("",E1-1," Fund Mill Rate")</f>
        <v>2014 Fund Mill Rate</v>
      </c>
      <c r="I61" s="691"/>
      <c r="J61" s="703"/>
    </row>
    <row r="62" spans="7:10" ht="15.75">
      <c r="G62" s="706">
        <f>summ!I32</f>
        <v>0</v>
      </c>
      <c r="H62" s="485" t="str">
        <f>CONCATENATE("Total ",E1," Mill Rate")</f>
        <v>Total 2015 Mill Rate</v>
      </c>
      <c r="I62" s="691"/>
      <c r="J62" s="703"/>
    </row>
    <row r="63" spans="2:10" ht="15.75">
      <c r="B63" s="12"/>
      <c r="G63" s="705">
        <f>summ!F32</f>
        <v>0</v>
      </c>
      <c r="H63" s="707" t="str">
        <f>CONCATENATE("Total ",E1-1," Mill Rate")</f>
        <v>Total 2014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Independence Township</v>
      </c>
      <c r="C1" s="579"/>
      <c r="D1" s="580"/>
      <c r="E1" s="581">
        <f>inputPrYr!D5</f>
        <v>2015</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2016</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5.75">
      <c r="B34" s="594" t="s">
        <v>119</v>
      </c>
      <c r="C34" s="634">
        <f>C21-C33</f>
        <v>0</v>
      </c>
      <c r="D34" s="634">
        <f>D21-D33</f>
        <v>0</v>
      </c>
      <c r="E34" s="600" t="s">
        <v>289</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289</v>
      </c>
      <c r="F35" s="639"/>
      <c r="G35" s="640">
        <f>IF(E39&gt;0,E38,E40)</f>
        <v>0</v>
      </c>
      <c r="H35" s="615" t="str">
        <f>CONCATENATE("",E1," Ad Valorem Tax (est.)")</f>
        <v>2015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2015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2016 carryover (est.)</v>
      </c>
      <c r="I39" s="650"/>
      <c r="J39" s="651"/>
    </row>
    <row r="40" spans="2:6" ht="16.5" thickBot="1">
      <c r="B40" s="580"/>
      <c r="C40" s="816" t="str">
        <f>CONCATENATE("Amount of  ",E1-1," Ad Valorem Tax")</f>
        <v>Amount of  2014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2015 Fund Mill Rate</v>
      </c>
      <c r="I43" s="656"/>
      <c r="J43" s="657"/>
    </row>
    <row r="44" spans="2:10" ht="15.75">
      <c r="B44" s="586" t="s">
        <v>10</v>
      </c>
      <c r="C44" s="587" t="s">
        <v>821</v>
      </c>
      <c r="D44" s="588" t="s">
        <v>822</v>
      </c>
      <c r="E44" s="589" t="s">
        <v>823</v>
      </c>
      <c r="F44" s="635"/>
      <c r="G44" s="659" t="str">
        <f>summ!F19</f>
        <v>  </v>
      </c>
      <c r="H44" s="632" t="str">
        <f>CONCATENATE("",E1-1," Fund Mill Rate")</f>
        <v>2014 Fund Mill Rate</v>
      </c>
      <c r="I44" s="656"/>
      <c r="J44" s="657"/>
    </row>
    <row r="45" spans="2:10" ht="15.75">
      <c r="B45" s="660" t="str">
        <f>inputPrYr!B18</f>
        <v>Library</v>
      </c>
      <c r="C45" s="591" t="str">
        <f>CONCATENATE("Actual for ",$E$1-2,"")</f>
        <v>Actual for 2013</v>
      </c>
      <c r="D45" s="592" t="str">
        <f>CONCATENATE("Estimate for ",$E$1-1,"")</f>
        <v>Estimate for 2014</v>
      </c>
      <c r="E45" s="593" t="str">
        <f>CONCATENATE("Year for ",$E$1,"")</f>
        <v>Year for 2015</v>
      </c>
      <c r="F45" s="635"/>
      <c r="G45" s="661">
        <f>summ!I32</f>
        <v>0</v>
      </c>
      <c r="H45" s="632" t="str">
        <f>CONCATENATE("Total ",E1," Mill Rate")</f>
        <v>Total 2015 Mill Rate</v>
      </c>
      <c r="I45" s="656"/>
      <c r="J45" s="657"/>
    </row>
    <row r="46" spans="2:10" ht="15.75">
      <c r="B46" s="594" t="s">
        <v>144</v>
      </c>
      <c r="C46" s="599">
        <v>0</v>
      </c>
      <c r="D46" s="596">
        <f>C74</f>
        <v>0</v>
      </c>
      <c r="E46" s="597">
        <f>D74</f>
        <v>0</v>
      </c>
      <c r="F46" s="635"/>
      <c r="G46" s="659">
        <f>summ!F32</f>
        <v>0</v>
      </c>
      <c r="H46" s="662" t="str">
        <f>CONCATENATE("Total ",E1-1," Mill Rate")</f>
        <v>Total 2014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2016</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5.75">
      <c r="B74" s="594" t="s">
        <v>119</v>
      </c>
      <c r="C74" s="634">
        <f>C61-C73</f>
        <v>0</v>
      </c>
      <c r="D74" s="634">
        <f>D61-D73</f>
        <v>0</v>
      </c>
      <c r="E74" s="600" t="s">
        <v>289</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289</v>
      </c>
      <c r="F75" s="639"/>
      <c r="G75" s="640">
        <f>IF(E79&gt;0,E78,E80)</f>
        <v>0</v>
      </c>
      <c r="H75" s="615" t="str">
        <f>CONCATENATE("",E1," Ad Valorem Tax (est.)")</f>
        <v>2015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2015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2015 Fund Mill Rate</v>
      </c>
      <c r="I83" s="656"/>
      <c r="J83" s="657"/>
    </row>
    <row r="84" spans="7:10" ht="15.75">
      <c r="G84" s="659" t="str">
        <f>summ!F20</f>
        <v>  </v>
      </c>
      <c r="H84" s="632" t="str">
        <f>CONCATENATE("",E1-1," Fund Mill Rate")</f>
        <v>2014 Fund Mill Rate</v>
      </c>
      <c r="I84" s="656"/>
      <c r="J84" s="657"/>
    </row>
    <row r="85" spans="7:10" ht="15.75">
      <c r="G85" s="661">
        <f>summ!I32</f>
        <v>0</v>
      </c>
      <c r="H85" s="632" t="str">
        <f>CONCATENATE("Total ",E1," Mill Rate")</f>
        <v>Total 2015 Mill Rate</v>
      </c>
      <c r="I85" s="656"/>
      <c r="J85" s="657"/>
    </row>
    <row r="86" spans="7:10" ht="15.75">
      <c r="G86" s="659">
        <f>summ!F32</f>
        <v>0</v>
      </c>
      <c r="H86" s="662" t="str">
        <f>CONCATENATE("Total ",E1-1," Mill Rate")</f>
        <v>Total 2014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Independence Township</v>
      </c>
      <c r="C1" s="14"/>
      <c r="D1" s="14"/>
      <c r="E1" s="15">
        <f>inputPrYr!D5</f>
        <v>2015</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2015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2016</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119</v>
      </c>
      <c r="C44" s="382">
        <f>C24-C43</f>
        <v>0</v>
      </c>
      <c r="D44" s="382">
        <f>D24-D43</f>
        <v>0</v>
      </c>
      <c r="E44" s="33" t="s">
        <v>289</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289</v>
      </c>
      <c r="F45" s="50"/>
      <c r="G45" s="488">
        <f>IF(D49&gt;0,E48,E50)</f>
        <v>0</v>
      </c>
      <c r="H45" s="487" t="str">
        <f>CONCATENATE("",E1," Ad Valorem Tax (est.)")</f>
        <v>2015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624</v>
      </c>
      <c r="D49" s="689">
        <f>inputOth!$E$40</f>
        <v>0</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c r="D55" s="14"/>
      <c r="E55" s="14"/>
      <c r="G55" s="706">
        <f>summ!I32</f>
        <v>0</v>
      </c>
      <c r="H55" s="485" t="str">
        <f>CONCATENATE("Total ",E1," Mill Rate")</f>
        <v>Total 2015 Mill Rate</v>
      </c>
      <c r="I55" s="691"/>
      <c r="J55" s="703"/>
    </row>
    <row r="56" spans="2:10" ht="15.75">
      <c r="B56" s="72" t="s">
        <v>33</v>
      </c>
      <c r="C56" s="132"/>
      <c r="D56" s="14"/>
      <c r="E56" s="14"/>
      <c r="G56" s="705">
        <f>summ!F32</f>
        <v>0</v>
      </c>
      <c r="H56" s="707" t="str">
        <f>CONCATENATE("Total ",E1-1," Mill Rate")</f>
        <v>Total 2014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6">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Independence Township</v>
      </c>
      <c r="C1" s="22" t="s">
        <v>35</v>
      </c>
      <c r="D1" s="14"/>
      <c r="E1" s="15">
        <f>inputPrYr!D5</f>
        <v>2015</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inputOth!B50</f>
        <v>0</v>
      </c>
      <c r="D35" s="161">
        <f>inputPrYr!D20</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2015 Fund Mill Rate</v>
      </c>
      <c r="I43" s="656"/>
      <c r="J43" s="657"/>
      <c r="K43" s="582"/>
    </row>
    <row r="44" spans="2:11" ht="15.75">
      <c r="B44" s="14"/>
      <c r="C44" s="385" t="s">
        <v>11</v>
      </c>
      <c r="D44" s="388" t="s">
        <v>12</v>
      </c>
      <c r="E44" s="23" t="s">
        <v>13</v>
      </c>
      <c r="G44" s="659" t="str">
        <f>summ!F22</f>
        <v>  </v>
      </c>
      <c r="H44" s="632" t="str">
        <f>CONCATENATE("",E1-1," Fund Mill Rate")</f>
        <v>2014 Fund Mill Rate</v>
      </c>
      <c r="I44" s="656"/>
      <c r="J44" s="657"/>
      <c r="K44" s="582"/>
    </row>
    <row r="45" spans="2:11" ht="15.75">
      <c r="B45" s="477" t="str">
        <f>inputPrYr!B21</f>
        <v>Fire Protection</v>
      </c>
      <c r="C45" s="386" t="str">
        <f>C5</f>
        <v>Actual for 2013</v>
      </c>
      <c r="D45" s="386" t="str">
        <f>D5</f>
        <v>Estimate for 2014</v>
      </c>
      <c r="E45" s="26" t="str">
        <f>E5</f>
        <v>Year for 2015</v>
      </c>
      <c r="G45" s="661">
        <f>summ!I32</f>
        <v>0</v>
      </c>
      <c r="H45" s="632" t="str">
        <f>CONCATENATE("Total ",E1," Mill Rate")</f>
        <v>Total 2015 Mill Rate</v>
      </c>
      <c r="I45" s="656"/>
      <c r="J45" s="657"/>
      <c r="K45" s="582"/>
    </row>
    <row r="46" spans="2:11" ht="15.75">
      <c r="B46" s="27" t="s">
        <v>118</v>
      </c>
      <c r="C46" s="29"/>
      <c r="D46" s="387">
        <f>C74</f>
        <v>0</v>
      </c>
      <c r="E46" s="32">
        <f>D74</f>
        <v>0</v>
      </c>
      <c r="G46" s="659">
        <f>summ!F32</f>
        <v>0</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2015 Fund Mill Rate</v>
      </c>
      <c r="I83" s="656"/>
      <c r="J83" s="657"/>
      <c r="K83" s="582"/>
    </row>
    <row r="84" spans="7:11" ht="15.75">
      <c r="G84" s="659" t="str">
        <f>summ!F23</f>
        <v>  </v>
      </c>
      <c r="H84" s="632" t="str">
        <f>CONCATENATE("",E1-1," Fund Mill Rate")</f>
        <v>2014 Fund Mill Rate</v>
      </c>
      <c r="I84" s="656"/>
      <c r="J84" s="657"/>
      <c r="K84" s="582"/>
    </row>
    <row r="85" spans="7:11" ht="15.75">
      <c r="G85" s="661">
        <f>summ!I32</f>
        <v>0</v>
      </c>
      <c r="H85" s="632" t="str">
        <f>CONCATENATE("Total ",E1," Mill Rate")</f>
        <v>Total 2015 Mill Rate</v>
      </c>
      <c r="I85" s="656"/>
      <c r="J85" s="657"/>
      <c r="K85" s="582"/>
    </row>
    <row r="86" spans="7:11" ht="15.75">
      <c r="G86" s="659">
        <f>summ!F32</f>
        <v>0</v>
      </c>
      <c r="H86" s="662" t="str">
        <f>CONCATENATE("Total ",E1-1," Mill Rate")</f>
        <v>Total 2014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Independence Township</v>
      </c>
      <c r="C1" s="14"/>
      <c r="D1" s="14"/>
      <c r="E1" s="15">
        <f>inputPrYr!D5</f>
        <v>2015</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2015 Fund Mill Rate</v>
      </c>
      <c r="I43" s="656"/>
      <c r="J43" s="657"/>
      <c r="K43" s="582"/>
    </row>
    <row r="44" spans="2:11" ht="15.75">
      <c r="B44" s="14"/>
      <c r="C44" s="385" t="s">
        <v>11</v>
      </c>
      <c r="D44" s="388" t="s">
        <v>12</v>
      </c>
      <c r="E44" s="23" t="s">
        <v>13</v>
      </c>
      <c r="G44" s="659" t="str">
        <f>summ!F24</f>
        <v>  </v>
      </c>
      <c r="H44" s="632" t="str">
        <f>CONCATENATE("",E1-1," Fund Mill Rate")</f>
        <v>2014 Fund Mill Rate</v>
      </c>
      <c r="I44" s="656"/>
      <c r="J44" s="657"/>
      <c r="K44" s="582"/>
    </row>
    <row r="45" spans="2:11" ht="15.75">
      <c r="B45" s="477">
        <f>inputPrYr!B23</f>
        <v>0</v>
      </c>
      <c r="C45" s="386" t="str">
        <f>C5</f>
        <v>Actual for 2013</v>
      </c>
      <c r="D45" s="386" t="str">
        <f>D5</f>
        <v>Estimate for 2014</v>
      </c>
      <c r="E45" s="26" t="str">
        <f>E5</f>
        <v>Year for 2015</v>
      </c>
      <c r="G45" s="661">
        <f>summ!I32</f>
        <v>0</v>
      </c>
      <c r="H45" s="632" t="str">
        <f>CONCATENATE("Total ",E1," Mill Rate")</f>
        <v>Total 2015 Mill Rate</v>
      </c>
      <c r="I45" s="656"/>
      <c r="J45" s="657"/>
      <c r="K45" s="582"/>
    </row>
    <row r="46" spans="2:11" ht="15.75">
      <c r="B46" s="27" t="s">
        <v>118</v>
      </c>
      <c r="C46" s="29"/>
      <c r="D46" s="387">
        <f>C74</f>
        <v>0</v>
      </c>
      <c r="E46" s="32">
        <f>D74</f>
        <v>0</v>
      </c>
      <c r="G46" s="659">
        <f>summ!F32</f>
        <v>0</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2015 Fund Mill Rate</v>
      </c>
      <c r="I83" s="656"/>
      <c r="J83" s="657"/>
      <c r="K83" s="582"/>
    </row>
    <row r="84" spans="7:11" ht="15.75">
      <c r="G84" s="659" t="str">
        <f>summ!F25</f>
        <v>  </v>
      </c>
      <c r="H84" s="632" t="str">
        <f>CONCATENATE("",E1-1," Fund Mill Rate")</f>
        <v>2014 Fund Mill Rate</v>
      </c>
      <c r="I84" s="656"/>
      <c r="J84" s="657"/>
      <c r="K84" s="582"/>
    </row>
    <row r="85" spans="7:11" ht="15.75">
      <c r="G85" s="661">
        <f>summ!I32</f>
        <v>0</v>
      </c>
      <c r="H85" s="632" t="str">
        <f>CONCATENATE("Total ",E1," Mill Rate")</f>
        <v>Total 2015 Mill Rate</v>
      </c>
      <c r="I85" s="656"/>
      <c r="J85" s="657"/>
      <c r="K85" s="582"/>
    </row>
    <row r="86" spans="7:11" ht="15.75">
      <c r="G86" s="659">
        <f>summ!F32</f>
        <v>0</v>
      </c>
      <c r="H86" s="662" t="str">
        <f>CONCATENATE("Total ",E1-1," Mill Rate")</f>
        <v>Total 2014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Independence Township</v>
      </c>
      <c r="C1" s="14"/>
      <c r="D1" s="14"/>
      <c r="E1" s="15">
        <f>inputPrYr!D5</f>
        <v>2015</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2016</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2015 Fund Mill Rate</v>
      </c>
      <c r="I43" s="656"/>
      <c r="J43" s="657"/>
      <c r="K43" s="582"/>
    </row>
    <row r="44" spans="2:11" ht="15.75">
      <c r="B44" s="14"/>
      <c r="C44" s="385" t="s">
        <v>11</v>
      </c>
      <c r="D44" s="388" t="s">
        <v>12</v>
      </c>
      <c r="E44" s="23" t="s">
        <v>13</v>
      </c>
      <c r="G44" s="659" t="str">
        <f>summ!F26</f>
        <v>  </v>
      </c>
      <c r="H44" s="632" t="str">
        <f>CONCATENATE("",E1-1," Fund Mill Rate")</f>
        <v>2014 Fund Mill Rate</v>
      </c>
      <c r="I44" s="656"/>
      <c r="J44" s="657"/>
      <c r="K44" s="582"/>
    </row>
    <row r="45" spans="2:11" ht="15.75">
      <c r="B45" s="477">
        <f>inputPrYr!B25</f>
        <v>0</v>
      </c>
      <c r="C45" s="386" t="str">
        <f>C5</f>
        <v>Actual for 2013</v>
      </c>
      <c r="D45" s="386" t="str">
        <f>D5</f>
        <v>Estimate for 2014</v>
      </c>
      <c r="E45" s="26" t="str">
        <f>E5</f>
        <v>Year for 2015</v>
      </c>
      <c r="G45" s="661">
        <f>summ!I32</f>
        <v>0</v>
      </c>
      <c r="H45" s="632" t="str">
        <f>CONCATENATE("Total ",E1," Mill Rate")</f>
        <v>Total 2015 Mill Rate</v>
      </c>
      <c r="I45" s="656"/>
      <c r="J45" s="657"/>
      <c r="K45" s="582"/>
    </row>
    <row r="46" spans="2:11" ht="15.75">
      <c r="B46" s="27" t="s">
        <v>118</v>
      </c>
      <c r="C46" s="29"/>
      <c r="D46" s="387">
        <f>C74</f>
        <v>0</v>
      </c>
      <c r="E46" s="32">
        <f>D74</f>
        <v>0</v>
      </c>
      <c r="G46" s="659">
        <f>summ!F32</f>
        <v>0</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2016</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2015 Fund Mill Rate</v>
      </c>
      <c r="I83" s="656"/>
      <c r="J83" s="657"/>
      <c r="K83" s="582"/>
    </row>
    <row r="84" spans="7:11" ht="15.75">
      <c r="G84" s="659" t="str">
        <f>summ!F27</f>
        <v>  </v>
      </c>
      <c r="H84" s="632" t="str">
        <f>CONCATENATE("",E1-1," Fund Mill Rate")</f>
        <v>2014 Fund Mill Rate</v>
      </c>
      <c r="I84" s="656"/>
      <c r="J84" s="657"/>
      <c r="K84" s="582"/>
    </row>
    <row r="85" spans="7:11" ht="15.75">
      <c r="G85" s="661">
        <f>summ!I32</f>
        <v>0</v>
      </c>
      <c r="H85" s="632" t="str">
        <f>CONCATENATE("Total ",E1," Mill Rate")</f>
        <v>Total 2015 Mill Rate</v>
      </c>
      <c r="I85" s="656"/>
      <c r="J85" s="657"/>
      <c r="K85" s="582"/>
    </row>
    <row r="86" spans="7:11" ht="15.75">
      <c r="G86" s="659">
        <f>summ!F32</f>
        <v>0</v>
      </c>
      <c r="H86" s="662" t="str">
        <f>CONCATENATE("Total ",E1-1," Mill Rate")</f>
        <v>Total 2014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Independence Township</v>
      </c>
      <c r="C1" s="14"/>
      <c r="D1" s="14"/>
      <c r="E1" s="15">
        <f>inputPrYr!D5</f>
        <v>2015</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Independence Township</v>
      </c>
      <c r="B1" s="89"/>
      <c r="C1" s="90"/>
      <c r="D1" s="90"/>
      <c r="E1" s="90"/>
      <c r="F1" s="91" t="s">
        <v>325</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946</v>
      </c>
      <c r="E2" s="19"/>
    </row>
    <row r="3" spans="1:5" ht="15.75">
      <c r="A3" s="68" t="s">
        <v>225</v>
      </c>
      <c r="B3" s="14"/>
      <c r="C3" s="14"/>
      <c r="D3" s="378" t="s">
        <v>941</v>
      </c>
      <c r="E3" s="19"/>
    </row>
    <row r="4" spans="1:5" ht="15.75">
      <c r="A4" s="14"/>
      <c r="B4" s="14"/>
      <c r="C4" s="14"/>
      <c r="D4" s="14"/>
      <c r="E4" s="14"/>
    </row>
    <row r="5" spans="1:5" ht="15.75">
      <c r="A5" s="17" t="s">
        <v>146</v>
      </c>
      <c r="B5" s="14"/>
      <c r="C5" s="14"/>
      <c r="D5" s="306">
        <v>2015</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315</v>
      </c>
      <c r="B14" s="310"/>
      <c r="C14" s="49"/>
      <c r="D14" s="311">
        <f>$D$5-1</f>
        <v>2014</v>
      </c>
      <c r="E14" s="312">
        <f>$D$5-2</f>
        <v>2013</v>
      </c>
      <c r="G14" s="171" t="s">
        <v>758</v>
      </c>
      <c r="H14" s="179" t="s">
        <v>29</v>
      </c>
    </row>
    <row r="15" spans="1:8" ht="15.75">
      <c r="A15" s="22" t="s">
        <v>271</v>
      </c>
      <c r="B15" s="14"/>
      <c r="C15" s="313" t="s">
        <v>270</v>
      </c>
      <c r="D15" s="314" t="s">
        <v>342</v>
      </c>
      <c r="E15" s="315" t="s">
        <v>16</v>
      </c>
      <c r="G15" s="177" t="str">
        <f>CONCATENATE("",E14," Ad Valorem Tax")</f>
        <v>2013 Ad Valorem Tax</v>
      </c>
      <c r="H15" s="731">
        <v>0</v>
      </c>
    </row>
    <row r="16" spans="1:7" ht="15.75">
      <c r="A16" s="14"/>
      <c r="B16" s="72" t="s">
        <v>272</v>
      </c>
      <c r="C16" s="161" t="s">
        <v>273</v>
      </c>
      <c r="D16" s="187">
        <v>575</v>
      </c>
      <c r="E16" s="187">
        <v>0</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942</v>
      </c>
      <c r="C20" s="380" t="s">
        <v>943</v>
      </c>
      <c r="D20" s="187"/>
      <c r="E20" s="187"/>
      <c r="G20" s="32">
        <f>IF(H15&gt;0,ROUND(E20-(E20*H15),0),0)</f>
        <v>0</v>
      </c>
    </row>
    <row r="21" spans="1:7" ht="15.75">
      <c r="A21" s="14"/>
      <c r="B21" s="187" t="s">
        <v>944</v>
      </c>
      <c r="C21" s="391" t="s">
        <v>945</v>
      </c>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575</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0</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Hall</v>
      </c>
      <c r="C46" s="14"/>
      <c r="D46" s="322"/>
      <c r="E46" s="14"/>
    </row>
    <row r="47" spans="1:5" ht="15.75">
      <c r="A47" s="14"/>
      <c r="B47" s="72" t="str">
        <f t="shared" si="0"/>
        <v>Fire Protection</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0</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0</v>
      </c>
    </row>
    <row r="55" spans="1:5" ht="15.75">
      <c r="A55" s="327" t="str">
        <f>CONCATENATE("Assessed Valuation (",D5-2," budget column)")</f>
        <v>Assessed Valuation (2013 budget column)</v>
      </c>
      <c r="B55" s="328"/>
      <c r="C55" s="267"/>
      <c r="D55" s="28"/>
      <c r="E55" s="187">
        <v>32145397</v>
      </c>
    </row>
    <row r="56" spans="1:5" ht="15.75">
      <c r="A56" s="274"/>
      <c r="B56" s="19"/>
      <c r="C56" s="19"/>
      <c r="D56" s="19"/>
      <c r="E56" s="284"/>
    </row>
    <row r="57" spans="1:5" ht="15.75">
      <c r="A57" s="14"/>
      <c r="B57" s="14"/>
      <c r="C57" s="14"/>
      <c r="D57" s="14"/>
      <c r="E57" s="55"/>
    </row>
    <row r="58" spans="1:5" ht="15.75">
      <c r="A58" s="293" t="s">
        <v>201</v>
      </c>
      <c r="B58" s="293"/>
      <c r="C58" s="129"/>
      <c r="D58" s="329">
        <f>D5-3</f>
        <v>2012</v>
      </c>
      <c r="E58" s="329">
        <f>D5-2</f>
        <v>2013</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0">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Independence Township</v>
      </c>
      <c r="C5" s="766"/>
      <c r="D5" s="766"/>
      <c r="E5" s="766"/>
      <c r="F5" s="766"/>
      <c r="G5" s="766"/>
      <c r="H5" s="766"/>
      <c r="I5" s="766"/>
    </row>
    <row r="6" spans="2:9" ht="15.75">
      <c r="B6" s="766" t="str">
        <f>inputPrYr!D3</f>
        <v>Montgomery County</v>
      </c>
      <c r="C6" s="766"/>
      <c r="D6" s="766"/>
      <c r="E6" s="766"/>
      <c r="F6" s="766"/>
      <c r="G6" s="766"/>
      <c r="H6" s="766"/>
      <c r="I6" s="766"/>
    </row>
    <row r="7" spans="2:9" ht="15.75">
      <c r="B7" s="764" t="str">
        <f>CONCATENATE("will meet on ",inputBudSum!B8," at ",inputBudSum!B10," at ",inputBudSum!B12," for the purpose of hearing and")</f>
        <v>will meet on August 14, 2014 at 9:00 AM at Bill Padley Residence, 440 58 Road, Independence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Courthouse, Independence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70" t="str">
        <f>CONCATENATE("Amount of ",I1-1," Ad Valorem Tax")</f>
        <v>Amount of 2014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217</v>
      </c>
      <c r="D18" s="524" t="str">
        <f>IF(inputPrYr!D42&gt;0,inputPrYr!D42,"  ")</f>
        <v>  </v>
      </c>
      <c r="E18" s="32">
        <f>IF(gen!$D$50&lt;&gt;0,gen!$D$50,"  ")</f>
        <v>550</v>
      </c>
      <c r="F18" s="235" t="str">
        <f>IF(inputOth!D17&gt;0,inputOth!D17,"  ")</f>
        <v>  </v>
      </c>
      <c r="G18" s="32">
        <f>IF(gen!$E$50&lt;&gt;0,gen!$E$50,"  ")</f>
        <v>575</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2015</v>
      </c>
      <c r="L21" s="838"/>
      <c r="M21" s="838"/>
      <c r="N21" s="839"/>
    </row>
    <row r="22" spans="2:14" ht="15.75">
      <c r="B22" s="85" t="str">
        <f>IF(inputPrYr!$B20&gt;"  ",inputPrYr!$B20,"  ")</f>
        <v>Hall</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Fire Protection</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30776</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2014?</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0</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217</v>
      </c>
      <c r="D32" s="478">
        <f t="shared" si="0"/>
        <v>0</v>
      </c>
      <c r="E32" s="527">
        <f t="shared" si="0"/>
        <v>550</v>
      </c>
      <c r="F32" s="478">
        <f t="shared" si="0"/>
        <v>0</v>
      </c>
      <c r="G32" s="527">
        <f t="shared" si="0"/>
        <v>575</v>
      </c>
      <c r="H32" s="527">
        <f t="shared" si="0"/>
        <v>0</v>
      </c>
      <c r="I32" s="530">
        <f t="shared" si="0"/>
        <v>0</v>
      </c>
      <c r="K32" s="833" t="str">
        <f>CONCATENATE("Impact On Keeping The Same Mill Rate As For ",I1-1,"")</f>
        <v>Impact On Keeping The Same Mill Rate As For 2014</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217</v>
      </c>
      <c r="D34" s="14"/>
      <c r="E34" s="528">
        <f>E32-E33</f>
        <v>550</v>
      </c>
      <c r="F34" s="14"/>
      <c r="G34" s="528">
        <f>G32-G33</f>
        <v>575</v>
      </c>
      <c r="H34" s="14"/>
      <c r="I34" s="14"/>
      <c r="K34" s="507" t="str">
        <f>CONCATENATE("",I1," Ad Valorem Tax Revenue:")</f>
        <v>2015 Ad Valorem Tax Revenue:</v>
      </c>
      <c r="L34" s="501"/>
      <c r="M34" s="501"/>
      <c r="N34" s="502">
        <f>H32</f>
        <v>0</v>
      </c>
    </row>
    <row r="35" spans="2:14" ht="16.5" thickTop="1">
      <c r="B35" s="274" t="s">
        <v>46</v>
      </c>
      <c r="C35" s="529">
        <f>inputPrYr!E54</f>
        <v>0</v>
      </c>
      <c r="D35" s="61"/>
      <c r="E35" s="529">
        <f>inputPrYr!E26</f>
        <v>0</v>
      </c>
      <c r="F35" s="14"/>
      <c r="G35" s="520" t="s">
        <v>289</v>
      </c>
      <c r="H35" s="14"/>
      <c r="I35" s="14"/>
      <c r="K35" s="507" t="str">
        <f>CONCATENATE("",I1-1," Ad Valorem Tax Revenue:")</f>
        <v>2014 Ad Valorem Tax Revenue:</v>
      </c>
      <c r="L35" s="501"/>
      <c r="M35" s="501"/>
      <c r="N35" s="515">
        <f>ROUND(G37*N27/1000,0)</f>
        <v>0</v>
      </c>
    </row>
    <row r="36" spans="2:14" ht="15.75">
      <c r="B36" s="274" t="s">
        <v>47</v>
      </c>
      <c r="C36" s="55"/>
      <c r="D36" s="61"/>
      <c r="E36" s="55"/>
      <c r="F36" s="61"/>
      <c r="G36" s="14"/>
      <c r="H36" s="14"/>
      <c r="I36" s="14"/>
      <c r="K36" s="512" t="s">
        <v>717</v>
      </c>
      <c r="L36" s="513"/>
      <c r="M36" s="513"/>
      <c r="N36" s="505">
        <f>N34-N35</f>
        <v>0</v>
      </c>
    </row>
    <row r="37" spans="2:14" ht="15.75">
      <c r="B37" s="274" t="s">
        <v>48</v>
      </c>
      <c r="C37" s="32">
        <f>inputPrYr!E55</f>
        <v>32145397</v>
      </c>
      <c r="D37" s="14"/>
      <c r="E37" s="32">
        <f>inputOth!E29</f>
        <v>30324313</v>
      </c>
      <c r="F37" s="14"/>
      <c r="G37" s="32">
        <f>inputOth!E7</f>
        <v>30776010</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2012</v>
      </c>
      <c r="D39" s="14"/>
      <c r="E39" s="160">
        <f>I1-2</f>
        <v>2013</v>
      </c>
      <c r="F39" s="14"/>
      <c r="G39" s="160">
        <f>I1-1</f>
        <v>2014</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0</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2015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2015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Independence Township</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Independence Township</v>
      </c>
      <c r="B1" s="14"/>
      <c r="C1" s="14"/>
      <c r="D1" s="14"/>
      <c r="E1" s="14"/>
      <c r="F1" s="14">
        <f>inputPrYr!D5</f>
        <v>2015</v>
      </c>
    </row>
    <row r="2" spans="1:6" ht="15.75">
      <c r="A2" s="14"/>
      <c r="B2" s="14"/>
      <c r="C2" s="14"/>
      <c r="D2" s="14"/>
      <c r="E2" s="14"/>
      <c r="F2" s="14"/>
    </row>
    <row r="3" spans="1:6" ht="15.75">
      <c r="A3" s="14"/>
      <c r="B3" s="769" t="str">
        <f>CONCATENATE("",F1," Neighborhood Revitalization Rebate")</f>
        <v>2015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30776010</v>
      </c>
      <c r="E19" s="14"/>
      <c r="F19" s="129"/>
    </row>
    <row r="20" spans="1:6" ht="15.75">
      <c r="A20" s="14"/>
      <c r="B20" s="14"/>
      <c r="C20" s="14"/>
      <c r="D20" s="14"/>
      <c r="E20" s="14"/>
      <c r="F20" s="129"/>
    </row>
    <row r="21" spans="1:6" ht="15.75">
      <c r="A21" s="14"/>
      <c r="B21" s="842" t="s">
        <v>365</v>
      </c>
      <c r="C21" s="842"/>
      <c r="D21" s="137">
        <f>IF(D19&gt;0,(D19*0.001),"")</f>
        <v>30776.010000000002</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Independence Township </v>
      </c>
      <c r="I6">
        <f>CONCATENATE(I7)</f>
      </c>
    </row>
    <row r="7" spans="1:7" ht="15.75">
      <c r="A7" s="852" t="str">
        <f>CONCATENATE("   with respect to financing the ",inputPrYr!D5," annual budget for ",(inputPrYr!D2)," , ",(inputPrYr!D3)," , Kansas.")</f>
        <v>   with respect to financing the 2015 annual budget for Independence Township , Montgomery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2015 Independence Township budget exceed the amount levied to finance the 2014</v>
      </c>
    </row>
    <row r="12" spans="1:7" ht="15.75">
      <c r="A12" s="848" t="str">
        <f>CONCATENATE((inputPrYr!D2)," Township budget, except with regard to revenue produced and attributable to the taxation of 1) new improvements to real property; 2) increased personal property valuation, other than increased")</f>
        <v>Independence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Independence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Independence Township of Montgomery County, Kansas that is our desire to notify the public of increased property taxes to finance the 2015 Independence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2014 by the Independence Township Board, Montgomery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Independence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2013 'total expenditures' exceed your 2013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2015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2013 budget was amended, did you</v>
      </c>
    </row>
    <row r="26" ht="15.75">
      <c r="A26" s="351" t="s">
        <v>394</v>
      </c>
    </row>
    <row r="27" ht="15.75">
      <c r="A27" s="351"/>
    </row>
    <row r="28" ht="15.75">
      <c r="A28" s="351" t="str">
        <f>CONCATENATE("Next, look to see if any of your ",inputPrYr!D5-2," expenditures can be")</f>
        <v>Next, look to see if any of your 2013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2013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2013 financial records have been closed?</v>
      </c>
    </row>
    <row r="76" ht="15.75">
      <c r="A76" s="351" t="s">
        <v>429</v>
      </c>
    </row>
    <row r="77" ht="15.75">
      <c r="A77" s="351" t="str">
        <f>CONCATENATE("(i.e. an audit for ",inputPrYr!D5-2," has been completed, or the ",inputPrYr!D5)</f>
        <v>(i.e. an audit for 2013 has been completed, or the 2015</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2013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2013 are not closed</v>
      </c>
      <c r="B33" s="351"/>
      <c r="C33" s="351"/>
      <c r="D33" s="351"/>
      <c r="E33" s="351"/>
      <c r="F33" s="351"/>
      <c r="G33" s="351"/>
      <c r="H33" s="351"/>
    </row>
    <row r="34" spans="1:8" ht="15.75">
      <c r="A34" s="351" t="str">
        <f>CONCATENATE("(i.e. an audit has not been completed, or the ",inputPrYr!D5," adopted ")</f>
        <v>(i.e. an audit has not been completed, or the 2015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2014 'total expenditures' exceed your 2014</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2014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2014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2014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2015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2014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2014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2015 'total expenditures' exceed your 2015</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0">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Independence Township</v>
      </c>
      <c r="B1" s="90"/>
      <c r="C1" s="90"/>
      <c r="D1" s="90"/>
      <c r="E1" s="90">
        <f>inputPrYr!D5</f>
        <v>2015</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30776010</v>
      </c>
    </row>
    <row r="8" spans="1:5" ht="15.75">
      <c r="A8" s="22" t="str">
        <f>CONCATENATE("New Improvements for ",E1-1,"")</f>
        <v>New Improvements for 2014</v>
      </c>
      <c r="B8" s="19"/>
      <c r="C8" s="19"/>
      <c r="D8" s="19"/>
      <c r="E8" s="283">
        <v>40316</v>
      </c>
    </row>
    <row r="9" spans="1:5" ht="15.75">
      <c r="A9" s="22" t="str">
        <f>CONCATENATE("Personal Property excluding oil, gas, and mobile homes - ",E1-1,"")</f>
        <v>Personal Property excluding oil, gas, and mobile homes - 2014</v>
      </c>
      <c r="B9" s="19"/>
      <c r="C9" s="19"/>
      <c r="D9" s="19"/>
      <c r="E9" s="283">
        <v>1672698</v>
      </c>
    </row>
    <row r="10" spans="1:5" ht="15.75">
      <c r="A10" s="22" t="str">
        <f>CONCATENATE("Property that has changed in use for ",E1-1,"")</f>
        <v>Property that has changed in use for 2014</v>
      </c>
      <c r="B10" s="19"/>
      <c r="C10" s="19"/>
      <c r="D10" s="19"/>
      <c r="E10" s="283">
        <v>29693</v>
      </c>
    </row>
    <row r="11" spans="1:5" ht="15.75">
      <c r="A11" s="22" t="str">
        <f>CONCATENATE("Personal Property excluding oil, gas, and mobile homes- ",E1-2,"")</f>
        <v>Personal Property excluding oil, gas, and mobile homes- 2013</v>
      </c>
      <c r="B11" s="19"/>
      <c r="C11" s="19"/>
      <c r="D11" s="19"/>
      <c r="E11" s="283">
        <v>2035692</v>
      </c>
    </row>
    <row r="12" spans="1:5" ht="15.75">
      <c r="A12" s="22" t="str">
        <f>CONCATENATE("Gross earnings (intangible) tax estimate for ",E1,"")</f>
        <v>Gross earnings (intangible) tax estimate for 2015</v>
      </c>
      <c r="B12" s="19"/>
      <c r="C12" s="19"/>
      <c r="D12" s="19"/>
      <c r="E12" s="283">
        <v>0</v>
      </c>
    </row>
    <row r="13" spans="1:5" ht="15.75">
      <c r="A13" s="22" t="str">
        <f>CONCATENATE("Neighborhood Revitalization - ",E1,"")</f>
        <v>Neighborhood Revitalization - 2015</v>
      </c>
      <c r="B13" s="19"/>
      <c r="C13" s="19"/>
      <c r="D13" s="19"/>
      <c r="E13" s="283">
        <v>0</v>
      </c>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285</v>
      </c>
      <c r="B16" s="756"/>
      <c r="C16" s="90"/>
      <c r="D16" s="287" t="s">
        <v>3</v>
      </c>
      <c r="E16" s="286"/>
    </row>
    <row r="17" spans="1:5" ht="15.75">
      <c r="A17" s="71" t="str">
        <f>inputPrYr!B16</f>
        <v>General</v>
      </c>
      <c r="B17" s="20"/>
      <c r="C17" s="19"/>
      <c r="D17" s="288">
        <v>0</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Hall</v>
      </c>
      <c r="B21" s="267"/>
      <c r="C21" s="19"/>
      <c r="D21" s="289"/>
      <c r="E21" s="286"/>
    </row>
    <row r="22" spans="1:5" ht="15.75">
      <c r="A22" s="71" t="str">
        <f>inputPrYr!B21</f>
        <v>Fire Protection</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30324313</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159</v>
      </c>
      <c r="B32" s="20"/>
      <c r="C32" s="20"/>
      <c r="D32" s="295"/>
      <c r="E32" s="34">
        <v>0</v>
      </c>
    </row>
    <row r="33" spans="1:5" ht="15.75">
      <c r="A33" s="296" t="s">
        <v>276</v>
      </c>
      <c r="B33" s="267"/>
      <c r="C33" s="267"/>
      <c r="D33" s="31"/>
      <c r="E33" s="34">
        <v>0</v>
      </c>
    </row>
    <row r="34" spans="1:5" ht="15.75">
      <c r="A34" s="296" t="s">
        <v>160</v>
      </c>
      <c r="B34" s="267"/>
      <c r="C34" s="267"/>
      <c r="D34" s="31"/>
      <c r="E34" s="34">
        <v>0</v>
      </c>
    </row>
    <row r="35" spans="1:5" ht="15.75">
      <c r="A35" s="296" t="s">
        <v>161</v>
      </c>
      <c r="B35" s="267"/>
      <c r="C35" s="267"/>
      <c r="D35" s="31"/>
      <c r="E35" s="34">
        <v>0</v>
      </c>
    </row>
    <row r="36" spans="1:5" ht="15.75">
      <c r="A36" s="296" t="s">
        <v>100</v>
      </c>
      <c r="B36" s="20"/>
      <c r="C36" s="20"/>
      <c r="D36" s="295"/>
      <c r="E36" s="34">
        <v>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2012 Tax - (rate .01213 = 1.213%, key in 1.2)</v>
      </c>
      <c r="B39" s="20"/>
      <c r="C39" s="20"/>
      <c r="D39" s="259"/>
      <c r="E39" s="730">
        <v>0.0179</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2013 Budget Certificate Page</v>
      </c>
      <c r="B43" s="758"/>
      <c r="C43" s="140"/>
      <c r="D43" s="140"/>
      <c r="E43" s="140"/>
    </row>
    <row r="44" spans="1:5" ht="15.75">
      <c r="A44" s="300"/>
      <c r="B44" s="300" t="str">
        <f>CONCATENATE("",E1-2," Expenditure Amounts")</f>
        <v>2013 Expenditure Amounts</v>
      </c>
      <c r="C44" s="759" t="str">
        <f>CONCATENATE("Note: If the ",E1-2," budget was amended, then the")</f>
        <v>Note: If the 2013 budget was amended, then the</v>
      </c>
      <c r="D44" s="760"/>
      <c r="E44" s="760"/>
    </row>
    <row r="45" spans="1:5" ht="15.75">
      <c r="A45" s="301" t="s">
        <v>207</v>
      </c>
      <c r="B45" s="301" t="s">
        <v>208</v>
      </c>
      <c r="C45" s="302" t="s">
        <v>209</v>
      </c>
      <c r="D45" s="303"/>
      <c r="E45" s="303"/>
    </row>
    <row r="46" spans="1:5" ht="15.75">
      <c r="A46" s="304" t="str">
        <f>inputPrYr!B16</f>
        <v>General</v>
      </c>
      <c r="B46" s="36">
        <v>450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Hall</v>
      </c>
      <c r="B50" s="36"/>
      <c r="C50" s="140"/>
      <c r="D50" s="140"/>
      <c r="E50" s="140"/>
    </row>
    <row r="51" spans="1:5" ht="15.75">
      <c r="A51" s="304" t="str">
        <f>inputPrYr!B21</f>
        <v>Fire Protection</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F22" sqref="F22"/>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946</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4, 2014</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947</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41855</v>
      </c>
    </row>
    <row r="22" spans="1:7" ht="15.75">
      <c r="A22" s="354" t="s">
        <v>373</v>
      </c>
      <c r="B22" s="354" t="s">
        <v>378</v>
      </c>
      <c r="C22" s="354"/>
      <c r="D22" s="354"/>
      <c r="E22" s="354"/>
      <c r="G22" s="714">
        <f>IF(B8="","",MONTH(G21))</f>
        <v>8</v>
      </c>
    </row>
    <row r="23" spans="1:7" ht="15.75">
      <c r="A23" s="354"/>
      <c r="B23" s="354"/>
      <c r="C23" s="354"/>
      <c r="D23" s="354"/>
      <c r="E23" s="354"/>
      <c r="G23" s="715">
        <f>IF(B8="","",DAY(G21))</f>
        <v>4</v>
      </c>
    </row>
    <row r="24" spans="1:7" ht="15.75">
      <c r="A24" s="354" t="s">
        <v>374</v>
      </c>
      <c r="B24" s="354" t="s">
        <v>380</v>
      </c>
      <c r="C24" s="354"/>
      <c r="D24" s="354"/>
      <c r="E24" s="354"/>
      <c r="G24" s="716">
        <f>IF(B8="","",YEAR(G21))</f>
        <v>2014</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0">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2015</v>
      </c>
    </row>
    <row r="2" spans="3:7" s="14" customFormat="1" ht="15.75">
      <c r="C2" s="145"/>
      <c r="D2" s="145"/>
      <c r="E2" s="145"/>
      <c r="F2" s="145"/>
      <c r="G2" s="62"/>
    </row>
    <row r="3" spans="2:8" s="14" customFormat="1" ht="15.75">
      <c r="B3" s="764" t="str">
        <f>CONCATENATE("To the Clerk of ",inputPrYr!D3,", State of Kansas")</f>
        <v>To the Clerk of Montgomery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Independence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2015; and (3) the</v>
      </c>
      <c r="C8" s="765"/>
      <c r="D8" s="765"/>
      <c r="E8" s="765"/>
      <c r="F8" s="765"/>
      <c r="G8" s="765"/>
    </row>
    <row r="9" spans="2:7" s="14" customFormat="1" ht="15.75" customHeight="1">
      <c r="B9" s="764" t="str">
        <f>CONCATENATE("Amount(s) of ",H1-1," Ad Valorem Tax are within statutory limitations for the ",H1," Budget.")</f>
        <v>Amount(s) of 2014 Ad Valorem Tax are within statutory limitations for the 2015 Budget.</v>
      </c>
      <c r="C9" s="765"/>
      <c r="D9" s="765"/>
      <c r="E9" s="765"/>
      <c r="F9" s="765"/>
      <c r="G9" s="765"/>
    </row>
    <row r="10" spans="5:7" s="14" customFormat="1" ht="15.75" customHeight="1">
      <c r="E10" s="66"/>
      <c r="F10" s="66"/>
      <c r="G10" s="66"/>
    </row>
    <row r="11" spans="4:7" s="14" customFormat="1" ht="15.75">
      <c r="D11" s="19"/>
      <c r="E11" s="773" t="str">
        <f>CONCATENATE("",H1," Adopted Budget")</f>
        <v>2015 Adopted Budget</v>
      </c>
      <c r="F11" s="774"/>
      <c r="G11" s="775"/>
    </row>
    <row r="12" spans="2:7" s="14" customFormat="1" ht="15.75">
      <c r="B12" s="22"/>
      <c r="D12" s="66"/>
      <c r="E12" s="255" t="s">
        <v>277</v>
      </c>
      <c r="F12" s="770" t="str">
        <f>CONCATENATE("Amount of ",H1-1," Ad Valorem Tax")</f>
        <v>Amount of 2014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575</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575</v>
      </c>
      <c r="F35" s="724">
        <f>SUM(F21:F30)</f>
        <v>0</v>
      </c>
      <c r="G35" s="725">
        <f>IF(SUM(G21:G30)&gt;0,SUM(G21:G30),"")</f>
      </c>
    </row>
    <row r="36" spans="2:4" s="14" customFormat="1" ht="16.5" thickTop="1">
      <c r="B36" s="27" t="s">
        <v>168</v>
      </c>
      <c r="C36" s="259"/>
      <c r="D36" s="264">
        <f>summ!D49</f>
        <v>7</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2014 Valuation</v>
      </c>
      <c r="D41" s="784"/>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2014</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Independence Township</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2014</v>
      </c>
      <c r="C5" s="14"/>
      <c r="D5" s="14"/>
      <c r="E5" s="55"/>
      <c r="F5" s="55"/>
      <c r="G5" s="55"/>
      <c r="H5" s="246" t="s">
        <v>15</v>
      </c>
      <c r="I5" s="55" t="s">
        <v>2</v>
      </c>
      <c r="J5" s="247">
        <f>inputPrYr!E26</f>
        <v>0</v>
      </c>
    </row>
    <row r="6" spans="1:10" ht="15.75">
      <c r="A6" s="245" t="s">
        <v>81</v>
      </c>
      <c r="B6" s="14" t="str">
        <f>CONCATENATE("Debt Service Levy in ",J1-1,"")</f>
        <v>Debt Service Levy in 2014</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0</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2014:</v>
      </c>
      <c r="C11" s="14"/>
      <c r="D11" s="14"/>
      <c r="E11" s="246"/>
      <c r="F11" s="246" t="s">
        <v>15</v>
      </c>
      <c r="G11" s="247">
        <f>inputOth!E8</f>
        <v>40316</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2014:</v>
      </c>
      <c r="C13" s="14"/>
      <c r="D13" s="14"/>
      <c r="E13" s="246"/>
      <c r="F13" s="246"/>
      <c r="G13" s="53"/>
      <c r="H13" s="53"/>
      <c r="I13" s="55"/>
      <c r="J13" s="55"/>
    </row>
    <row r="14" spans="1:10" ht="15.75">
      <c r="A14" s="14"/>
      <c r="B14" s="14" t="s">
        <v>86</v>
      </c>
      <c r="C14" s="14" t="str">
        <f>CONCATENATE("Personal Property ",J1-1,"")</f>
        <v>Personal Property 2014</v>
      </c>
      <c r="D14" s="245" t="s">
        <v>15</v>
      </c>
      <c r="E14" s="247">
        <f>inputOth!E9</f>
        <v>1672698</v>
      </c>
      <c r="F14" s="246"/>
      <c r="G14" s="55"/>
      <c r="H14" s="55"/>
      <c r="I14" s="53"/>
      <c r="J14" s="55"/>
    </row>
    <row r="15" spans="1:10" ht="15.75">
      <c r="A15" s="245"/>
      <c r="B15" s="14" t="s">
        <v>87</v>
      </c>
      <c r="C15" s="14" t="str">
        <f>CONCATENATE("Personal Property ",J1-2,"")</f>
        <v>Personal Property 2013</v>
      </c>
      <c r="D15" s="245" t="s">
        <v>82</v>
      </c>
      <c r="E15" s="249">
        <f>inputOth!E11</f>
        <v>2035692</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2014:</v>
      </c>
      <c r="C18" s="14"/>
      <c r="D18" s="14"/>
      <c r="E18" s="55"/>
      <c r="F18" s="246" t="s">
        <v>15</v>
      </c>
      <c r="G18" s="247">
        <f>inputOth!E10</f>
        <v>29693</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70009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1,2014</v>
      </c>
      <c r="C22" s="14"/>
      <c r="D22" s="14"/>
      <c r="E22" s="247">
        <f>inputOth!E7</f>
        <v>30776010</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30706001</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0.0022799777802391136</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0</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Independence Township</v>
      </c>
      <c r="C1" s="14"/>
      <c r="D1" s="14"/>
      <c r="E1" s="14"/>
      <c r="F1" s="14"/>
      <c r="G1" s="14"/>
      <c r="H1" s="14"/>
      <c r="I1" s="14"/>
      <c r="J1" s="15">
        <f>inputPrYr!D5</f>
        <v>2015</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Fire Protection</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0</v>
      </c>
      <c r="E21" s="720">
        <f>SUM(E11:E20)</f>
        <v>0</v>
      </c>
      <c r="F21" s="721"/>
      <c r="G21" s="719">
        <f>SUM(G11:G20)</f>
        <v>0</v>
      </c>
      <c r="H21" s="719"/>
      <c r="I21" s="719">
        <f>SUM(I11:I20)</f>
        <v>0</v>
      </c>
      <c r="J21" s="719">
        <f>SUM(J11:J20)</f>
        <v>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Independence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2013</v>
      </c>
      <c r="D9" s="219">
        <f>F1-1</f>
        <v>2014</v>
      </c>
      <c r="E9" s="219">
        <f>F1</f>
        <v>2015</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2014-07-16T16:16:05Z</cp:lastPrinted>
  <dcterms:created xsi:type="dcterms:W3CDTF">1998-08-26T16:30:41Z</dcterms:created>
  <dcterms:modified xsi:type="dcterms:W3CDTF">2014-07-16T16:18:34Z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