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fire" sheetId="12" r:id="rId12"/>
    <sheet name="summ" sheetId="13" r:id="rId13"/>
    <sheet name="Library Grant" sheetId="14" r:id="rId14"/>
    <sheet name="DebtSvs-Library" sheetId="15" r:id="rId15"/>
    <sheet name="road" sheetId="16" r:id="rId16"/>
    <sheet name="levypage10" sheetId="17" r:id="rId17"/>
    <sheet name="levypage11" sheetId="18" r:id="rId18"/>
    <sheet name="nolevypage12" sheetId="19" r:id="rId19"/>
    <sheet name="nonbud" sheetId="20" r:id="rId20"/>
    <sheet name="NonBudFunds"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4">'DebtSvs-Library'!$B$1:$E$83</definedName>
    <definedName name="_xlnm.Print_Area" localSheetId="11">'fire'!$A$1:$E$86</definedName>
    <definedName name="_xlnm.Print_Area" localSheetId="10">'gen'!$B$1:$E$61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3">'Library Grant'!$A$1:$J$40</definedName>
    <definedName name="_xlnm.Print_Area" localSheetId="15">'road'!$B$1:$F$68</definedName>
    <definedName name="_xlnm.Print_Area" localSheetId="12">'summ'!$B$2:$I$49</definedName>
  </definedNames>
  <calcPr fullCalcOnLoad="1"/>
</workbook>
</file>

<file path=xl/sharedStrings.xml><?xml version="1.0" encoding="utf-8"?>
<sst xmlns="http://schemas.openxmlformats.org/spreadsheetml/2006/main" count="1572" uniqueCount="956">
  <si>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</si>
  <si>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</si>
  <si>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</si>
  <si>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</si>
  <si>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</si>
  <si>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</si>
  <si>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</si>
  <si>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</si>
  <si>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</si>
  <si>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</si>
  <si>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</si>
  <si>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</si>
  <si>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</si>
  <si>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</si>
  <si>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</si>
  <si>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</si>
  <si>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</si>
  <si>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</si>
  <si>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</si>
  <si>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</si>
  <si>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</si>
  <si>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</si>
  <si>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</si>
  <si>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</si>
  <si>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</si>
  <si>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</si>
  <si>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</si>
  <si>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</si>
  <si>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</si>
  <si>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</si>
  <si>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</si>
  <si>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</si>
  <si>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</si>
  <si>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</si>
  <si>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</si>
  <si>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</si>
  <si>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</si>
  <si>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</si>
  <si>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</si>
  <si>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</si>
  <si>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</si>
  <si>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</si>
  <si>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</si>
  <si>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</si>
  <si>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</si>
  <si>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</si>
  <si>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</si>
  <si>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</si>
  <si>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</si>
  <si>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</si>
  <si>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</si>
  <si>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</si>
  <si>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</si>
  <si>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</si>
  <si>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</si>
  <si>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</si>
  <si>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</si>
  <si>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</si>
  <si>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</si>
  <si>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</si>
  <si>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</si>
  <si>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</si>
  <si>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</si>
  <si>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</si>
  <si>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</si>
  <si>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</si>
  <si>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</si>
  <si>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</si>
  <si>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</si>
  <si>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</si>
  <si>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</si>
  <si>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</si>
  <si>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</si>
  <si>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</si>
  <si>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</si>
  <si>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</si>
  <si>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</si>
  <si>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</si>
  <si>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</si>
  <si>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</si>
  <si>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</si>
  <si>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</si>
  <si>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</si>
  <si>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</si>
  <si>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</si>
  <si>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</si>
  <si>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</si>
  <si>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</si>
  <si>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</si>
  <si>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</si>
  <si>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</si>
  <si>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</si>
  <si>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</si>
  <si>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</si>
  <si>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</si>
  <si>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</si>
  <si>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</si>
  <si>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</si>
  <si>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</si>
  <si>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</si>
  <si>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</si>
  <si>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</si>
  <si>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</si>
  <si>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</si>
  <si>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</si>
  <si>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</si>
  <si>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</si>
  <si>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</si>
  <si>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</si>
  <si>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</si>
  <si>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</si>
  <si>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</si>
  <si>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</si>
  <si>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</si>
  <si>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</si>
  <si>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</si>
  <si>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</si>
  <si>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</si>
  <si>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</si>
  <si>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</si>
  <si>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</si>
  <si>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</si>
  <si>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</si>
  <si>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</si>
  <si>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</si>
  <si>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</si>
  <si>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</si>
  <si>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</si>
  <si>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</si>
  <si>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</si>
  <si>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</si>
  <si>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</si>
  <si>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</si>
  <si>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</si>
  <si>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</si>
  <si>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</si>
  <si>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</si>
  <si>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</si>
  <si>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</si>
  <si>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</si>
  <si>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</si>
  <si>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</si>
  <si>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</si>
  <si>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</si>
  <si>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</si>
  <si>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</si>
  <si>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</si>
  <si>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</si>
  <si>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</si>
  <si>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</si>
  <si>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</si>
  <si>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</si>
  <si>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</si>
  <si>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</si>
  <si>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</si>
  <si>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</si>
  <si>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</si>
  <si>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</si>
  <si>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</si>
  <si>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</si>
  <si>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</si>
  <si>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</si>
  <si>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</si>
  <si>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</si>
  <si>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</si>
  <si>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</si>
  <si>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</si>
  <si>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</si>
  <si>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</si>
  <si>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</si>
  <si>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</si>
  <si>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</si>
  <si>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</si>
  <si>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</si>
  <si>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</si>
  <si>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</si>
  <si>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</si>
  <si>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</si>
  <si>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</si>
  <si>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</si>
  <si>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</si>
  <si>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</si>
  <si>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</si>
  <si>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</si>
  <si>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</si>
  <si>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</si>
  <si>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</si>
  <si>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</si>
  <si>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</si>
  <si>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</si>
  <si>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</si>
  <si>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</si>
  <si>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</si>
  <si>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</si>
  <si>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</si>
  <si>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</si>
  <si>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</si>
  <si>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</si>
  <si>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</si>
  <si>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</si>
  <si>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</si>
  <si>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</si>
  <si>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</si>
  <si>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</si>
  <si>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</si>
  <si>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</si>
  <si>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</si>
  <si>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</si>
  <si>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</si>
  <si>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</si>
  <si>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</si>
  <si>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</si>
  <si>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</si>
  <si>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</si>
  <si>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</si>
  <si>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</si>
  <si>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</si>
  <si>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</si>
  <si>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</si>
  <si>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</si>
  <si>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</si>
  <si>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</si>
  <si>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</si>
  <si>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</si>
  <si>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</si>
  <si>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</si>
  <si>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</si>
  <si>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</si>
  <si>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</si>
  <si>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</si>
  <si>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</si>
  <si>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</si>
  <si>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</si>
  <si>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</si>
  <si>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</si>
  <si>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</si>
  <si>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</si>
  <si>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</si>
  <si>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</si>
  <si>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</si>
  <si>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</si>
  <si>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</si>
  <si>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</si>
  <si>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</si>
  <si>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</si>
  <si>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</si>
  <si>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</si>
  <si>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</si>
  <si>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</si>
  <si>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</si>
  <si>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</si>
  <si>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</si>
  <si>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</si>
  <si>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</si>
  <si>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</si>
  <si>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</si>
  <si>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</si>
  <si>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</si>
  <si>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</si>
  <si>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</si>
  <si>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</si>
  <si>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</si>
  <si>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</si>
  <si>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</si>
  <si>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</si>
  <si>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</si>
  <si>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</si>
  <si>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</si>
  <si>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</si>
  <si>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</si>
  <si>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</si>
  <si>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</si>
  <si>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</si>
  <si>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</si>
  <si>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</si>
  <si>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</si>
  <si>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</si>
  <si>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</si>
  <si>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</si>
  <si>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</si>
  <si>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</si>
  <si>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</si>
  <si>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</si>
  <si>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</si>
  <si>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</si>
  <si>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</si>
  <si>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</si>
  <si>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</si>
  <si>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</si>
  <si>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</si>
  <si>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</si>
  <si>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</si>
  <si>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</si>
  <si>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</si>
  <si>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</si>
  <si>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</si>
  <si>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</si>
  <si>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</si>
  <si>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</si>
  <si>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</si>
  <si>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</si>
  <si>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</si>
  <si>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</si>
  <si>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</si>
  <si>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</si>
  <si>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</si>
  <si>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</si>
  <si>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</si>
  <si>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</si>
  <si>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</si>
  <si>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</si>
  <si>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</si>
  <si>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</si>
  <si>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</si>
  <si>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</si>
  <si>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</si>
  <si>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</si>
  <si>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</si>
  <si>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</si>
  <si>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</si>
  <si>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</si>
  <si>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</si>
  <si>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</si>
  <si>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</si>
  <si>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</si>
  <si>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</si>
  <si>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</si>
  <si>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</si>
  <si>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</si>
  <si>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</si>
  <si>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</si>
  <si>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</si>
  <si>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</si>
  <si>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</si>
  <si>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</si>
  <si>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</si>
  <si>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</si>
  <si>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</si>
  <si>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</si>
  <si>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</si>
  <si>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</si>
  <si>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</si>
  <si>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</si>
  <si>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</si>
  <si>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</si>
  <si>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</si>
  <si>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</si>
  <si>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</si>
  <si>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</si>
  <si>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</si>
  <si>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</si>
  <si>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</si>
  <si>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</si>
  <si>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</si>
  <si>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</si>
  <si>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</si>
  <si>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</si>
  <si>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</si>
  <si>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</si>
  <si>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</si>
  <si>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</si>
  <si>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</si>
  <si>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</si>
  <si>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</si>
  <si>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</si>
  <si>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</si>
  <si>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</si>
  <si>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</si>
  <si>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</si>
  <si>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</si>
  <si>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</si>
  <si>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</si>
  <si>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</si>
  <si>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</si>
  <si>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</si>
  <si>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</si>
  <si>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</si>
  <si>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</si>
  <si>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</si>
  <si>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</si>
  <si>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</si>
  <si>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</si>
  <si>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</si>
  <si>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</si>
  <si>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</si>
  <si>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</si>
  <si>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</si>
  <si>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</si>
  <si>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</si>
  <si>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</si>
  <si>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</si>
  <si>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</si>
  <si>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</si>
  <si>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</si>
  <si>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</si>
  <si>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</si>
  <si>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</si>
  <si>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</si>
  <si>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</si>
  <si>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</si>
  <si>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</si>
  <si>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</si>
  <si>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</si>
  <si>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</si>
  <si>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</si>
  <si>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</si>
  <si>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</si>
  <si>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</si>
  <si>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</si>
  <si>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</si>
  <si>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</si>
  <si>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</si>
  <si>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</si>
  <si>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</si>
  <si>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</si>
  <si>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</si>
  <si>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</si>
  <si>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</si>
  <si>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</si>
  <si>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</si>
  <si>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</si>
  <si>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</si>
  <si>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</si>
  <si>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</si>
  <si>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</si>
  <si>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</si>
  <si>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</si>
  <si>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</si>
  <si>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</si>
  <si>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</si>
  <si>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</si>
  <si>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</si>
  <si>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</si>
  <si>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</si>
  <si>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</si>
  <si>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</si>
  <si>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</si>
  <si>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</si>
  <si>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</si>
  <si>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</si>
  <si>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</si>
  <si>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</si>
  <si>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</si>
  <si>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</si>
  <si>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</si>
  <si>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</si>
  <si>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</si>
  <si>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</si>
  <si>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</si>
  <si>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</si>
  <si>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</si>
  <si>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</si>
  <si>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</si>
  <si>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</si>
  <si>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</si>
  <si>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</si>
  <si>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</si>
  <si>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</si>
  <si>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</si>
  <si>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</si>
  <si>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</si>
  <si>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</si>
  <si>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</si>
  <si>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</si>
  <si>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</si>
  <si>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</si>
  <si>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</si>
  <si>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</si>
  <si>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</si>
  <si>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</si>
  <si>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</si>
  <si>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</si>
  <si>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</si>
  <si>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</si>
  <si>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</si>
  <si>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</si>
  <si>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</si>
  <si>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</si>
  <si>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</si>
  <si>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</si>
  <si>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</si>
  <si>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</si>
  <si>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</si>
  <si>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</si>
  <si>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</si>
  <si>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</si>
  <si>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</si>
  <si>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</si>
  <si>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</si>
  <si>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</si>
  <si>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</si>
  <si>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</si>
  <si>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</si>
  <si>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</si>
  <si>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</si>
  <si>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</si>
  <si>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</si>
  <si>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</si>
  <si>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</si>
  <si>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</si>
  <si>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</si>
  <si>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</si>
  <si>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</si>
  <si>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</si>
  <si>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</si>
  <si>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</si>
  <si>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</si>
  <si>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</si>
  <si>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</si>
  <si>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</si>
  <si>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</si>
  <si>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</si>
  <si>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</si>
  <si>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</si>
  <si>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</si>
  <si>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</si>
  <si>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</si>
  <si>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</si>
  <si>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</si>
  <si>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</si>
  <si>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</si>
  <si>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</si>
  <si>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</si>
  <si>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</si>
  <si>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</si>
  <si>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</si>
  <si>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</si>
  <si>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</si>
  <si>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</si>
  <si>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</si>
  <si>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</si>
  <si>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</si>
  <si>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</si>
  <si>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</si>
  <si>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</si>
  <si>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</si>
  <si>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</si>
  <si>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</si>
  <si>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</si>
  <si>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</si>
  <si>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</si>
  <si>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</si>
  <si>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</si>
  <si>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</si>
  <si>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</si>
  <si>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</si>
  <si>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</si>
  <si>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</si>
  <si>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</si>
  <si>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</si>
  <si>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</si>
  <si>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</si>
  <si>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</si>
  <si>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</si>
  <si>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</si>
  <si>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</si>
  <si>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</si>
  <si>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</si>
  <si>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</si>
  <si>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</si>
  <si>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</si>
  <si>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</si>
  <si>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</si>
  <si>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</si>
  <si>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</si>
  <si>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</si>
  <si>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</si>
  <si>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</si>
  <si>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</si>
  <si>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</si>
  <si>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</si>
  <si>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</si>
  <si>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</si>
  <si>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</si>
  <si>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</si>
  <si>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</si>
  <si>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</si>
  <si>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</si>
  <si>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</si>
  <si>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</si>
  <si>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</si>
  <si>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</si>
  <si>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</si>
  <si>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</si>
  <si>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</si>
  <si>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</si>
  <si>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</si>
  <si>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</si>
  <si>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</si>
  <si>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</si>
  <si>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</si>
  <si>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</si>
  <si>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</si>
  <si>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</si>
  <si>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</si>
  <si>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</si>
  <si>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</si>
  <si>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</si>
  <si>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</si>
  <si>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</si>
  <si>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</si>
  <si>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</si>
  <si>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</si>
  <si>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</si>
  <si>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</si>
  <si>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</si>
  <si>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</si>
  <si>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</si>
  <si>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</si>
  <si>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</si>
  <si>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</si>
  <si>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</si>
  <si>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</si>
  <si>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</si>
  <si>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</si>
  <si>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</si>
  <si>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</si>
  <si>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</si>
  <si>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</si>
  <si>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</si>
  <si>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</si>
  <si>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</si>
  <si>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</si>
  <si>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</si>
  <si>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</si>
  <si>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</si>
  <si>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</si>
  <si>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</si>
  <si>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</si>
  <si>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</si>
  <si>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</si>
  <si>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</si>
  <si>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</si>
  <si>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</si>
  <si>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</si>
  <si>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</si>
  <si>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</si>
  <si>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</si>
  <si>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</si>
  <si>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</si>
  <si>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</si>
  <si>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</si>
  <si>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</si>
  <si>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</si>
  <si>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</si>
  <si>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</si>
  <si>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</si>
  <si>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</si>
  <si>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</si>
  <si>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</si>
  <si>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</si>
  <si>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</si>
  <si>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</si>
  <si>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</si>
  <si>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</si>
  <si>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</si>
  <si>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</si>
  <si>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</si>
  <si>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</si>
  <si>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</si>
  <si>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</si>
  <si>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</si>
  <si>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</si>
  <si>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</si>
  <si>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</si>
  <si>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</si>
  <si>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</si>
  <si>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</si>
  <si>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</si>
  <si>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</si>
  <si>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</si>
  <si>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</si>
  <si>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</si>
  <si>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</si>
  <si>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</si>
  <si>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</si>
  <si>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</si>
  <si>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</si>
  <si>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</si>
  <si>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</si>
  <si>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</si>
  <si>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</si>
  <si>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</si>
  <si>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</si>
  <si>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</si>
  <si>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</si>
  <si>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</si>
  <si>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</si>
  <si>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</si>
  <si>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</si>
  <si>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</si>
  <si>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</si>
  <si>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</si>
  <si>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</si>
  <si>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</si>
  <si>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</si>
  <si>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</si>
  <si>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</si>
  <si>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</si>
  <si>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</si>
  <si>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</si>
  <si>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</si>
  <si>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</si>
  <si>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</si>
  <si>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</si>
  <si>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</si>
  <si>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</si>
  <si>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</si>
  <si>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</si>
  <si>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</si>
  <si>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</si>
  <si>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</si>
  <si>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</si>
  <si>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</si>
  <si>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</si>
  <si>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</si>
  <si>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</si>
  <si>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</si>
  <si>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</si>
  <si>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</si>
  <si>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</si>
  <si>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</si>
  <si>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</si>
  <si>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</si>
  <si>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</si>
  <si>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</si>
  <si>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</si>
  <si>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</si>
  <si>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</si>
  <si>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</si>
  <si>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</si>
  <si>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</si>
  <si>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</si>
  <si>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</si>
  <si>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</si>
  <si>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</si>
  <si>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</si>
  <si>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</si>
  <si>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</si>
  <si>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</si>
  <si>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</si>
  <si>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</si>
  <si>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</si>
  <si>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</si>
  <si>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</si>
  <si>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</si>
  <si>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</si>
  <si>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</si>
  <si>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</si>
  <si>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</si>
  <si>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</si>
  <si>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</si>
  <si>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</si>
  <si>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</si>
  <si>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</si>
  <si>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</si>
  <si>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</si>
  <si>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</si>
  <si>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</si>
  <si>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</si>
  <si>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</si>
  <si>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</si>
  <si>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</si>
  <si>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</si>
  <si>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</si>
  <si>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</si>
  <si>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</si>
  <si>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</si>
  <si>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</si>
  <si>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</si>
  <si>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</si>
  <si>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</si>
  <si>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</si>
  <si>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</si>
  <si>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</si>
  <si>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</si>
  <si>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</si>
  <si>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</si>
  <si>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</si>
  <si>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</si>
  <si>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</si>
  <si>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</si>
  <si>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</si>
  <si>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</si>
  <si>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</si>
  <si>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</si>
  <si>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</si>
  <si>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</si>
  <si>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</si>
  <si>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</si>
  <si>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</si>
  <si>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</si>
  <si>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</si>
  <si>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</si>
  <si>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</si>
  <si>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</si>
  <si>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</si>
  <si>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</si>
  <si>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</si>
  <si>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</si>
  <si>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</si>
  <si>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</si>
  <si>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</si>
  <si>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</si>
  <si>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</si>
  <si>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</si>
  <si>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</si>
  <si>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</si>
  <si>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</si>
  <si>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</si>
  <si>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</si>
  <si>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</si>
  <si>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</si>
  <si>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</si>
  <si>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</si>
  <si>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</si>
  <si>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</si>
  <si>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</si>
  <si>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</si>
  <si>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</si>
  <si>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</si>
  <si>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</si>
  <si>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</si>
  <si>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</si>
  <si>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</si>
  <si>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</si>
  <si>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</si>
  <si>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</si>
  <si>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</si>
  <si>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</si>
  <si>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</si>
  <si>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</si>
  <si>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</si>
  <si>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</si>
  <si>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</si>
  <si>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</si>
  <si>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</si>
  <si>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</si>
  <si>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</si>
  <si>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</si>
  <si>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</si>
  <si>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</si>
  <si>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</si>
  <si>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</si>
  <si>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</si>
  <si>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</si>
  <si>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</si>
  <si>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</si>
  <si>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</si>
  <si>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</si>
  <si>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</si>
  <si>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</si>
  <si>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</si>
  <si>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</si>
  <si>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</si>
  <si>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</si>
  <si>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</si>
  <si>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</si>
  <si>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</si>
  <si>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</si>
  <si>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</si>
  <si>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</si>
  <si>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</si>
  <si>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</si>
  <si>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</si>
  <si>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</si>
  <si>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</si>
  <si>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</si>
  <si>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</si>
  <si>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</si>
  <si>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</si>
  <si>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</si>
  <si>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</si>
  <si>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</si>
  <si>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</si>
  <si>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</si>
  <si>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</si>
  <si>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</si>
  <si>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</si>
  <si>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</si>
  <si>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</si>
  <si>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</si>
  <si>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</si>
  <si>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</si>
  <si>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</si>
  <si>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</si>
  <si>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</si>
  <si>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</si>
  <si>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</si>
  <si>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</si>
  <si>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</si>
  <si>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</si>
  <si>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</si>
  <si>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</si>
  <si>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</si>
  <si>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</si>
  <si>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</si>
  <si>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</si>
  <si>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</si>
  <si>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</si>
  <si>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</si>
  <si>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</si>
  <si>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</si>
  <si>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</si>
  <si>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</si>
  <si>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</si>
  <si>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</si>
  <si>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</si>
  <si>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</si>
  <si>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</si>
  <si>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</si>
  <si>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</si>
  <si>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</si>
  <si>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</si>
  <si>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</si>
  <si>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</si>
  <si>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</si>
  <si>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</si>
  <si>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</si>
  <si>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</si>
  <si>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</si>
  <si>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</si>
  <si>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</si>
  <si>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</si>
  <si>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</si>
  <si>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</si>
  <si>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</si>
  <si>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</si>
  <si>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</si>
  <si>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</si>
  <si>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</si>
  <si>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</si>
  <si>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</si>
  <si>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</si>
  <si>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</si>
  <si>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The following changes were made to this workbook on 7/15/14</t>
  </si>
  <si>
    <t>1.  Added the ROUND function to cell J38 in the computation tab so result will be a whole number.</t>
  </si>
  <si>
    <t>Wilson County</t>
  </si>
  <si>
    <t>None</t>
  </si>
  <si>
    <t>Guilford Township</t>
  </si>
  <si>
    <t>Fire</t>
  </si>
  <si>
    <t>68-518c</t>
  </si>
  <si>
    <t>Budget Preparation and Publication</t>
  </si>
  <si>
    <t>Other Operating</t>
  </si>
  <si>
    <t>Utilities</t>
  </si>
  <si>
    <t>County Treasurer Balance 1/1</t>
  </si>
  <si>
    <t>County Treasurer Balance 12/31</t>
  </si>
  <si>
    <t>August 15, 2014</t>
  </si>
  <si>
    <t>the Benedict City Hall</t>
  </si>
  <si>
    <t>6:00 p.m.</t>
  </si>
  <si>
    <t>Becky Bockover's residence</t>
  </si>
  <si>
    <t>Township Officer</t>
  </si>
  <si>
    <t>Joseph M Bambick, CPA</t>
  </si>
  <si>
    <t>PO Box 515</t>
  </si>
  <si>
    <t>Fredonia, KS  66736</t>
  </si>
  <si>
    <t>joebambick@twinmounds.com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</si>
</sst>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0" fontId="12" fillId="22" borderId="10" xfId="70" applyFill="1" applyBorder="1" applyAlignment="1" applyProtection="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T28" sqref="T28"/>
    </sheetView>
  </sheetViews>
  <sheetFormatPr defaultColWidth="8.796875" defaultRowHeight="15.75"/>
  <cols>
    <col min="1" max="1" width="81.59765625" style="69" customWidth="1"/>
    <col min="2" max="16384" width="8.796875" style="69" customWidth="1"/>
  </cols>
  <sheetData>
    <row r="1" ht="15.75">
      <c r="A1" s="317" t="s">
        <v>160</v>
      </c>
    </row>
    <row r="3" ht="34.5" customHeight="1">
      <c r="A3" s="718" t="s">
        <v>884</v>
      </c>
    </row>
    <row r="4" ht="15.75">
      <c r="A4" s="319"/>
    </row>
    <row r="5" ht="52.5" customHeight="1">
      <c r="A5" s="316" t="s">
        <v>292</v>
      </c>
    </row>
    <row r="6" ht="15.75">
      <c r="A6" s="316"/>
    </row>
    <row r="7" ht="34.5" customHeight="1">
      <c r="A7" s="316" t="s">
        <v>806</v>
      </c>
    </row>
    <row r="8" ht="15.75">
      <c r="A8" s="316"/>
    </row>
    <row r="9" ht="15.75">
      <c r="A9" s="316" t="s">
        <v>152</v>
      </c>
    </row>
    <row r="12" ht="15.75">
      <c r="A12" s="317" t="s">
        <v>195</v>
      </c>
    </row>
    <row r="13" ht="15.75">
      <c r="A13" s="317"/>
    </row>
    <row r="14" ht="18.75" customHeight="1">
      <c r="A14" s="319" t="s">
        <v>197</v>
      </c>
    </row>
    <row r="16" ht="39" customHeight="1">
      <c r="A16" s="320" t="s">
        <v>323</v>
      </c>
    </row>
    <row r="17" ht="9.75" customHeight="1">
      <c r="A17" s="320"/>
    </row>
    <row r="20" ht="15.75">
      <c r="A20" s="317" t="s">
        <v>153</v>
      </c>
    </row>
    <row r="22" ht="34.5" customHeight="1">
      <c r="A22" s="316" t="s">
        <v>198</v>
      </c>
    </row>
    <row r="23" ht="9.75" customHeight="1">
      <c r="A23" s="316"/>
    </row>
    <row r="24" ht="15.75">
      <c r="A24" s="321" t="s">
        <v>154</v>
      </c>
    </row>
    <row r="25" ht="15.75">
      <c r="A25" s="316"/>
    </row>
    <row r="26" ht="17.25" customHeight="1">
      <c r="A26" s="322" t="s">
        <v>155</v>
      </c>
    </row>
    <row r="27" ht="17.25" customHeight="1">
      <c r="A27" s="323"/>
    </row>
    <row r="28" ht="87.75" customHeight="1">
      <c r="A28" s="324" t="s">
        <v>176</v>
      </c>
    </row>
    <row r="30" ht="15.75">
      <c r="A30" s="325" t="s">
        <v>156</v>
      </c>
    </row>
    <row r="32" ht="15.75">
      <c r="A32" s="110" t="s">
        <v>196</v>
      </c>
    </row>
    <row r="34" ht="15.75">
      <c r="A34" s="316" t="s">
        <v>157</v>
      </c>
    </row>
    <row r="37" ht="15.75">
      <c r="A37" s="317" t="s">
        <v>158</v>
      </c>
    </row>
    <row r="39" ht="68.25" customHeight="1">
      <c r="A39" s="316" t="s">
        <v>876</v>
      </c>
    </row>
    <row r="40" ht="32.25" customHeight="1">
      <c r="A40" s="705" t="s">
        <v>807</v>
      </c>
    </row>
    <row r="41" ht="51.75" customHeight="1">
      <c r="A41" s="706" t="s">
        <v>808</v>
      </c>
    </row>
    <row r="42" ht="88.5" customHeight="1">
      <c r="A42" s="706" t="s">
        <v>810</v>
      </c>
    </row>
    <row r="43" ht="10.5" customHeight="1">
      <c r="A43" s="316"/>
    </row>
    <row r="44" ht="65.25" customHeight="1">
      <c r="A44" s="316" t="s">
        <v>681</v>
      </c>
    </row>
    <row r="45" ht="59.25" customHeight="1">
      <c r="A45" s="316" t="s">
        <v>159</v>
      </c>
    </row>
    <row r="46" ht="84.75" customHeight="1">
      <c r="A46" s="316" t="s">
        <v>235</v>
      </c>
    </row>
    <row r="47" ht="12" customHeight="1">
      <c r="A47" s="316"/>
    </row>
    <row r="48" ht="67.5" customHeight="1">
      <c r="A48" s="707" t="s">
        <v>811</v>
      </c>
    </row>
    <row r="49" ht="69.75" customHeight="1">
      <c r="A49" s="344" t="s">
        <v>560</v>
      </c>
    </row>
    <row r="50" ht="54" customHeight="1">
      <c r="A50" s="708" t="s">
        <v>812</v>
      </c>
    </row>
    <row r="51" ht="12" customHeight="1">
      <c r="A51" s="316"/>
    </row>
    <row r="52" ht="68.25" customHeight="1">
      <c r="A52" s="316" t="s">
        <v>561</v>
      </c>
    </row>
    <row r="53" ht="74.25" customHeight="1">
      <c r="A53" s="705" t="s">
        <v>887</v>
      </c>
    </row>
    <row r="54" ht="45" customHeight="1">
      <c r="A54" s="316" t="s">
        <v>813</v>
      </c>
    </row>
    <row r="55" ht="72" customHeight="1">
      <c r="A55" s="705" t="s">
        <v>934</v>
      </c>
    </row>
    <row r="56" ht="15.75" customHeight="1"/>
    <row r="57" ht="60" customHeight="1">
      <c r="A57" s="705" t="s">
        <v>888</v>
      </c>
    </row>
    <row r="58" ht="120" customHeight="1">
      <c r="A58" s="705" t="s">
        <v>890</v>
      </c>
    </row>
    <row r="59" ht="41.25" customHeight="1">
      <c r="A59" s="705" t="s">
        <v>889</v>
      </c>
    </row>
    <row r="60" ht="15.75">
      <c r="A60" s="316"/>
    </row>
    <row r="61" ht="68.25" customHeight="1">
      <c r="A61" s="705" t="s">
        <v>814</v>
      </c>
    </row>
    <row r="62" ht="15.75">
      <c r="A62" s="316"/>
    </row>
    <row r="63" ht="40.5" customHeight="1">
      <c r="A63" s="316" t="s">
        <v>562</v>
      </c>
    </row>
    <row r="64" ht="34.5" customHeight="1">
      <c r="A64" s="316" t="s">
        <v>569</v>
      </c>
    </row>
    <row r="65" ht="77.25" customHeight="1">
      <c r="A65" s="316" t="s">
        <v>570</v>
      </c>
    </row>
    <row r="66" ht="41.25" customHeight="1">
      <c r="A66" s="316" t="s">
        <v>567</v>
      </c>
    </row>
    <row r="67" ht="41.25" customHeight="1">
      <c r="A67" s="316" t="s">
        <v>568</v>
      </c>
    </row>
    <row r="68" ht="9" customHeight="1">
      <c r="A68" s="316"/>
    </row>
    <row r="69" ht="58.5" customHeight="1">
      <c r="A69" s="316" t="s">
        <v>563</v>
      </c>
    </row>
    <row r="70" ht="9.75" customHeight="1"/>
    <row r="71" s="316" customFormat="1" ht="69" customHeight="1">
      <c r="A71" s="316" t="s">
        <v>564</v>
      </c>
    </row>
    <row r="72" ht="14.25" customHeight="1"/>
    <row r="73" ht="121.5" customHeight="1">
      <c r="A73" s="705" t="s">
        <v>815</v>
      </c>
    </row>
    <row r="74" ht="12" customHeight="1">
      <c r="A74" s="705"/>
    </row>
    <row r="75" ht="70.5" customHeight="1">
      <c r="A75" s="316" t="s">
        <v>816</v>
      </c>
    </row>
    <row r="76" ht="60.75" customHeight="1">
      <c r="A76" s="705" t="s">
        <v>817</v>
      </c>
    </row>
    <row r="77" ht="90.75" customHeight="1">
      <c r="A77" s="508" t="s">
        <v>818</v>
      </c>
    </row>
    <row r="78" ht="60.75" customHeight="1">
      <c r="A78" s="508" t="s">
        <v>819</v>
      </c>
    </row>
    <row r="79" ht="60.75" customHeight="1">
      <c r="A79" s="508" t="s">
        <v>820</v>
      </c>
    </row>
    <row r="80" ht="60" customHeight="1">
      <c r="A80" s="316" t="s">
        <v>823</v>
      </c>
    </row>
    <row r="81" ht="117.75" customHeight="1">
      <c r="A81" s="316" t="s">
        <v>821</v>
      </c>
    </row>
    <row r="82" ht="59.25" customHeight="1">
      <c r="A82" s="316" t="s">
        <v>822</v>
      </c>
    </row>
    <row r="83" ht="84.75" customHeight="1">
      <c r="A83" s="316" t="s">
        <v>824</v>
      </c>
    </row>
    <row r="84" ht="102.75" customHeight="1">
      <c r="A84" s="316" t="s">
        <v>825</v>
      </c>
    </row>
    <row r="85" ht="102.75" customHeight="1">
      <c r="A85" s="326" t="s">
        <v>826</v>
      </c>
    </row>
    <row r="86" ht="54" customHeight="1">
      <c r="A86" s="318" t="s">
        <v>827</v>
      </c>
    </row>
    <row r="87" ht="115.5" customHeight="1">
      <c r="A87" s="316" t="s">
        <v>877</v>
      </c>
    </row>
    <row r="88" ht="78" customHeight="1">
      <c r="A88" s="326" t="s">
        <v>828</v>
      </c>
    </row>
    <row r="89" ht="124.5" customHeight="1">
      <c r="A89" s="326" t="s">
        <v>878</v>
      </c>
    </row>
    <row r="90" ht="138" customHeight="1">
      <c r="A90" s="316" t="s">
        <v>829</v>
      </c>
    </row>
    <row r="91" ht="147" customHeight="1">
      <c r="A91" s="316" t="s">
        <v>830</v>
      </c>
    </row>
    <row r="92" ht="101.25" customHeight="1">
      <c r="A92" s="316" t="s">
        <v>831</v>
      </c>
    </row>
    <row r="94" ht="102.75" customHeight="1">
      <c r="A94" s="316" t="s">
        <v>832</v>
      </c>
    </row>
    <row r="95" ht="89.25" customHeight="1">
      <c r="A95" s="326" t="s">
        <v>833</v>
      </c>
    </row>
    <row r="96" ht="57" customHeight="1">
      <c r="A96" s="326" t="s">
        <v>834</v>
      </c>
    </row>
    <row r="97" ht="20.25" customHeight="1">
      <c r="A97" s="316" t="s">
        <v>835</v>
      </c>
    </row>
    <row r="99" ht="53.25" customHeight="1">
      <c r="A99" s="316" t="s">
        <v>836</v>
      </c>
    </row>
    <row r="100" ht="21" customHeight="1">
      <c r="A100" s="316" t="s">
        <v>837</v>
      </c>
    </row>
    <row r="101" ht="39.75" customHeight="1">
      <c r="A101" s="508" t="s">
        <v>838</v>
      </c>
    </row>
    <row r="102" ht="103.5" customHeight="1">
      <c r="A102" s="508" t="s">
        <v>839</v>
      </c>
    </row>
    <row r="103" ht="114" customHeight="1">
      <c r="A103" s="508" t="s">
        <v>840</v>
      </c>
    </row>
    <row r="104" ht="74.25" customHeight="1">
      <c r="A104" s="709" t="s">
        <v>842</v>
      </c>
    </row>
    <row r="105" ht="51.75" customHeight="1">
      <c r="A105" s="316" t="s">
        <v>841</v>
      </c>
    </row>
    <row r="106" ht="14.25" customHeight="1"/>
    <row r="107" ht="69.75" customHeight="1">
      <c r="A107" s="316" t="s">
        <v>843</v>
      </c>
    </row>
    <row r="109" ht="54" customHeight="1">
      <c r="A109" s="508" t="s">
        <v>844</v>
      </c>
    </row>
    <row r="110" ht="85.5" customHeight="1">
      <c r="A110" s="508" t="s">
        <v>845</v>
      </c>
    </row>
    <row r="111" ht="99" customHeight="1">
      <c r="A111" s="508" t="s">
        <v>846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Guilford Township</v>
      </c>
      <c r="C1" s="156"/>
      <c r="D1" s="156"/>
      <c r="E1" s="156"/>
      <c r="F1" s="156"/>
      <c r="G1" s="156"/>
      <c r="H1" s="156"/>
      <c r="I1" s="156"/>
      <c r="J1" s="3"/>
      <c r="K1" s="3"/>
      <c r="L1" s="4">
        <f>inputPrYr!D5</f>
        <v>2015</v>
      </c>
    </row>
    <row r="2" spans="2:12" ht="15.75">
      <c r="B2" s="155" t="str">
        <f>inputPrYr!$D$3</f>
        <v>Wilson County</v>
      </c>
      <c r="C2" s="156"/>
      <c r="D2" s="156"/>
      <c r="E2" s="156"/>
      <c r="F2" s="156"/>
      <c r="G2" s="156"/>
      <c r="H2" s="156"/>
      <c r="I2" s="156"/>
      <c r="J2" s="3"/>
      <c r="K2" s="3"/>
      <c r="L2" s="41"/>
    </row>
    <row r="3" spans="2:12" ht="15.75">
      <c r="B3" s="158" t="s">
        <v>73</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783</v>
      </c>
      <c r="C5" s="160" t="s">
        <v>53</v>
      </c>
      <c r="D5" s="160" t="s">
        <v>60</v>
      </c>
      <c r="E5" s="160"/>
      <c r="F5" s="160" t="s">
        <v>4</v>
      </c>
      <c r="G5" s="161"/>
      <c r="H5" s="162"/>
      <c r="I5" s="161" t="s">
        <v>54</v>
      </c>
      <c r="J5" s="162"/>
      <c r="K5" s="161" t="s">
        <v>54</v>
      </c>
      <c r="L5" s="162"/>
    </row>
    <row r="6" spans="2:12" ht="15.75">
      <c r="B6" s="163" t="s">
        <v>55</v>
      </c>
      <c r="C6" s="163" t="s">
        <v>55</v>
      </c>
      <c r="D6" s="163" t="s">
        <v>3</v>
      </c>
      <c r="E6" s="163" t="s">
        <v>4</v>
      </c>
      <c r="F6" s="163" t="s">
        <v>112</v>
      </c>
      <c r="G6" s="164" t="s">
        <v>56</v>
      </c>
      <c r="H6" s="165"/>
      <c r="I6" s="164">
        <f>L1-1</f>
        <v>2014</v>
      </c>
      <c r="J6" s="165"/>
      <c r="K6" s="164">
        <f>L1</f>
        <v>2015</v>
      </c>
      <c r="L6" s="165"/>
    </row>
    <row r="7" spans="2:12" ht="15.75">
      <c r="B7" s="166" t="s">
        <v>784</v>
      </c>
      <c r="C7" s="166" t="s">
        <v>57</v>
      </c>
      <c r="D7" s="166" t="s">
        <v>29</v>
      </c>
      <c r="E7" s="166" t="s">
        <v>58</v>
      </c>
      <c r="F7" s="167" t="str">
        <f>CONCATENATE("Jan 1,",L1-1,"")</f>
        <v>Jan 1,2014</v>
      </c>
      <c r="G7" s="168" t="s">
        <v>60</v>
      </c>
      <c r="H7" s="168" t="s">
        <v>61</v>
      </c>
      <c r="I7" s="168" t="s">
        <v>60</v>
      </c>
      <c r="J7" s="168" t="s">
        <v>61</v>
      </c>
      <c r="K7" s="168" t="s">
        <v>60</v>
      </c>
      <c r="L7" s="168" t="s">
        <v>61</v>
      </c>
    </row>
    <row r="8" spans="2:12" ht="15.75">
      <c r="B8" s="169" t="s">
        <v>50</v>
      </c>
      <c r="C8" s="170"/>
      <c r="D8" s="169"/>
      <c r="E8" s="169"/>
      <c r="F8" s="169"/>
      <c r="G8" s="171"/>
      <c r="H8" s="171"/>
      <c r="I8" s="169"/>
      <c r="J8" s="169"/>
      <c r="K8" s="169"/>
      <c r="L8" s="172"/>
    </row>
    <row r="9" spans="2:12" ht="15.75">
      <c r="B9" s="173" t="s">
        <v>938</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130</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131</v>
      </c>
      <c r="C15" s="178"/>
      <c r="D15" s="179"/>
      <c r="E15" s="21"/>
      <c r="F15" s="147">
        <f>SUM(F13:F14)</f>
        <v>0</v>
      </c>
      <c r="G15" s="180"/>
      <c r="H15" s="180"/>
      <c r="I15" s="147">
        <f>SUM(I13:I14)</f>
        <v>0</v>
      </c>
      <c r="J15" s="147">
        <f>SUM(J13:J14)</f>
        <v>0</v>
      </c>
      <c r="K15" s="147">
        <f>SUM(K13:K14)</f>
        <v>0</v>
      </c>
      <c r="L15" s="147">
        <f>SUM(L13:L14)</f>
        <v>0</v>
      </c>
    </row>
    <row r="16" spans="2:12" ht="15.75">
      <c r="B16" s="181" t="s">
        <v>785</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7" t="s">
        <v>72</v>
      </c>
      <c r="C18" s="805"/>
      <c r="D18" s="805"/>
      <c r="E18" s="805"/>
      <c r="F18" s="805"/>
      <c r="G18" s="805"/>
      <c r="H18" s="805"/>
      <c r="I18" s="805"/>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59</v>
      </c>
      <c r="E20" s="144"/>
      <c r="F20" s="160" t="s">
        <v>249</v>
      </c>
      <c r="G20" s="144"/>
      <c r="H20" s="144"/>
      <c r="I20" s="144"/>
      <c r="J20" s="189"/>
      <c r="K20" s="190"/>
      <c r="L20" s="185"/>
    </row>
    <row r="21" spans="2:12" s="186" customFormat="1" ht="15.75">
      <c r="B21" s="191"/>
      <c r="C21" s="163"/>
      <c r="D21" s="163" t="s">
        <v>55</v>
      </c>
      <c r="E21" s="163" t="s">
        <v>60</v>
      </c>
      <c r="F21" s="163" t="s">
        <v>4</v>
      </c>
      <c r="G21" s="163" t="s">
        <v>61</v>
      </c>
      <c r="H21" s="163" t="s">
        <v>62</v>
      </c>
      <c r="I21" s="163" t="s">
        <v>62</v>
      </c>
      <c r="J21" s="185"/>
      <c r="K21" s="185"/>
      <c r="L21" s="185"/>
    </row>
    <row r="22" spans="2:12" s="186" customFormat="1" ht="15.75">
      <c r="B22" s="163" t="s">
        <v>786</v>
      </c>
      <c r="C22" s="163" t="s">
        <v>63</v>
      </c>
      <c r="D22" s="163" t="s">
        <v>64</v>
      </c>
      <c r="E22" s="163" t="s">
        <v>3</v>
      </c>
      <c r="F22" s="163" t="s">
        <v>65</v>
      </c>
      <c r="G22" s="163" t="s">
        <v>105</v>
      </c>
      <c r="H22" s="163" t="s">
        <v>66</v>
      </c>
      <c r="I22" s="163" t="s">
        <v>66</v>
      </c>
      <c r="J22" s="185"/>
      <c r="K22" s="185"/>
      <c r="L22" s="185"/>
    </row>
    <row r="23" spans="2:12" s="186" customFormat="1" ht="15.75">
      <c r="B23" s="166" t="s">
        <v>787</v>
      </c>
      <c r="C23" s="166" t="s">
        <v>53</v>
      </c>
      <c r="D23" s="192" t="s">
        <v>67</v>
      </c>
      <c r="E23" s="166" t="s">
        <v>29</v>
      </c>
      <c r="F23" s="192" t="s">
        <v>113</v>
      </c>
      <c r="G23" s="167" t="str">
        <f>CONCATENATE("Jan 1,",L1-1,"")</f>
        <v>Jan 1,2014</v>
      </c>
      <c r="H23" s="166">
        <f>L1-1</f>
        <v>2014</v>
      </c>
      <c r="I23" s="166">
        <f>L1</f>
        <v>2015</v>
      </c>
      <c r="J23" s="185"/>
      <c r="K23" s="185"/>
      <c r="L23" s="185"/>
    </row>
    <row r="24" spans="2:12" s="186" customFormat="1" ht="15.75">
      <c r="B24" s="173" t="s">
        <v>938</v>
      </c>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249</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219</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48" sqref="E4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Guilford Township</v>
      </c>
      <c r="C1" s="3"/>
      <c r="D1" s="3"/>
      <c r="E1" s="4">
        <f>inputPrYr!D5</f>
        <v>2015</v>
      </c>
    </row>
    <row r="2" spans="2:5" ht="15.75">
      <c r="B2" s="6"/>
      <c r="C2" s="3"/>
      <c r="D2" s="3"/>
      <c r="E2" s="7"/>
    </row>
    <row r="3" spans="2:5" ht="15.75">
      <c r="B3" s="507" t="s">
        <v>680</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108</v>
      </c>
      <c r="C6" s="18">
        <v>4325</v>
      </c>
      <c r="D6" s="364">
        <f>C51</f>
        <v>4253</v>
      </c>
      <c r="E6" s="21">
        <f>D51</f>
        <v>2228</v>
      </c>
    </row>
    <row r="7" spans="2:5" ht="15.75">
      <c r="B7" s="16" t="s">
        <v>110</v>
      </c>
      <c r="C7" s="364"/>
      <c r="D7" s="364"/>
      <c r="E7" s="22"/>
    </row>
    <row r="8" spans="2:5" ht="15.75">
      <c r="B8" s="16" t="s">
        <v>16</v>
      </c>
      <c r="C8" s="18">
        <v>984</v>
      </c>
      <c r="D8" s="364">
        <f>IF(inputPrYr!H15&gt;0,inputPrYr!G16,inputPrYr!E16)</f>
        <v>1013</v>
      </c>
      <c r="E8" s="22" t="s">
        <v>263</v>
      </c>
    </row>
    <row r="9" spans="2:5" ht="15.75">
      <c r="B9" s="16" t="s">
        <v>17</v>
      </c>
      <c r="C9" s="18">
        <v>17</v>
      </c>
      <c r="D9" s="18">
        <v>0</v>
      </c>
      <c r="E9" s="23">
        <v>0</v>
      </c>
    </row>
    <row r="10" spans="2:5" ht="15.75">
      <c r="B10" s="16" t="s">
        <v>18</v>
      </c>
      <c r="C10" s="18">
        <v>68</v>
      </c>
      <c r="D10" s="18">
        <v>70</v>
      </c>
      <c r="E10" s="21">
        <f>mvalloc!G11</f>
        <v>62</v>
      </c>
    </row>
    <row r="11" spans="2:5" ht="15.75">
      <c r="B11" s="16" t="s">
        <v>19</v>
      </c>
      <c r="C11" s="18">
        <v>1</v>
      </c>
      <c r="D11" s="18">
        <v>2</v>
      </c>
      <c r="E11" s="21">
        <f>mvalloc!I11</f>
        <v>1</v>
      </c>
    </row>
    <row r="12" spans="2:5" ht="15.75">
      <c r="B12" s="24" t="s">
        <v>68</v>
      </c>
      <c r="C12" s="18">
        <v>8</v>
      </c>
      <c r="D12" s="18">
        <v>8</v>
      </c>
      <c r="E12" s="21">
        <f>mvalloc!J11</f>
        <v>6</v>
      </c>
    </row>
    <row r="13" spans="2:5" ht="15.75">
      <c r="B13" s="24" t="s">
        <v>135</v>
      </c>
      <c r="C13" s="18">
        <v>0</v>
      </c>
      <c r="D13" s="18">
        <v>0</v>
      </c>
      <c r="E13" s="21">
        <f>inputOth!E35</f>
        <v>0</v>
      </c>
    </row>
    <row r="14" spans="2:5" ht="15.75">
      <c r="B14" s="16" t="s">
        <v>20</v>
      </c>
      <c r="C14" s="18">
        <v>0</v>
      </c>
      <c r="D14" s="18">
        <v>0</v>
      </c>
      <c r="E14" s="21">
        <f>inputOth!E12</f>
        <v>0</v>
      </c>
    </row>
    <row r="15" spans="2:5" ht="15.75">
      <c r="B15" s="26" t="s">
        <v>945</v>
      </c>
      <c r="C15" s="18">
        <v>79</v>
      </c>
      <c r="D15" s="18">
        <v>0</v>
      </c>
      <c r="E15" s="25">
        <v>0</v>
      </c>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v>0</v>
      </c>
      <c r="D23" s="18">
        <v>0</v>
      </c>
      <c r="E23" s="23">
        <v>0</v>
      </c>
    </row>
    <row r="24" spans="2:5" ht="15.75">
      <c r="B24" s="28" t="s">
        <v>186</v>
      </c>
      <c r="C24" s="18">
        <v>0</v>
      </c>
      <c r="D24" s="18">
        <v>0</v>
      </c>
      <c r="E24" s="23">
        <v>0</v>
      </c>
    </row>
    <row r="25" spans="2:5" ht="15.75">
      <c r="B25" s="28" t="s">
        <v>187</v>
      </c>
      <c r="C25" s="361">
        <f>IF(C26*0.1&lt;C24,"Exceed 10% Rule","")</f>
      </c>
      <c r="D25" s="361">
        <f>IF(D26*0.1&lt;D24,"Exceed 10% Rule","")</f>
      </c>
      <c r="E25" s="34">
        <f>IF(E26*0.1+E57&lt;E24,"Exceed 10% Rule","")</f>
      </c>
    </row>
    <row r="26" spans="2:5" ht="15.75">
      <c r="B26" s="30" t="s">
        <v>23</v>
      </c>
      <c r="C26" s="366">
        <f>SUM(C8:C24)</f>
        <v>1157</v>
      </c>
      <c r="D26" s="366">
        <f>SUM(D8:D24)</f>
        <v>1093</v>
      </c>
      <c r="E26" s="31">
        <f>SUM(E8:E24)</f>
        <v>69</v>
      </c>
    </row>
    <row r="27" spans="2:5" ht="15.75">
      <c r="B27" s="32" t="s">
        <v>24</v>
      </c>
      <c r="C27" s="366">
        <f>C26+C6</f>
        <v>5482</v>
      </c>
      <c r="D27" s="366">
        <f>D26+D6</f>
        <v>5346</v>
      </c>
      <c r="E27" s="31">
        <f>E26+E6</f>
        <v>2297</v>
      </c>
    </row>
    <row r="28" spans="2:5" ht="15.75">
      <c r="B28" s="16" t="s">
        <v>25</v>
      </c>
      <c r="C28" s="364"/>
      <c r="D28" s="364"/>
      <c r="E28" s="21"/>
    </row>
    <row r="29" spans="2:5" ht="15.75">
      <c r="B29" s="26" t="s">
        <v>100</v>
      </c>
      <c r="C29" s="18">
        <v>1050</v>
      </c>
      <c r="D29" s="18">
        <v>1100</v>
      </c>
      <c r="E29" s="23">
        <v>1150</v>
      </c>
    </row>
    <row r="30" spans="2:5" ht="15.75">
      <c r="B30" s="27" t="s">
        <v>942</v>
      </c>
      <c r="C30" s="18">
        <v>133</v>
      </c>
      <c r="D30" s="18">
        <v>139</v>
      </c>
      <c r="E30" s="23">
        <v>150</v>
      </c>
    </row>
    <row r="31" spans="2:5" ht="15.75">
      <c r="B31" s="27" t="s">
        <v>943</v>
      </c>
      <c r="C31" s="18">
        <v>46</v>
      </c>
      <c r="D31" s="18">
        <v>1800</v>
      </c>
      <c r="E31" s="23">
        <v>2000</v>
      </c>
    </row>
    <row r="32" spans="2:5" ht="15.75">
      <c r="B32" s="27" t="s">
        <v>946</v>
      </c>
      <c r="C32" s="18">
        <v>0</v>
      </c>
      <c r="D32" s="18">
        <v>79</v>
      </c>
      <c r="E32" s="23">
        <v>0</v>
      </c>
    </row>
    <row r="33" spans="2:5" ht="15.75">
      <c r="B33" s="27"/>
      <c r="C33" s="18"/>
      <c r="D33" s="18"/>
      <c r="E33" s="23"/>
    </row>
    <row r="34" spans="2:5" ht="15.75">
      <c r="B34" s="26"/>
      <c r="C34" s="18"/>
      <c r="D34" s="18"/>
      <c r="E34" s="23"/>
    </row>
    <row r="35" spans="2:5" ht="15.75">
      <c r="B35" s="26"/>
      <c r="C35" s="18"/>
      <c r="D35" s="18"/>
      <c r="E35" s="23"/>
    </row>
    <row r="36" spans="2:5" ht="15.75">
      <c r="B36" s="27"/>
      <c r="C36" s="18"/>
      <c r="D36" s="18"/>
      <c r="E36" s="23"/>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4" t="str">
        <f>CONCATENATE("Desired Carryover Into ",E1+1,"")</f>
        <v>Desired Carryover Into 2016</v>
      </c>
      <c r="H41" s="835"/>
      <c r="I41" s="835"/>
      <c r="J41" s="836"/>
    </row>
    <row r="42" spans="2:10" ht="15.75">
      <c r="B42" s="27"/>
      <c r="C42" s="18"/>
      <c r="D42" s="18"/>
      <c r="E42" s="23"/>
      <c r="G42" s="470"/>
      <c r="H42" s="8"/>
      <c r="I42" s="462"/>
      <c r="J42" s="471"/>
    </row>
    <row r="43" spans="2:10" ht="15.75">
      <c r="B43" s="24" t="s">
        <v>241</v>
      </c>
      <c r="C43" s="18">
        <v>0</v>
      </c>
      <c r="D43" s="18">
        <v>0</v>
      </c>
      <c r="E43" s="23">
        <v>0</v>
      </c>
      <c r="G43" s="472" t="s">
        <v>674</v>
      </c>
      <c r="H43" s="462"/>
      <c r="I43" s="462"/>
      <c r="J43" s="473">
        <v>0</v>
      </c>
    </row>
    <row r="44" spans="2:10" ht="15.75">
      <c r="B44" s="24" t="s">
        <v>238</v>
      </c>
      <c r="C44" s="360">
        <f>IF(AND($C$43&gt;0,$C$8&gt;0),"Not Authorized","")</f>
      </c>
      <c r="D44" s="360">
        <f>IF(AND($D$43&gt;0,$D$8&gt;0),"Not Authorized","")</f>
      </c>
      <c r="E44" s="33">
        <f>IF(AND(cert!F21&gt;0,$E$43&gt;0),"Not Authorized","")</f>
      </c>
      <c r="G44" s="470" t="s">
        <v>675</v>
      </c>
      <c r="H44" s="8"/>
      <c r="I44" s="8"/>
      <c r="J44" s="668">
        <f>IF(J43=0,"",ROUND((J43+E57-G56)/inputOth!E7*1000,3)-G61)</f>
      </c>
    </row>
    <row r="45" spans="2:10" ht="15.75">
      <c r="B45" s="16" t="s">
        <v>242</v>
      </c>
      <c r="C45" s="18">
        <v>0</v>
      </c>
      <c r="D45" s="18">
        <v>0</v>
      </c>
      <c r="E45" s="23">
        <v>0</v>
      </c>
      <c r="G45" s="669" t="str">
        <f>CONCATENATE("",E1," Tot Exp/Non-Appr Must Be:")</f>
        <v>2015 Tot Exp/Non-Appr Must Be:</v>
      </c>
      <c r="H45" s="553"/>
      <c r="I45" s="663"/>
      <c r="J45" s="670">
        <f>IF(J43&gt;0,IF(E54&lt;E23,IF(J43=G56,E54,((J43-G56)*(1-D56))+E23),E54+(J43-G56)),0)</f>
        <v>0</v>
      </c>
    </row>
    <row r="46" spans="2:10" ht="15.75">
      <c r="B46" s="16" t="s">
        <v>709</v>
      </c>
      <c r="C46" s="361">
        <f>IF(C27*0.25&lt;C45,"Exceeds 25%","")</f>
      </c>
      <c r="D46" s="361">
        <f>IF(D27*0.25&lt;D45,"Exceeds 25%","")</f>
      </c>
      <c r="E46" s="34">
        <f>IF(E27*0.25+E57&lt;E45,"Exceeds 25%","")</f>
      </c>
      <c r="G46" s="671" t="s">
        <v>779</v>
      </c>
      <c r="H46" s="672"/>
      <c r="I46" s="672"/>
      <c r="J46" s="673">
        <f>IF(J43&gt;0,J45-E54,0)</f>
        <v>0</v>
      </c>
    </row>
    <row r="47" spans="2:5" ht="15.75">
      <c r="B47" s="24" t="s">
        <v>188</v>
      </c>
      <c r="C47" s="18">
        <v>0</v>
      </c>
      <c r="D47" s="18">
        <v>0</v>
      </c>
      <c r="E47" s="35">
        <v>0</v>
      </c>
    </row>
    <row r="48" spans="2:10" ht="15.75">
      <c r="B48" s="24" t="s">
        <v>186</v>
      </c>
      <c r="C48" s="18">
        <v>0</v>
      </c>
      <c r="D48" s="18">
        <v>0</v>
      </c>
      <c r="E48" s="23">
        <v>0</v>
      </c>
      <c r="G48" s="834" t="str">
        <f>CONCATENATE("Projected Carryover Into ",E1+1,"")</f>
        <v>Projected Carryover Into 2016</v>
      </c>
      <c r="H48" s="835"/>
      <c r="I48" s="835"/>
      <c r="J48" s="836"/>
    </row>
    <row r="49" spans="2:10" ht="15.75">
      <c r="B49" s="24" t="s">
        <v>581</v>
      </c>
      <c r="C49" s="361">
        <f>IF(C50*0.1&lt;C48,"Exceed 10% Rule","")</f>
      </c>
      <c r="D49" s="361">
        <f>IF(D50*0.1&lt;D48,"Exceed 10% Rule","")</f>
      </c>
      <c r="E49" s="34">
        <f>IF(E50*0.1&lt;E48,"Exceed 10% Rule","")</f>
      </c>
      <c r="G49" s="458"/>
      <c r="H49" s="8"/>
      <c r="I49" s="8"/>
      <c r="J49" s="245"/>
    </row>
    <row r="50" spans="2:10" ht="15.75">
      <c r="B50" s="32" t="s">
        <v>26</v>
      </c>
      <c r="C50" s="358">
        <f>SUM(C29:C48)</f>
        <v>1229</v>
      </c>
      <c r="D50" s="358">
        <f>SUM(D29:D48)</f>
        <v>3118</v>
      </c>
      <c r="E50" s="36">
        <f>SUM(E29:E43,E45,E47:E48)</f>
        <v>3300</v>
      </c>
      <c r="G50" s="459">
        <f>D51</f>
        <v>2228</v>
      </c>
      <c r="H50" s="460" t="str">
        <f>CONCATENATE("",E1-1," Ending Cash Balance (est.)")</f>
        <v>2014 Ending Cash Balance (est.)</v>
      </c>
      <c r="I50" s="461"/>
      <c r="J50" s="245"/>
    </row>
    <row r="51" spans="2:10" ht="15.75">
      <c r="B51" s="16" t="s">
        <v>109</v>
      </c>
      <c r="C51" s="359">
        <f>C27-C50</f>
        <v>4253</v>
      </c>
      <c r="D51" s="359">
        <f>SUM(D27-D50)</f>
        <v>2228</v>
      </c>
      <c r="E51" s="22" t="s">
        <v>263</v>
      </c>
      <c r="G51" s="459">
        <f>E26</f>
        <v>69</v>
      </c>
      <c r="H51" s="462" t="str">
        <f>CONCATENATE("",E1," Non-AV Receipts (est.)")</f>
        <v>2015 Non-AV Receipts (est.)</v>
      </c>
      <c r="I51" s="461"/>
      <c r="J51" s="245"/>
    </row>
    <row r="52" spans="2:11" ht="15.75">
      <c r="B52" s="266" t="str">
        <f>CONCATENATE("",E1-2,"/",E1-1,"/",E1," Budget Authority Amount:")</f>
        <v>2013/2014/2015 Budget Authority Amount:</v>
      </c>
      <c r="C52" s="52">
        <f>inputOth!B46</f>
        <v>3480</v>
      </c>
      <c r="D52" s="52">
        <f>inputPrYr!D16</f>
        <v>3465</v>
      </c>
      <c r="E52" s="21">
        <f>E50</f>
        <v>3300</v>
      </c>
      <c r="F52" s="39"/>
      <c r="G52" s="463">
        <f>IF(D56&gt;0,E55,E57)</f>
        <v>1003</v>
      </c>
      <c r="H52" s="462" t="str">
        <f>CONCATENATE("",E1," Ad Valorem Tax (est.)")</f>
        <v>2015 Ad Valorem Tax (est.)</v>
      </c>
      <c r="I52" s="461"/>
      <c r="J52" s="245"/>
      <c r="K52" s="674">
        <f>IF(G52=E57,"","Note: Does not include Delinquent Taxes")</f>
      </c>
    </row>
    <row r="53" spans="2:10" ht="15.75">
      <c r="B53" s="37"/>
      <c r="C53" s="830" t="s">
        <v>582</v>
      </c>
      <c r="D53" s="831"/>
      <c r="E53" s="23">
        <v>0</v>
      </c>
      <c r="F53" s="457">
        <f>IF(E50/0.95-E50&lt;E53,"Exceeds 5%","")</f>
      </c>
      <c r="G53" s="459">
        <f>SUM(G50:G52)</f>
        <v>3300</v>
      </c>
      <c r="H53" s="462" t="str">
        <f>CONCATENATE("Total ",E1," Resources Available")</f>
        <v>Total 2015 Resources Available</v>
      </c>
      <c r="I53" s="461"/>
      <c r="J53" s="245"/>
    </row>
    <row r="54" spans="2:10" ht="15.75">
      <c r="B54" s="370" t="str">
        <f>CONCATENATE(C72,"     ",D72)</f>
        <v>     </v>
      </c>
      <c r="C54" s="832" t="s">
        <v>583</v>
      </c>
      <c r="D54" s="833"/>
      <c r="E54" s="21">
        <f>E50+E53</f>
        <v>3300</v>
      </c>
      <c r="G54" s="464"/>
      <c r="H54" s="462"/>
      <c r="I54" s="462"/>
      <c r="J54" s="245"/>
    </row>
    <row r="55" spans="2:10" ht="15.75">
      <c r="B55" s="370" t="str">
        <f>CONCATENATE(C73,"     ",D73)</f>
        <v>     </v>
      </c>
      <c r="C55" s="49"/>
      <c r="D55" s="41" t="s">
        <v>28</v>
      </c>
      <c r="E55" s="35">
        <f>IF(E54-E27&gt;0,E54-E27,0)</f>
        <v>1003</v>
      </c>
      <c r="G55" s="463">
        <f>ROUND(C50*0.05+C50,0)</f>
        <v>1290</v>
      </c>
      <c r="H55" s="462" t="str">
        <f>CONCATENATE("Less ",E1-2," Expenditures + 5%")</f>
        <v>Less 2013 Expenditures + 5%</v>
      </c>
      <c r="I55" s="461"/>
      <c r="J55" s="245"/>
    </row>
    <row r="56" spans="2:10" ht="15.75">
      <c r="B56" s="41"/>
      <c r="C56" s="374" t="s">
        <v>584</v>
      </c>
      <c r="D56" s="662">
        <f>inputOth!$E$40</f>
        <v>0</v>
      </c>
      <c r="E56" s="21">
        <f>ROUND(IF(D56&gt;0,(E55*D56),0),0)</f>
        <v>0</v>
      </c>
      <c r="G56" s="465">
        <f>G53-G55</f>
        <v>2010</v>
      </c>
      <c r="H56" s="466" t="str">
        <f>CONCATENATE("Projected ",E1+1," Carryover (est.)")</f>
        <v>Projected 2016 Carryover (est.)</v>
      </c>
      <c r="I56" s="467"/>
      <c r="J56" s="468"/>
    </row>
    <row r="57" spans="2:5" ht="15.75">
      <c r="B57" s="3"/>
      <c r="C57" s="828" t="str">
        <f>CONCATENATE("Amount of  ",$E$1-1," Ad Valorem Tax")</f>
        <v>Amount of  2014 Ad Valorem Tax</v>
      </c>
      <c r="D57" s="829"/>
      <c r="E57" s="35">
        <f>E55+E56</f>
        <v>1003</v>
      </c>
    </row>
    <row r="58" spans="2:10" ht="15.75">
      <c r="B58" s="3"/>
      <c r="C58" s="3"/>
      <c r="D58" s="3"/>
      <c r="E58" s="3"/>
      <c r="G58" s="837" t="s">
        <v>780</v>
      </c>
      <c r="H58" s="838"/>
      <c r="I58" s="838"/>
      <c r="J58" s="839"/>
    </row>
    <row r="59" spans="2:11" s="43" customFormat="1" ht="15.75">
      <c r="B59" s="8"/>
      <c r="C59" s="8"/>
      <c r="D59" s="42"/>
      <c r="E59" s="8"/>
      <c r="G59" s="675"/>
      <c r="H59" s="460"/>
      <c r="I59" s="664"/>
      <c r="J59" s="676"/>
      <c r="K59" s="5"/>
    </row>
    <row r="60" spans="2:11" s="45" customFormat="1" ht="15.75">
      <c r="B60" s="3"/>
      <c r="C60" s="3"/>
      <c r="D60" s="44"/>
      <c r="E60" s="3"/>
      <c r="G60" s="677">
        <f>summ!I18</f>
        <v>0.278</v>
      </c>
      <c r="H60" s="460" t="str">
        <f>CONCATENATE("",E1," Fund Mill Rate")</f>
        <v>2015 Fund Mill Rate</v>
      </c>
      <c r="I60" s="664"/>
      <c r="J60" s="676"/>
      <c r="K60" s="5"/>
    </row>
    <row r="61" spans="2:10" ht="15.75">
      <c r="B61" s="41" t="s">
        <v>9</v>
      </c>
      <c r="C61" s="376">
        <f>IF(inputPrYr!D18&gt;0,7,6)</f>
        <v>6</v>
      </c>
      <c r="D61" s="3"/>
      <c r="E61" s="44"/>
      <c r="G61" s="678">
        <f>summ!F18</f>
        <v>0.299</v>
      </c>
      <c r="H61" s="460" t="str">
        <f>CONCATENATE("",E1-1," Fund Mill Rate")</f>
        <v>2014 Fund Mill Rate</v>
      </c>
      <c r="I61" s="664"/>
      <c r="J61" s="676"/>
    </row>
    <row r="62" spans="7:10" ht="15.75">
      <c r="G62" s="679">
        <f>summ!I32</f>
        <v>0.846</v>
      </c>
      <c r="H62" s="460" t="str">
        <f>CONCATENATE("Total ",E1," Mill Rate")</f>
        <v>Total 2015 Mill Rate</v>
      </c>
      <c r="I62" s="664"/>
      <c r="J62" s="676"/>
    </row>
    <row r="63" spans="2:10" ht="15.75">
      <c r="B63" s="1"/>
      <c r="G63" s="678">
        <f>summ!F32</f>
        <v>0.887</v>
      </c>
      <c r="H63" s="680" t="str">
        <f>CONCATENATE("Total ",E1-1," Mill Rate")</f>
        <v>Total 2014 Mill Rate</v>
      </c>
      <c r="I63" s="681"/>
      <c r="J63" s="682"/>
    </row>
    <row r="64" spans="7:10" ht="15.75">
      <c r="G64" s="665"/>
      <c r="H64" s="469"/>
      <c r="I64" s="469"/>
      <c r="J64" s="667"/>
    </row>
    <row r="65" spans="7:10" ht="15.75">
      <c r="G65" s="751" t="s">
        <v>891</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9">
      <selection activeCell="E71" sqref="E7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Guilford Township</v>
      </c>
      <c r="C1" s="11" t="s">
        <v>35</v>
      </c>
      <c r="D1" s="3"/>
      <c r="E1" s="4">
        <f>inputPrYr!D5</f>
        <v>2015</v>
      </c>
    </row>
    <row r="2" spans="2:5" ht="15.75">
      <c r="B2" s="6"/>
      <c r="C2" s="3"/>
      <c r="D2" s="3"/>
      <c r="E2" s="67"/>
    </row>
    <row r="3" spans="2:5" ht="15.75">
      <c r="B3" s="507" t="s">
        <v>680</v>
      </c>
      <c r="C3" s="55"/>
      <c r="D3" s="55"/>
      <c r="E3" s="3"/>
    </row>
    <row r="4" spans="2:5" ht="15.75">
      <c r="B4" s="11" t="s">
        <v>10</v>
      </c>
      <c r="C4" s="362" t="s">
        <v>11</v>
      </c>
      <c r="D4" s="365" t="s">
        <v>12</v>
      </c>
      <c r="E4" s="12" t="s">
        <v>13</v>
      </c>
    </row>
    <row r="5" spans="2:5" ht="15.75">
      <c r="B5" s="371" t="str">
        <f>inputPrYr!B20</f>
        <v>Fire</v>
      </c>
      <c r="C5" s="363" t="str">
        <f>gen!C5</f>
        <v>Actual for 2013</v>
      </c>
      <c r="D5" s="363" t="str">
        <f>gen!D5</f>
        <v>Estimate for 2014</v>
      </c>
      <c r="E5" s="15" t="str">
        <f>gen!E5</f>
        <v>Year for 2015</v>
      </c>
    </row>
    <row r="6" spans="2:5" ht="15.75">
      <c r="B6" s="16" t="s">
        <v>108</v>
      </c>
      <c r="C6" s="18">
        <v>1902</v>
      </c>
      <c r="D6" s="364">
        <f>C34</f>
        <v>1858</v>
      </c>
      <c r="E6" s="21">
        <f>D34</f>
        <v>1183</v>
      </c>
    </row>
    <row r="7" spans="2:5" ht="15.75">
      <c r="B7" s="16" t="s">
        <v>110</v>
      </c>
      <c r="C7" s="364"/>
      <c r="D7" s="364"/>
      <c r="E7" s="22"/>
    </row>
    <row r="8" spans="2:5" ht="15.75">
      <c r="B8" s="16" t="s">
        <v>16</v>
      </c>
      <c r="C8" s="18">
        <v>1963</v>
      </c>
      <c r="D8" s="364">
        <f>IF(inputPrYr!H15&gt;0,inputPrYr!G20,inputPrYr!E20)</f>
        <v>1992</v>
      </c>
      <c r="E8" s="22" t="s">
        <v>263</v>
      </c>
    </row>
    <row r="9" spans="2:5" ht="15.75">
      <c r="B9" s="16" t="s">
        <v>17</v>
      </c>
      <c r="C9" s="18">
        <v>35</v>
      </c>
      <c r="D9" s="18">
        <v>0</v>
      </c>
      <c r="E9" s="23">
        <v>0</v>
      </c>
    </row>
    <row r="10" spans="2:5" ht="15.75">
      <c r="B10" s="16" t="s">
        <v>18</v>
      </c>
      <c r="C10" s="18">
        <v>134</v>
      </c>
      <c r="D10" s="18">
        <v>139</v>
      </c>
      <c r="E10" s="21">
        <f>mvalloc!G15</f>
        <v>122</v>
      </c>
    </row>
    <row r="11" spans="2:5" ht="15.75">
      <c r="B11" s="16" t="s">
        <v>19</v>
      </c>
      <c r="C11" s="18">
        <v>2</v>
      </c>
      <c r="D11" s="18">
        <v>3</v>
      </c>
      <c r="E11" s="21">
        <f>mvalloc!I15</f>
        <v>2</v>
      </c>
    </row>
    <row r="12" spans="2:5" ht="15.75">
      <c r="B12" s="24" t="s">
        <v>68</v>
      </c>
      <c r="C12" s="18">
        <v>15</v>
      </c>
      <c r="D12" s="18">
        <v>16</v>
      </c>
      <c r="E12" s="21">
        <f>mvalloc!J15</f>
        <v>13</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v>6</v>
      </c>
      <c r="D17" s="18">
        <v>5</v>
      </c>
      <c r="E17" s="23">
        <v>5</v>
      </c>
    </row>
    <row r="18" spans="2:5" ht="15.75">
      <c r="B18" s="28" t="s">
        <v>186</v>
      </c>
      <c r="C18" s="18">
        <v>0</v>
      </c>
      <c r="D18" s="18">
        <v>0</v>
      </c>
      <c r="E18" s="23">
        <v>0</v>
      </c>
    </row>
    <row r="19" spans="2:5" ht="15.75">
      <c r="B19" s="28" t="s">
        <v>187</v>
      </c>
      <c r="C19" s="361">
        <f>IF(C20*0.1&lt;C18,"Exceed 10% Rule","")</f>
      </c>
      <c r="D19" s="361">
        <f>IF(D20*0.1&lt;D18,"Exceed 10% Rule","")</f>
      </c>
      <c r="E19" s="34">
        <f>IF(E20*0.1+E40&lt;E18,"Exceed 10% Rule","")</f>
      </c>
    </row>
    <row r="20" spans="2:5" ht="15.75">
      <c r="B20" s="30" t="s">
        <v>23</v>
      </c>
      <c r="C20" s="366">
        <f>SUM(C8:C18)</f>
        <v>2155</v>
      </c>
      <c r="D20" s="366">
        <f>SUM(D8:D18)</f>
        <v>2155</v>
      </c>
      <c r="E20" s="31">
        <f>SUM(E8:E18)</f>
        <v>142</v>
      </c>
    </row>
    <row r="21" spans="2:5" ht="15.75">
      <c r="B21" s="32" t="s">
        <v>24</v>
      </c>
      <c r="C21" s="366">
        <f>C20+C6</f>
        <v>4057</v>
      </c>
      <c r="D21" s="366">
        <f>D20+D6</f>
        <v>4013</v>
      </c>
      <c r="E21" s="31">
        <f>E20+E6</f>
        <v>1325</v>
      </c>
    </row>
    <row r="22" spans="2:5" ht="15.75">
      <c r="B22" s="16" t="s">
        <v>25</v>
      </c>
      <c r="C22" s="364"/>
      <c r="D22" s="364"/>
      <c r="E22" s="21"/>
    </row>
    <row r="23" spans="2:5" ht="15.75">
      <c r="B23" s="27" t="s">
        <v>100</v>
      </c>
      <c r="C23" s="18">
        <v>1050</v>
      </c>
      <c r="D23" s="18">
        <v>1050</v>
      </c>
      <c r="E23" s="23">
        <v>1050</v>
      </c>
    </row>
    <row r="24" spans="2:11" ht="15.75">
      <c r="B24" s="27" t="s">
        <v>944</v>
      </c>
      <c r="C24" s="18">
        <v>896</v>
      </c>
      <c r="D24" s="18">
        <v>950</v>
      </c>
      <c r="E24" s="23">
        <v>1050</v>
      </c>
      <c r="G24" s="840" t="str">
        <f>CONCATENATE("Desired Carryover Into ",E1+1,"")</f>
        <v>Desired Carryover Into 2016</v>
      </c>
      <c r="H24" s="841"/>
      <c r="I24" s="841"/>
      <c r="J24" s="842"/>
      <c r="K24" s="557"/>
    </row>
    <row r="25" spans="2:11" ht="15.75">
      <c r="B25" s="27" t="s">
        <v>117</v>
      </c>
      <c r="C25" s="18">
        <v>253</v>
      </c>
      <c r="D25" s="18">
        <v>260</v>
      </c>
      <c r="E25" s="23">
        <v>275</v>
      </c>
      <c r="G25" s="588"/>
      <c r="H25" s="589"/>
      <c r="I25" s="590"/>
      <c r="J25" s="591"/>
      <c r="K25" s="557"/>
    </row>
    <row r="26" spans="2:11" ht="15.75">
      <c r="B26" s="27" t="s">
        <v>943</v>
      </c>
      <c r="C26" s="18">
        <v>0</v>
      </c>
      <c r="D26" s="18">
        <v>570</v>
      </c>
      <c r="E26" s="23">
        <v>1000</v>
      </c>
      <c r="G26" s="592" t="s">
        <v>674</v>
      </c>
      <c r="H26" s="590"/>
      <c r="I26" s="590"/>
      <c r="J26" s="593">
        <v>0</v>
      </c>
      <c r="K26" s="557"/>
    </row>
    <row r="27" spans="2:11" ht="15.75">
      <c r="B27" s="27"/>
      <c r="C27" s="18"/>
      <c r="D27" s="18"/>
      <c r="E27" s="23"/>
      <c r="G27" s="588" t="s">
        <v>675</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779</v>
      </c>
      <c r="H29" s="600"/>
      <c r="I29" s="600"/>
      <c r="J29" s="601">
        <f>IF(J26&gt;0,J28-E37,0)</f>
        <v>0</v>
      </c>
      <c r="K29" s="557"/>
    </row>
    <row r="30" spans="2:11" ht="15.75">
      <c r="B30" s="24" t="s">
        <v>188</v>
      </c>
      <c r="C30" s="18">
        <v>0</v>
      </c>
      <c r="D30" s="18">
        <v>0</v>
      </c>
      <c r="E30" s="35">
        <f>nhood!E10</f>
      </c>
      <c r="G30" s="557"/>
      <c r="H30" s="557"/>
      <c r="I30" s="557"/>
      <c r="J30" s="557"/>
      <c r="K30" s="557"/>
    </row>
    <row r="31" spans="2:11" ht="15.75">
      <c r="B31" s="24" t="s">
        <v>186</v>
      </c>
      <c r="C31" s="18">
        <v>0</v>
      </c>
      <c r="D31" s="18">
        <v>0</v>
      </c>
      <c r="E31" s="23">
        <v>0</v>
      </c>
      <c r="G31" s="840" t="str">
        <f>CONCATENATE("Projected Carryover Into ",E1+1,"")</f>
        <v>Projected Carryover Into 2016</v>
      </c>
      <c r="H31" s="843"/>
      <c r="I31" s="843"/>
      <c r="J31" s="844"/>
      <c r="K31" s="557"/>
    </row>
    <row r="32" spans="2:11" ht="15.75">
      <c r="B32" s="24" t="s">
        <v>581</v>
      </c>
      <c r="C32" s="361">
        <f>IF(C33*0.1&lt;C31,"Exceed 10% Rule","")</f>
      </c>
      <c r="D32" s="361">
        <f>IF(D33*0.1&lt;D31,"Exceed 10% Rule","")</f>
      </c>
      <c r="E32" s="34">
        <f>IF(E33*0.1&lt;E31,"Exceed 10% Rule","")</f>
      </c>
      <c r="G32" s="588"/>
      <c r="H32" s="590"/>
      <c r="I32" s="590"/>
      <c r="J32" s="603"/>
      <c r="K32" s="557"/>
    </row>
    <row r="33" spans="2:11" ht="15.75">
      <c r="B33" s="32" t="s">
        <v>26</v>
      </c>
      <c r="C33" s="366">
        <f>SUM(C23:C31)</f>
        <v>2199</v>
      </c>
      <c r="D33" s="366">
        <f>SUM(D23:D31)</f>
        <v>2830</v>
      </c>
      <c r="E33" s="31">
        <f>SUM(E23:E31)</f>
        <v>3375</v>
      </c>
      <c r="G33" s="606">
        <f>D34</f>
        <v>1183</v>
      </c>
      <c r="H33" s="607" t="str">
        <f>CONCATENATE("",E1-1," Ending Cash Balance (est.)")</f>
        <v>2014 Ending Cash Balance (est.)</v>
      </c>
      <c r="I33" s="608"/>
      <c r="J33" s="603"/>
      <c r="K33" s="557"/>
    </row>
    <row r="34" spans="2:11" ht="15.75">
      <c r="B34" s="16" t="s">
        <v>109</v>
      </c>
      <c r="C34" s="359">
        <f>C21-C33</f>
        <v>1858</v>
      </c>
      <c r="D34" s="359">
        <f>D21-D33</f>
        <v>1183</v>
      </c>
      <c r="E34" s="22" t="s">
        <v>263</v>
      </c>
      <c r="G34" s="606">
        <f>E20</f>
        <v>142</v>
      </c>
      <c r="H34" s="590" t="str">
        <f>CONCATENATE("",E1," Non-AV Receipts (est.)")</f>
        <v>2015 Non-AV Receipts (est.)</v>
      </c>
      <c r="I34" s="608"/>
      <c r="J34" s="603"/>
      <c r="K34" s="557"/>
    </row>
    <row r="35" spans="2:11" ht="15.75">
      <c r="B35" s="266" t="str">
        <f>CONCATENATE("",E1-2,"/",E1-1,"/",E1," Budget Authority Amount:")</f>
        <v>2013/2014/2015 Budget Authority Amount:</v>
      </c>
      <c r="C35" s="52">
        <f>inputOth!B50</f>
        <v>3475</v>
      </c>
      <c r="D35" s="52">
        <f>inputPrYr!D20</f>
        <v>3825</v>
      </c>
      <c r="E35" s="21">
        <f>E33</f>
        <v>3375</v>
      </c>
      <c r="F35" s="39"/>
      <c r="G35" s="613">
        <f>IF(E39&gt;0,E38,E40)</f>
        <v>2050</v>
      </c>
      <c r="H35" s="590" t="str">
        <f>CONCATENATE("",E1," Ad Valorem Tax (est.)")</f>
        <v>2015 Ad Valorem Tax (est.)</v>
      </c>
      <c r="I35" s="608"/>
      <c r="J35" s="603"/>
      <c r="K35" s="614">
        <f>IF(G35=E40,"","Note: Does not include Delinquent Taxes")</f>
      </c>
    </row>
    <row r="36" spans="2:11" ht="15.75">
      <c r="B36" s="37"/>
      <c r="C36" s="830" t="s">
        <v>582</v>
      </c>
      <c r="D36" s="831"/>
      <c r="E36" s="23">
        <v>0</v>
      </c>
      <c r="F36" s="457">
        <f>IF(E33/0.95-E33&lt;E36,"Exceeds 5%","")</f>
      </c>
      <c r="G36" s="606">
        <f>SUM(G33:G35)</f>
        <v>3375</v>
      </c>
      <c r="H36" s="590" t="str">
        <f>CONCATENATE("Total ",E1," Resources Available")</f>
        <v>Total 2015 Resources Available</v>
      </c>
      <c r="I36" s="608"/>
      <c r="J36" s="603"/>
      <c r="K36" s="557"/>
    </row>
    <row r="37" spans="2:11" ht="15.75">
      <c r="B37" s="370" t="str">
        <f>CONCATENATE(C92,"     ",D92)</f>
        <v>     </v>
      </c>
      <c r="C37" s="832" t="s">
        <v>583</v>
      </c>
      <c r="D37" s="833"/>
      <c r="E37" s="21">
        <f>E33+E36</f>
        <v>3375</v>
      </c>
      <c r="G37" s="617"/>
      <c r="H37" s="590"/>
      <c r="I37" s="590"/>
      <c r="J37" s="603"/>
      <c r="K37" s="557"/>
    </row>
    <row r="38" spans="2:11" ht="15.75">
      <c r="B38" s="370" t="str">
        <f>CONCATENATE(C93,"     ",D93)</f>
        <v>     </v>
      </c>
      <c r="C38" s="49"/>
      <c r="D38" s="41" t="s">
        <v>28</v>
      </c>
      <c r="E38" s="35">
        <f>IF(E37-E21&gt;0,E37-E21,0)</f>
        <v>2050</v>
      </c>
      <c r="G38" s="613">
        <f>C33*0.05+C33</f>
        <v>2308.95</v>
      </c>
      <c r="H38" s="590" t="str">
        <f>CONCATENATE("Less ",E1-2," Expenditures + 5%")</f>
        <v>Less 2013 Expenditures + 5%</v>
      </c>
      <c r="I38" s="590"/>
      <c r="J38" s="603"/>
      <c r="K38" s="557"/>
    </row>
    <row r="39" spans="2:11" ht="15.75">
      <c r="B39" s="41"/>
      <c r="C39" s="374" t="s">
        <v>584</v>
      </c>
      <c r="D39" s="662">
        <f>inputOth!$E$40</f>
        <v>0</v>
      </c>
      <c r="E39" s="21">
        <f>ROUND(IF(D39&gt;0,(E38*D39),0),0)</f>
        <v>0</v>
      </c>
      <c r="G39" s="621">
        <f>G36-G38</f>
        <v>1066.0500000000002</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2050</v>
      </c>
      <c r="G40" s="557"/>
      <c r="H40" s="557"/>
      <c r="I40" s="557"/>
      <c r="J40" s="557"/>
      <c r="K40" s="557"/>
    </row>
    <row r="41" spans="2:11" ht="15.75">
      <c r="B41" s="3"/>
      <c r="C41" s="514"/>
      <c r="D41" s="3"/>
      <c r="E41" s="3"/>
      <c r="G41" s="845" t="s">
        <v>780</v>
      </c>
      <c r="H41" s="846"/>
      <c r="I41" s="846"/>
      <c r="J41" s="847"/>
      <c r="K41" s="557"/>
    </row>
    <row r="42" spans="2:11" ht="15.75">
      <c r="B42" s="3"/>
      <c r="C42" s="514"/>
      <c r="D42" s="3"/>
      <c r="E42" s="3"/>
      <c r="G42" s="628"/>
      <c r="H42" s="607"/>
      <c r="I42" s="629"/>
      <c r="J42" s="630"/>
      <c r="K42" s="557"/>
    </row>
    <row r="43" spans="2:11" ht="15.75">
      <c r="B43" s="11" t="s">
        <v>10</v>
      </c>
      <c r="C43" s="55"/>
      <c r="D43" s="55"/>
      <c r="E43" s="55"/>
      <c r="G43" s="631">
        <f>summ!I22</f>
        <v>0.568</v>
      </c>
      <c r="H43" s="607" t="str">
        <f>CONCATENATE("",E1," Fund Mill Rate")</f>
        <v>2015 Fund Mill Rate</v>
      </c>
      <c r="I43" s="629"/>
      <c r="J43" s="630"/>
      <c r="K43" s="557"/>
    </row>
    <row r="44" spans="2:11" ht="15.75">
      <c r="B44" s="3"/>
      <c r="C44" s="362" t="s">
        <v>11</v>
      </c>
      <c r="D44" s="365" t="s">
        <v>12</v>
      </c>
      <c r="E44" s="12" t="s">
        <v>13</v>
      </c>
      <c r="G44" s="632">
        <f>summ!F22</f>
        <v>0.588</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0.846</v>
      </c>
      <c r="H45" s="607" t="str">
        <f>CONCATENATE("Total ",E1," Mill Rate")</f>
        <v>Total 2015 Mill Rate</v>
      </c>
      <c r="I45" s="629"/>
      <c r="J45" s="630"/>
      <c r="K45" s="557"/>
    </row>
    <row r="46" spans="2:11" ht="15.75">
      <c r="B46" s="16" t="s">
        <v>108</v>
      </c>
      <c r="C46" s="18"/>
      <c r="D46" s="364">
        <f>C74</f>
        <v>0</v>
      </c>
      <c r="E46" s="21">
        <f>D74</f>
        <v>0</v>
      </c>
      <c r="G46" s="632">
        <f>summ!F32</f>
        <v>0.887</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v>0</v>
      </c>
      <c r="D48" s="364">
        <f>IF(inputPrYr!H15&gt;0,inputPrYr!G21,inputPrYr!E21)</f>
        <v>0</v>
      </c>
      <c r="E48" s="22" t="s">
        <v>263</v>
      </c>
      <c r="G48" s="755" t="s">
        <v>891</v>
      </c>
      <c r="H48" s="716"/>
      <c r="I48" s="715" t="str">
        <f>cert!F37</f>
        <v>No</v>
      </c>
      <c r="J48" s="557"/>
      <c r="K48" s="557"/>
    </row>
    <row r="49" spans="2:11" ht="15.75">
      <c r="B49" s="16" t="s">
        <v>17</v>
      </c>
      <c r="C49" s="18">
        <v>0</v>
      </c>
      <c r="D49" s="18">
        <v>0</v>
      </c>
      <c r="E49" s="23">
        <v>0</v>
      </c>
      <c r="G49" s="557"/>
      <c r="H49" s="557"/>
      <c r="I49" s="557"/>
      <c r="J49" s="557"/>
      <c r="K49" s="557"/>
    </row>
    <row r="50" spans="2:11" ht="15.75">
      <c r="B50" s="16" t="s">
        <v>18</v>
      </c>
      <c r="C50" s="18">
        <v>0</v>
      </c>
      <c r="D50" s="18">
        <v>0</v>
      </c>
      <c r="E50" s="21">
        <f>mvalloc!G16</f>
        <v>0</v>
      </c>
      <c r="G50" s="557"/>
      <c r="H50" s="557"/>
      <c r="I50" s="557"/>
      <c r="J50" s="557"/>
      <c r="K50" s="557"/>
    </row>
    <row r="51" spans="2:11" ht="15.75">
      <c r="B51" s="16" t="s">
        <v>19</v>
      </c>
      <c r="C51" s="18">
        <v>0</v>
      </c>
      <c r="D51" s="18">
        <v>0</v>
      </c>
      <c r="E51" s="21">
        <f>mvalloc!I16</f>
        <v>0</v>
      </c>
      <c r="G51" s="557"/>
      <c r="H51" s="557"/>
      <c r="I51" s="557"/>
      <c r="J51" s="557"/>
      <c r="K51" s="557"/>
    </row>
    <row r="52" spans="2:11" ht="15.75">
      <c r="B52" s="16" t="s">
        <v>98</v>
      </c>
      <c r="C52" s="18">
        <v>0</v>
      </c>
      <c r="D52" s="18">
        <v>0</v>
      </c>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v>0</v>
      </c>
      <c r="D57" s="18">
        <v>0</v>
      </c>
      <c r="E57" s="23">
        <v>0</v>
      </c>
      <c r="G57" s="557"/>
      <c r="H57" s="557"/>
      <c r="I57" s="557"/>
      <c r="J57" s="557"/>
      <c r="K57" s="557"/>
    </row>
    <row r="58" spans="2:11" ht="15.75">
      <c r="B58" s="28" t="s">
        <v>186</v>
      </c>
      <c r="C58" s="18">
        <v>0</v>
      </c>
      <c r="D58" s="18">
        <v>0</v>
      </c>
      <c r="E58" s="23">
        <v>0</v>
      </c>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0" t="str">
        <f>CONCATENATE("Desired Carryover Into ",E1+1,"")</f>
        <v>Desired Carryover Into 2016</v>
      </c>
      <c r="H64" s="841"/>
      <c r="I64" s="841"/>
      <c r="J64" s="842"/>
      <c r="K64" s="557"/>
    </row>
    <row r="65" spans="2:11" ht="15.75">
      <c r="B65" s="27"/>
      <c r="C65" s="18"/>
      <c r="D65" s="18"/>
      <c r="E65" s="23"/>
      <c r="G65" s="588"/>
      <c r="H65" s="589"/>
      <c r="I65" s="590"/>
      <c r="J65" s="591"/>
      <c r="K65" s="557"/>
    </row>
    <row r="66" spans="2:11" ht="15.75">
      <c r="B66" s="27"/>
      <c r="C66" s="18"/>
      <c r="D66" s="18"/>
      <c r="E66" s="23"/>
      <c r="G66" s="592" t="s">
        <v>674</v>
      </c>
      <c r="H66" s="590"/>
      <c r="I66" s="590"/>
      <c r="J66" s="593">
        <v>0</v>
      </c>
      <c r="K66" s="557"/>
    </row>
    <row r="67" spans="2:11" ht="15.75">
      <c r="B67" s="27"/>
      <c r="C67" s="18"/>
      <c r="D67" s="18"/>
      <c r="E67" s="23"/>
      <c r="G67" s="588" t="s">
        <v>675</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779</v>
      </c>
      <c r="H69" s="600"/>
      <c r="I69" s="600"/>
      <c r="J69" s="601">
        <f>IF(J66&gt;0,J68-E77,0)</f>
        <v>0</v>
      </c>
      <c r="K69" s="557"/>
    </row>
    <row r="70" spans="2:11" ht="15.75">
      <c r="B70" s="24" t="s">
        <v>188</v>
      </c>
      <c r="C70" s="18">
        <v>0</v>
      </c>
      <c r="D70" s="18">
        <v>0</v>
      </c>
      <c r="E70" s="35">
        <v>0</v>
      </c>
      <c r="G70" s="557"/>
      <c r="H70" s="557"/>
      <c r="I70" s="557"/>
      <c r="J70" s="557"/>
      <c r="K70" s="557"/>
    </row>
    <row r="71" spans="2:11" ht="15.75">
      <c r="B71" s="24" t="s">
        <v>186</v>
      </c>
      <c r="C71" s="18">
        <v>0</v>
      </c>
      <c r="D71" s="18">
        <v>0</v>
      </c>
      <c r="E71" s="23">
        <v>0</v>
      </c>
      <c r="G71" s="840" t="str">
        <f>CONCATENATE("Projected Carryover Into ",E1+1,"")</f>
        <v>Projected Carryover Into 2016</v>
      </c>
      <c r="H71" s="848"/>
      <c r="I71" s="848"/>
      <c r="J71" s="844"/>
      <c r="K71" s="557"/>
    </row>
    <row r="72" spans="2:11" ht="15.75">
      <c r="B72" s="24" t="s">
        <v>581</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582</v>
      </c>
      <c r="D76" s="831"/>
      <c r="E76" s="23">
        <v>0</v>
      </c>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2" t="s">
        <v>583</v>
      </c>
      <c r="D77" s="833"/>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584</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v>7</v>
      </c>
      <c r="D81" s="3"/>
      <c r="E81" s="3"/>
      <c r="G81" s="845" t="s">
        <v>780</v>
      </c>
      <c r="H81" s="846"/>
      <c r="I81" s="846"/>
      <c r="J81" s="847"/>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0.846</v>
      </c>
      <c r="H85" s="607" t="str">
        <f>CONCATENATE("Total ",E1," Mill Rate")</f>
        <v>Total 2015 Mill Rate</v>
      </c>
      <c r="I85" s="629"/>
      <c r="J85" s="630"/>
      <c r="K85" s="557"/>
    </row>
    <row r="86" spans="7:11" ht="15.75">
      <c r="G86" s="632">
        <f>summ!F32</f>
        <v>0.887</v>
      </c>
      <c r="H86" s="635" t="str">
        <f>CONCATENATE("Total ",E1-1," Mill Rate")</f>
        <v>Total 2014 Mill Rate</v>
      </c>
      <c r="I86" s="636"/>
      <c r="J86" s="637"/>
      <c r="K86" s="557"/>
    </row>
    <row r="88" spans="7:9" ht="15.75">
      <c r="G88" s="756" t="s">
        <v>891</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46" sqref="B46:C4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8" t="s">
        <v>70</v>
      </c>
      <c r="C2" s="808"/>
      <c r="D2" s="808"/>
      <c r="E2" s="808"/>
      <c r="F2" s="808"/>
      <c r="G2" s="808"/>
      <c r="H2" s="808"/>
      <c r="I2" s="808"/>
    </row>
    <row r="3" spans="2:9" ht="15.75">
      <c r="B3" s="3"/>
      <c r="C3" s="3"/>
      <c r="D3" s="3"/>
      <c r="E3" s="3"/>
      <c r="F3" s="3"/>
      <c r="G3" s="11" t="s">
        <v>36</v>
      </c>
      <c r="H3" s="11" t="s">
        <v>37</v>
      </c>
      <c r="I3" s="3"/>
    </row>
    <row r="4" spans="2:9" ht="15.75">
      <c r="B4" s="797" t="s">
        <v>38</v>
      </c>
      <c r="C4" s="797"/>
      <c r="D4" s="797"/>
      <c r="E4" s="797"/>
      <c r="F4" s="797"/>
      <c r="G4" s="797"/>
      <c r="H4" s="797"/>
      <c r="I4" s="797"/>
    </row>
    <row r="5" spans="2:9" ht="15.75">
      <c r="B5" s="806" t="str">
        <f>inputPrYr!D2</f>
        <v>Guilford Township</v>
      </c>
      <c r="C5" s="806"/>
      <c r="D5" s="806"/>
      <c r="E5" s="806"/>
      <c r="F5" s="806"/>
      <c r="G5" s="806"/>
      <c r="H5" s="806"/>
      <c r="I5" s="806"/>
    </row>
    <row r="6" spans="2:9" ht="15.75">
      <c r="B6" s="806" t="str">
        <f>inputPrYr!D3</f>
        <v>Wilson County</v>
      </c>
      <c r="C6" s="806"/>
      <c r="D6" s="806"/>
      <c r="E6" s="806"/>
      <c r="F6" s="806"/>
      <c r="G6" s="806"/>
      <c r="H6" s="806"/>
      <c r="I6" s="806"/>
    </row>
    <row r="7" spans="2:9" ht="15.75">
      <c r="B7" s="797" t="str">
        <f>CONCATENATE("will meet on ",inputBudSum!B8," at ",inputBudSum!B10," at ",inputBudSum!B12," for the purpose of hearing and")</f>
        <v>will meet on August 15, 2014 at 6:00 p.m. at the Benedict City Hall for the purpose of hearing and</v>
      </c>
      <c r="C7" s="797"/>
      <c r="D7" s="797"/>
      <c r="E7" s="797"/>
      <c r="F7" s="797"/>
      <c r="G7" s="797"/>
      <c r="H7" s="797"/>
      <c r="I7" s="797"/>
    </row>
    <row r="8" spans="2:9" ht="15.75">
      <c r="B8" s="136" t="s">
        <v>565</v>
      </c>
      <c r="C8" s="134"/>
      <c r="D8" s="134"/>
      <c r="E8" s="134"/>
      <c r="F8" s="134"/>
      <c r="G8" s="134"/>
      <c r="H8" s="134"/>
      <c r="I8" s="134"/>
    </row>
    <row r="9" spans="2:9" ht="15.75">
      <c r="B9" s="136" t="str">
        <f>CONCATENATE("Detailed budget information is available at ",inputBudSum!B15," and will be available at this hearing.")</f>
        <v>Detailed budget information is available at Becky Bockover's residence and will be available at this hearing.</v>
      </c>
      <c r="C9" s="134"/>
      <c r="D9" s="134"/>
      <c r="E9" s="134"/>
      <c r="F9" s="134"/>
      <c r="G9" s="134"/>
      <c r="H9" s="134"/>
      <c r="I9" s="134"/>
    </row>
    <row r="10" spans="2:9" ht="15.75">
      <c r="B10" s="133" t="s">
        <v>71</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10" t="str">
        <f>CONCATENATE("Amount of ",I1-1," Ad Valorem Tax")</f>
        <v>Amount of 2014 Ad Valorem Tax</v>
      </c>
      <c r="I15" s="12" t="s">
        <v>39</v>
      </c>
      <c r="J15" s="138"/>
    </row>
    <row r="16" spans="2:10" ht="15.75">
      <c r="B16" s="3"/>
      <c r="C16" s="145"/>
      <c r="D16" s="145" t="s">
        <v>40</v>
      </c>
      <c r="E16" s="145"/>
      <c r="F16" s="145" t="s">
        <v>40</v>
      </c>
      <c r="G16" s="145" t="s">
        <v>182</v>
      </c>
      <c r="H16" s="849"/>
      <c r="I16" s="145" t="s">
        <v>40</v>
      </c>
      <c r="J16" s="138"/>
    </row>
    <row r="17" spans="2:10" ht="15.75">
      <c r="B17" s="14" t="s">
        <v>259</v>
      </c>
      <c r="C17" s="15" t="s">
        <v>41</v>
      </c>
      <c r="D17" s="15" t="s">
        <v>42</v>
      </c>
      <c r="E17" s="15" t="s">
        <v>41</v>
      </c>
      <c r="F17" s="15" t="s">
        <v>42</v>
      </c>
      <c r="G17" s="15" t="s">
        <v>679</v>
      </c>
      <c r="H17" s="850"/>
      <c r="I17" s="15" t="s">
        <v>42</v>
      </c>
      <c r="J17" s="138"/>
    </row>
    <row r="18" spans="2:10" ht="15.75">
      <c r="B18" s="74" t="str">
        <f>inputPrYr!B16</f>
        <v>General</v>
      </c>
      <c r="C18" s="52">
        <f>IF(gen!$C$50&lt;&gt;0,gen!$C$50,"  ")</f>
        <v>1229</v>
      </c>
      <c r="D18" s="499">
        <f>IF(inputPrYr!D42&gt;0,inputPrYr!D42,"  ")</f>
        <v>0.316</v>
      </c>
      <c r="E18" s="21">
        <f>IF(gen!$D$50&lt;&gt;0,gen!$D$50,"  ")</f>
        <v>3118</v>
      </c>
      <c r="F18" s="224">
        <f>IF(inputOth!D17&gt;0,inputOth!D17,"  ")</f>
        <v>0.299</v>
      </c>
      <c r="G18" s="21">
        <f>IF(gen!$E$50&lt;&gt;0,gen!$E$50,"  ")</f>
        <v>3300</v>
      </c>
      <c r="H18" s="21">
        <f>IF(gen!$E$57&lt;&gt;0,gen!$E$57," ")</f>
        <v>1003</v>
      </c>
      <c r="I18" s="501">
        <f>IF(gen!E57&gt;0,ROUND(H18/$G$37*1000,3)," ")</f>
        <v>0.278</v>
      </c>
      <c r="J18" s="138"/>
    </row>
    <row r="19" spans="2:10" ht="15.75">
      <c r="B19" s="74"/>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  </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  </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54" t="str">
        <f>CONCATENATE("Estimated Value Of One Mill For ",I1,"")</f>
        <v>Estimated Value Of One Mill For 2015</v>
      </c>
      <c r="L21" s="859"/>
      <c r="M21" s="859"/>
      <c r="N21" s="860"/>
    </row>
    <row r="22" spans="2:14" ht="15.75">
      <c r="B22" s="74" t="str">
        <f>IF(inputPrYr!$B20&gt;"  ",inputPrYr!$B20,"  ")</f>
        <v>Fire</v>
      </c>
      <c r="C22" s="21">
        <f>IF(fire!$C$33&lt;&gt;0,fire!$C$33,"  ")</f>
        <v>2199</v>
      </c>
      <c r="D22" s="499">
        <f>IF(inputPrYr!D46&gt;0,inputPrYr!D46,"  ")</f>
        <v>0.63</v>
      </c>
      <c r="E22" s="21">
        <f>IF(fire!$D$33&lt;&gt;0,fire!$D$33,"  ")</f>
        <v>2830</v>
      </c>
      <c r="F22" s="224">
        <f>IF(inputOth!D21&gt;0,inputOth!D21,"  ")</f>
        <v>0.588</v>
      </c>
      <c r="G22" s="21">
        <f>IF(fire!$E$33&lt;&gt;0,fire!$E$33,"  ")</f>
        <v>3375</v>
      </c>
      <c r="H22" s="21">
        <f>IF(fire!$E$40&lt;&gt;0,fire!$E$40,"  ")</f>
        <v>2050</v>
      </c>
      <c r="I22" s="501">
        <f>IF(fire!E40&gt;0,ROUND(H22/$G$37*1000,3)," ")</f>
        <v>0.568</v>
      </c>
      <c r="K22" s="475"/>
      <c r="L22" s="476"/>
      <c r="M22" s="476"/>
      <c r="N22" s="477"/>
    </row>
    <row r="23" spans="2:14" ht="15.75">
      <c r="B23" s="74" t="str">
        <f>IF(inputPrYr!$B21&gt;"  ",inputPrYr!$B21,"  ")</f>
        <v>  </v>
      </c>
      <c r="C23" s="21" t="str">
        <f>IF(fire!$C$73&lt;&gt;0,fire!$C$73,"  ")</f>
        <v>  </v>
      </c>
      <c r="D23" s="499" t="str">
        <f>IF(inputPrYr!D47&gt;0,inputPrYr!D47,"  ")</f>
        <v>  </v>
      </c>
      <c r="E23" s="21" t="str">
        <f>IF(fire!$D$73&lt;&gt;0,fire!$D$73,"  ")</f>
        <v>  </v>
      </c>
      <c r="F23" s="224" t="str">
        <f>IF(inputOth!D22&gt;0,inputOth!D22,"  ")</f>
        <v>  </v>
      </c>
      <c r="G23" s="21" t="str">
        <f>IF(fire!$E$73&lt;&gt;0,fire!$E$73,"  ")</f>
        <v>  </v>
      </c>
      <c r="H23" s="21" t="str">
        <f>IF(fire!$E$80&lt;&gt;0,fire!$E$80,"  ")</f>
        <v>  </v>
      </c>
      <c r="I23" s="501" t="str">
        <f>IF(fire!E80&gt;0,ROUND(H23/$G$37*1000,3)," ")</f>
        <v> </v>
      </c>
      <c r="K23" s="478" t="s">
        <v>676</v>
      </c>
      <c r="L23" s="479"/>
      <c r="M23" s="479"/>
      <c r="N23" s="480">
        <f>ROUND(G37/1000,0)</f>
        <v>3607</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54" t="str">
        <f>CONCATENATE("Want The Mill Rate The Same As For ",I1-1,"?")</f>
        <v>Want The Mill Rate The Same As For 2014?</v>
      </c>
      <c r="L25" s="857"/>
      <c r="M25" s="857"/>
      <c r="N25" s="858"/>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0.887</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146</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261</v>
      </c>
      <c r="C31" s="454" t="str">
        <f>IF(road!C64&lt;&gt;0,road!C64,"  ")</f>
        <v>  </v>
      </c>
      <c r="D31" s="455"/>
      <c r="E31" s="500"/>
      <c r="F31" s="455"/>
      <c r="G31" s="500"/>
      <c r="H31" s="500"/>
      <c r="I31" s="455"/>
      <c r="K31" s="489"/>
      <c r="L31" s="489"/>
      <c r="M31" s="489"/>
      <c r="N31" s="489"/>
    </row>
    <row r="32" spans="2:14" ht="15.75">
      <c r="B32" s="61" t="s">
        <v>262</v>
      </c>
      <c r="C32" s="502">
        <f aca="true" t="shared" si="0" ref="C32:I32">SUM(C18:C31)</f>
        <v>3428</v>
      </c>
      <c r="D32" s="453">
        <f t="shared" si="0"/>
        <v>0.946</v>
      </c>
      <c r="E32" s="502">
        <f t="shared" si="0"/>
        <v>5948</v>
      </c>
      <c r="F32" s="453">
        <f t="shared" si="0"/>
        <v>0.887</v>
      </c>
      <c r="G32" s="502">
        <f t="shared" si="0"/>
        <v>6675</v>
      </c>
      <c r="H32" s="502">
        <f t="shared" si="0"/>
        <v>3053</v>
      </c>
      <c r="I32" s="505">
        <f t="shared" si="0"/>
        <v>0.846</v>
      </c>
      <c r="K32" s="854" t="str">
        <f>CONCATENATE("Impact On Keeping The Same Mill Rate As For ",I1-1,"")</f>
        <v>Impact On Keeping The Same Mill Rate As For 2014</v>
      </c>
      <c r="L32" s="855"/>
      <c r="M32" s="855"/>
      <c r="N32" s="856"/>
    </row>
    <row r="33" spans="2:14" ht="15.75">
      <c r="B33" s="261" t="s">
        <v>43</v>
      </c>
      <c r="C33" s="21">
        <f>transfer!C29</f>
        <v>0</v>
      </c>
      <c r="D33" s="3"/>
      <c r="E33" s="21">
        <f>transfer!D29</f>
        <v>0</v>
      </c>
      <c r="F33" s="50"/>
      <c r="G33" s="21">
        <f>transfer!E29</f>
        <v>0</v>
      </c>
      <c r="H33" s="3"/>
      <c r="I33" s="3"/>
      <c r="K33" s="482"/>
      <c r="L33" s="476"/>
      <c r="M33" s="476"/>
      <c r="N33" s="483"/>
    </row>
    <row r="34" spans="2:14" ht="16.5" thickBot="1">
      <c r="B34" s="261" t="s">
        <v>44</v>
      </c>
      <c r="C34" s="503">
        <f>C32-C33</f>
        <v>3428</v>
      </c>
      <c r="D34" s="3"/>
      <c r="E34" s="503">
        <f>E32-E33</f>
        <v>5948</v>
      </c>
      <c r="F34" s="3"/>
      <c r="G34" s="503">
        <f>G32-G33</f>
        <v>6675</v>
      </c>
      <c r="H34" s="3"/>
      <c r="I34" s="3"/>
      <c r="K34" s="482" t="str">
        <f>CONCATENATE("",I1," Ad Valorem Tax Revenue:")</f>
        <v>2015 Ad Valorem Tax Revenue:</v>
      </c>
      <c r="L34" s="476"/>
      <c r="M34" s="476"/>
      <c r="N34" s="477">
        <f>H32</f>
        <v>3053</v>
      </c>
    </row>
    <row r="35" spans="2:14" ht="16.5" thickTop="1">
      <c r="B35" s="261" t="s">
        <v>45</v>
      </c>
      <c r="C35" s="504">
        <f>inputPrYr!E54</f>
        <v>3002</v>
      </c>
      <c r="D35" s="50"/>
      <c r="E35" s="504">
        <f>inputPrYr!E26</f>
        <v>3005</v>
      </c>
      <c r="F35" s="3"/>
      <c r="G35" s="495" t="s">
        <v>263</v>
      </c>
      <c r="H35" s="3"/>
      <c r="I35" s="3"/>
      <c r="K35" s="482" t="str">
        <f>CONCATENATE("",I1-1," Ad Valorem Tax Revenue:")</f>
        <v>2014 Ad Valorem Tax Revenue:</v>
      </c>
      <c r="L35" s="476"/>
      <c r="M35" s="476"/>
      <c r="N35" s="490">
        <f>ROUND(G37*N27/1000,0)</f>
        <v>3199</v>
      </c>
    </row>
    <row r="36" spans="2:14" ht="15.75">
      <c r="B36" s="261" t="s">
        <v>46</v>
      </c>
      <c r="C36" s="44"/>
      <c r="D36" s="50"/>
      <c r="E36" s="44"/>
      <c r="F36" s="50"/>
      <c r="G36" s="3"/>
      <c r="H36" s="3"/>
      <c r="I36" s="3"/>
      <c r="K36" s="487" t="s">
        <v>677</v>
      </c>
      <c r="L36" s="488"/>
      <c r="M36" s="488"/>
      <c r="N36" s="480">
        <f>N34-N35</f>
        <v>-146</v>
      </c>
    </row>
    <row r="37" spans="2:14" ht="15.75">
      <c r="B37" s="261" t="s">
        <v>47</v>
      </c>
      <c r="C37" s="21">
        <f>inputPrYr!E55</f>
        <v>3175984</v>
      </c>
      <c r="D37" s="3"/>
      <c r="E37" s="21">
        <f>inputOth!E29</f>
        <v>3389720</v>
      </c>
      <c r="F37" s="3"/>
      <c r="G37" s="21">
        <f>inputOth!E7</f>
        <v>3606585</v>
      </c>
      <c r="H37" s="3"/>
      <c r="I37" s="3"/>
      <c r="K37" s="481"/>
      <c r="L37" s="481"/>
      <c r="M37" s="481"/>
      <c r="N37" s="489"/>
    </row>
    <row r="38" spans="2:14" ht="15.75">
      <c r="B38" s="11" t="s">
        <v>48</v>
      </c>
      <c r="C38" s="3"/>
      <c r="D38" s="3"/>
      <c r="E38" s="3"/>
      <c r="F38" s="3"/>
      <c r="G38" s="3"/>
      <c r="H38" s="3"/>
      <c r="I38" s="3"/>
      <c r="K38" s="854" t="s">
        <v>678</v>
      </c>
      <c r="L38" s="857"/>
      <c r="M38" s="857"/>
      <c r="N38" s="858"/>
    </row>
    <row r="39" spans="2:14" ht="15.75">
      <c r="B39" s="11" t="s">
        <v>49</v>
      </c>
      <c r="C39" s="149">
        <f>I1-3</f>
        <v>2012</v>
      </c>
      <c r="D39" s="3"/>
      <c r="E39" s="149">
        <f>I1-2</f>
        <v>2013</v>
      </c>
      <c r="F39" s="3"/>
      <c r="G39" s="149">
        <f>I1-1</f>
        <v>2014</v>
      </c>
      <c r="H39" s="3"/>
      <c r="I39" s="3"/>
      <c r="K39" s="482"/>
      <c r="L39" s="476"/>
      <c r="M39" s="476"/>
      <c r="N39" s="483"/>
    </row>
    <row r="40" spans="2:14" ht="15.75">
      <c r="B40" s="11" t="s">
        <v>50</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0.846</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703</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51</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52</v>
      </c>
      <c r="C44" s="3"/>
      <c r="D44" s="3"/>
      <c r="E44" s="3"/>
      <c r="F44" s="3"/>
      <c r="G44" s="3"/>
      <c r="H44" s="3"/>
      <c r="I44" s="3"/>
    </row>
    <row r="45" spans="2:9" ht="15.75">
      <c r="B45" s="3"/>
      <c r="C45" s="3"/>
      <c r="D45" s="3"/>
      <c r="E45" s="3"/>
      <c r="F45" s="3"/>
      <c r="G45" s="3"/>
      <c r="H45" s="3"/>
      <c r="I45" s="3"/>
    </row>
    <row r="46" spans="2:9" ht="15.75">
      <c r="B46" s="853"/>
      <c r="C46" s="853"/>
      <c r="D46" s="3"/>
      <c r="E46" s="3"/>
      <c r="F46" s="3"/>
      <c r="G46" s="3"/>
      <c r="H46" s="3"/>
      <c r="I46" s="3"/>
    </row>
    <row r="47" spans="2:9" ht="15.75">
      <c r="B47" s="851" t="str">
        <f>inputBudSum!B6</f>
        <v>Township Officer</v>
      </c>
      <c r="C47" s="852"/>
      <c r="D47" s="3"/>
      <c r="E47" s="3"/>
      <c r="F47" s="3"/>
      <c r="G47" s="3"/>
      <c r="H47" s="3"/>
      <c r="I47" s="3"/>
    </row>
    <row r="48" spans="2:9" ht="15.75">
      <c r="B48" s="3"/>
      <c r="C48" s="3"/>
      <c r="D48" s="3"/>
      <c r="E48" s="3"/>
      <c r="F48" s="3"/>
      <c r="G48" s="3"/>
      <c r="H48" s="3"/>
      <c r="I48" s="3"/>
    </row>
    <row r="49" spans="2:9" ht="15.75">
      <c r="B49" s="3"/>
      <c r="C49" s="41" t="s">
        <v>9</v>
      </c>
      <c r="D49" s="70">
        <v>8</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61" t="s">
        <v>724</v>
      </c>
      <c r="C2" s="861"/>
      <c r="D2" s="861"/>
      <c r="E2" s="861"/>
      <c r="F2" s="861"/>
      <c r="G2" s="861"/>
      <c r="H2" s="861"/>
      <c r="I2" s="861"/>
    </row>
    <row r="3" spans="2:9" ht="15.75">
      <c r="B3" s="861" t="s">
        <v>725</v>
      </c>
      <c r="C3" s="861"/>
      <c r="D3" s="861"/>
      <c r="E3" s="861"/>
      <c r="F3" s="861"/>
      <c r="G3" s="861"/>
      <c r="H3" s="861"/>
      <c r="I3" s="861"/>
    </row>
    <row r="4" spans="2:9" ht="15.75">
      <c r="B4" s="531"/>
      <c r="C4" s="531"/>
      <c r="D4" s="531"/>
      <c r="E4" s="531"/>
      <c r="F4" s="531"/>
      <c r="G4" s="531"/>
      <c r="H4" s="531"/>
      <c r="I4" s="531"/>
    </row>
    <row r="5" spans="2:9" ht="15.75">
      <c r="B5" s="862" t="str">
        <f>CONCATENATE("Budgeted Year: ",inputPrYr!D5,"")</f>
        <v>Budgeted Year: 2015</v>
      </c>
      <c r="C5" s="862"/>
      <c r="D5" s="862"/>
      <c r="E5" s="862"/>
      <c r="F5" s="862"/>
      <c r="G5" s="862"/>
      <c r="H5" s="862"/>
      <c r="I5" s="862"/>
    </row>
    <row r="6" spans="2:9" ht="15.75">
      <c r="B6" s="532"/>
      <c r="C6" s="531"/>
      <c r="D6" s="531"/>
      <c r="E6" s="531"/>
      <c r="F6" s="531"/>
      <c r="G6" s="531"/>
      <c r="H6" s="531"/>
      <c r="I6" s="531"/>
    </row>
    <row r="7" spans="2:9" ht="15.75">
      <c r="B7" s="532" t="str">
        <f>CONCATENATE("Library found in: ",inputPrYr!D2,"")</f>
        <v>Library found in: Guilford Township</v>
      </c>
      <c r="C7" s="531"/>
      <c r="D7" s="531"/>
      <c r="E7" s="531"/>
      <c r="F7" s="531"/>
      <c r="G7" s="531"/>
      <c r="H7" s="531"/>
      <c r="I7" s="531"/>
    </row>
    <row r="8" spans="2:9" ht="15.75">
      <c r="B8" s="532" t="str">
        <f>inputPrYr!D3</f>
        <v>Wilson County</v>
      </c>
      <c r="C8" s="531"/>
      <c r="D8" s="531"/>
      <c r="E8" s="531"/>
      <c r="F8" s="531"/>
      <c r="G8" s="531"/>
      <c r="H8" s="531"/>
      <c r="I8" s="531"/>
    </row>
    <row r="9" spans="2:9" ht="15.75">
      <c r="B9" s="531"/>
      <c r="C9" s="531"/>
      <c r="D9" s="531"/>
      <c r="E9" s="531"/>
      <c r="F9" s="531"/>
      <c r="G9" s="531"/>
      <c r="H9" s="531"/>
      <c r="I9" s="531"/>
    </row>
    <row r="10" spans="2:9" ht="39" customHeight="1">
      <c r="B10" s="863" t="s">
        <v>726</v>
      </c>
      <c r="C10" s="863"/>
      <c r="D10" s="863"/>
      <c r="E10" s="863"/>
      <c r="F10" s="863"/>
      <c r="G10" s="863"/>
      <c r="H10" s="863"/>
      <c r="I10" s="863"/>
    </row>
    <row r="11" spans="2:9" ht="15.75">
      <c r="B11" s="531"/>
      <c r="C11" s="531"/>
      <c r="D11" s="531"/>
      <c r="E11" s="531"/>
      <c r="F11" s="531"/>
      <c r="G11" s="531"/>
      <c r="H11" s="531"/>
      <c r="I11" s="531"/>
    </row>
    <row r="12" spans="2:9" ht="15.75">
      <c r="B12" s="533" t="s">
        <v>727</v>
      </c>
      <c r="C12" s="531"/>
      <c r="D12" s="531"/>
      <c r="E12" s="531"/>
      <c r="F12" s="531"/>
      <c r="G12" s="531"/>
      <c r="H12" s="531"/>
      <c r="I12" s="531"/>
    </row>
    <row r="13" spans="2:9" ht="15.75">
      <c r="B13" s="531"/>
      <c r="C13" s="531"/>
      <c r="D13" s="531"/>
      <c r="E13" s="534" t="s">
        <v>12</v>
      </c>
      <c r="F13" s="531"/>
      <c r="G13" s="534" t="s">
        <v>728</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135</v>
      </c>
      <c r="C20" s="531"/>
      <c r="D20" s="531"/>
      <c r="E20" s="536">
        <v>0</v>
      </c>
      <c r="F20" s="531"/>
      <c r="G20" s="536">
        <v>0</v>
      </c>
      <c r="H20" s="531"/>
      <c r="I20" s="531"/>
    </row>
    <row r="21" spans="2:9" ht="15.75">
      <c r="B21" s="531"/>
      <c r="C21" s="531"/>
      <c r="D21" s="531"/>
      <c r="E21" s="536">
        <v>0</v>
      </c>
      <c r="F21" s="531"/>
      <c r="G21" s="536">
        <v>0</v>
      </c>
      <c r="H21" s="531"/>
      <c r="I21" s="531"/>
    </row>
    <row r="22" spans="2:9" ht="15.75">
      <c r="B22" s="531" t="s">
        <v>729</v>
      </c>
      <c r="C22" s="531"/>
      <c r="D22" s="531"/>
      <c r="E22" s="537">
        <f>SUM(E15:E21)</f>
        <v>0</v>
      </c>
      <c r="F22" s="531"/>
      <c r="G22" s="537">
        <f>SUM(G15:G21)</f>
        <v>0</v>
      </c>
      <c r="H22" s="531"/>
      <c r="I22" s="531"/>
    </row>
    <row r="23" spans="2:9" ht="15.75">
      <c r="B23" s="531" t="s">
        <v>730</v>
      </c>
      <c r="C23" s="531"/>
      <c r="D23" s="531"/>
      <c r="E23" s="538">
        <f>G22-E22</f>
        <v>0</v>
      </c>
      <c r="F23" s="531"/>
      <c r="G23" s="539"/>
      <c r="H23" s="531"/>
      <c r="I23" s="531"/>
    </row>
    <row r="24" spans="2:9" ht="15.75">
      <c r="B24" s="531" t="s">
        <v>731</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732</v>
      </c>
      <c r="C26" s="531"/>
      <c r="D26" s="531"/>
      <c r="E26" s="531"/>
      <c r="F26" s="531"/>
      <c r="G26" s="531"/>
      <c r="H26" s="531"/>
      <c r="I26" s="531"/>
    </row>
    <row r="27" spans="2:9" ht="15.75">
      <c r="B27" s="531" t="s">
        <v>733</v>
      </c>
      <c r="C27" s="531"/>
      <c r="D27" s="531"/>
      <c r="E27" s="536">
        <f>summ!E37</f>
        <v>3389720</v>
      </c>
      <c r="F27" s="531"/>
      <c r="G27" s="536">
        <f>summ!G37</f>
        <v>3606585</v>
      </c>
      <c r="H27" s="531"/>
      <c r="I27" s="531"/>
    </row>
    <row r="28" spans="2:9" ht="15.75">
      <c r="B28" s="531" t="s">
        <v>734</v>
      </c>
      <c r="C28" s="531"/>
      <c r="D28" s="531"/>
      <c r="E28" s="541" t="str">
        <f>IF(G27-E27&gt;=0,"No","Yes")</f>
        <v>No</v>
      </c>
      <c r="F28" s="531"/>
      <c r="G28" s="531"/>
      <c r="H28" s="531"/>
      <c r="I28" s="531"/>
    </row>
    <row r="29" spans="2:9" ht="15.75">
      <c r="B29" s="531" t="s">
        <v>735</v>
      </c>
      <c r="C29" s="531"/>
      <c r="D29" s="531"/>
      <c r="E29" s="542" t="str">
        <f>summ!F20</f>
        <v>  </v>
      </c>
      <c r="F29" s="531"/>
      <c r="G29" s="542" t="str">
        <f>summ!I20</f>
        <v> </v>
      </c>
      <c r="H29" s="531"/>
      <c r="I29" s="531"/>
    </row>
    <row r="30" spans="2:9" ht="15.75">
      <c r="B30" s="531" t="s">
        <v>736</v>
      </c>
      <c r="C30" s="531"/>
      <c r="D30" s="531"/>
      <c r="E30" s="543" t="e">
        <f>G29-E29</f>
        <v>#VALUE!</v>
      </c>
      <c r="F30" s="531"/>
      <c r="G30" s="531"/>
      <c r="H30" s="531"/>
      <c r="I30" s="531"/>
    </row>
    <row r="31" spans="2:9" ht="15.75">
      <c r="B31" s="531" t="s">
        <v>731</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737</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63" t="s">
        <v>738</v>
      </c>
      <c r="C36" s="863"/>
      <c r="D36" s="863"/>
      <c r="E36" s="863"/>
      <c r="F36" s="863"/>
      <c r="G36" s="863"/>
      <c r="H36" s="863"/>
      <c r="I36" s="863"/>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739</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64" t="s">
        <v>740</v>
      </c>
      <c r="C43" s="865"/>
      <c r="D43" s="865"/>
      <c r="E43" s="865"/>
      <c r="F43" s="865"/>
      <c r="G43" s="865"/>
      <c r="H43" s="865"/>
      <c r="I43" s="865"/>
    </row>
    <row r="44" spans="2:9" ht="15.75">
      <c r="B44" s="531"/>
      <c r="C44" s="531"/>
      <c r="D44" s="531"/>
      <c r="E44" s="531"/>
      <c r="F44" s="531"/>
      <c r="G44" s="531"/>
      <c r="H44" s="531"/>
      <c r="I44" s="531"/>
    </row>
    <row r="45" spans="2:9" ht="15.75">
      <c r="B45" s="548" t="s">
        <v>741</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742</v>
      </c>
      <c r="C49" s="548"/>
      <c r="D49" s="549"/>
      <c r="E49" s="549"/>
      <c r="F49" s="549"/>
      <c r="G49" s="549"/>
      <c r="H49" s="549"/>
      <c r="I49" s="549"/>
    </row>
    <row r="50" spans="2:9" ht="15.75">
      <c r="B50" s="548" t="s">
        <v>743</v>
      </c>
      <c r="C50" s="548"/>
      <c r="D50" s="549"/>
      <c r="E50" s="549"/>
      <c r="F50" s="549"/>
      <c r="G50" s="549"/>
      <c r="H50" s="549"/>
      <c r="I50" s="549"/>
    </row>
    <row r="51" spans="2:9" ht="15.75">
      <c r="B51" s="548" t="s">
        <v>744</v>
      </c>
      <c r="C51" s="548"/>
      <c r="D51" s="549"/>
      <c r="E51" s="549"/>
      <c r="F51" s="549"/>
      <c r="G51" s="549"/>
      <c r="H51" s="549"/>
      <c r="I51" s="549"/>
    </row>
    <row r="52" spans="2:9" ht="15">
      <c r="B52" s="549"/>
      <c r="C52" s="549"/>
      <c r="D52" s="549"/>
      <c r="E52" s="549"/>
      <c r="F52" s="549"/>
      <c r="G52" s="549"/>
      <c r="H52" s="549"/>
      <c r="I52" s="549"/>
    </row>
    <row r="53" spans="2:9" ht="15.75">
      <c r="B53" s="550" t="s">
        <v>745</v>
      </c>
      <c r="C53" s="549"/>
      <c r="D53" s="549"/>
      <c r="E53" s="549"/>
      <c r="F53" s="549"/>
      <c r="G53" s="549"/>
      <c r="H53" s="549"/>
      <c r="I53" s="549"/>
    </row>
    <row r="54" spans="2:9" ht="15">
      <c r="B54" s="549"/>
      <c r="C54" s="549"/>
      <c r="D54" s="549"/>
      <c r="E54" s="549"/>
      <c r="F54" s="549"/>
      <c r="G54" s="549"/>
      <c r="H54" s="549"/>
      <c r="I54" s="549"/>
    </row>
    <row r="55" spans="2:9" ht="15.75">
      <c r="B55" s="548" t="s">
        <v>746</v>
      </c>
      <c r="C55" s="549"/>
      <c r="D55" s="549"/>
      <c r="E55" s="549"/>
      <c r="F55" s="549"/>
      <c r="G55" s="549"/>
      <c r="H55" s="549"/>
      <c r="I55" s="549"/>
    </row>
    <row r="56" spans="2:9" ht="15.75">
      <c r="B56" s="548" t="s">
        <v>747</v>
      </c>
      <c r="C56" s="549"/>
      <c r="D56" s="549"/>
      <c r="E56" s="549"/>
      <c r="F56" s="549"/>
      <c r="G56" s="549"/>
      <c r="H56" s="549"/>
      <c r="I56" s="549"/>
    </row>
    <row r="57" spans="2:9" ht="15">
      <c r="B57" s="549"/>
      <c r="C57" s="549"/>
      <c r="D57" s="549"/>
      <c r="E57" s="549"/>
      <c r="F57" s="549"/>
      <c r="G57" s="549"/>
      <c r="H57" s="549"/>
      <c r="I57" s="549"/>
    </row>
    <row r="58" spans="2:9" ht="15.75">
      <c r="B58" s="550" t="s">
        <v>748</v>
      </c>
      <c r="C58" s="548"/>
      <c r="D58" s="548"/>
      <c r="E58" s="548"/>
      <c r="F58" s="548"/>
      <c r="G58" s="549"/>
      <c r="H58" s="549"/>
      <c r="I58" s="549"/>
    </row>
    <row r="59" spans="2:9" ht="15.75">
      <c r="B59" s="548"/>
      <c r="C59" s="548"/>
      <c r="D59" s="548"/>
      <c r="E59" s="548"/>
      <c r="F59" s="548"/>
      <c r="G59" s="549"/>
      <c r="H59" s="549"/>
      <c r="I59" s="549"/>
    </row>
    <row r="60" spans="2:9" ht="15.75">
      <c r="B60" s="548" t="s">
        <v>749</v>
      </c>
      <c r="C60" s="548"/>
      <c r="D60" s="548"/>
      <c r="E60" s="548"/>
      <c r="F60" s="548"/>
      <c r="G60" s="549"/>
      <c r="H60" s="549"/>
      <c r="I60" s="549"/>
    </row>
    <row r="61" spans="2:9" ht="15.75">
      <c r="B61" s="548" t="s">
        <v>750</v>
      </c>
      <c r="C61" s="548"/>
      <c r="D61" s="548"/>
      <c r="E61" s="548"/>
      <c r="F61" s="548"/>
      <c r="G61" s="549"/>
      <c r="H61" s="549"/>
      <c r="I61" s="549"/>
    </row>
    <row r="62" spans="2:9" ht="15.75">
      <c r="B62" s="548" t="s">
        <v>751</v>
      </c>
      <c r="C62" s="548"/>
      <c r="D62" s="548"/>
      <c r="E62" s="548"/>
      <c r="F62" s="548"/>
      <c r="G62" s="549"/>
      <c r="H62" s="549"/>
      <c r="I62" s="549"/>
    </row>
    <row r="63" spans="2:9" ht="15.75">
      <c r="B63" s="548" t="s">
        <v>752</v>
      </c>
      <c r="C63" s="548"/>
      <c r="D63" s="548"/>
      <c r="E63" s="548"/>
      <c r="F63" s="548"/>
      <c r="G63" s="549"/>
      <c r="H63" s="549"/>
      <c r="I63" s="549"/>
    </row>
    <row r="64" spans="2:9" ht="15">
      <c r="B64" s="551"/>
      <c r="C64" s="551"/>
      <c r="D64" s="551"/>
      <c r="E64" s="551"/>
      <c r="F64" s="551"/>
      <c r="G64" s="549"/>
      <c r="H64" s="549"/>
      <c r="I64" s="549"/>
    </row>
    <row r="65" spans="2:9" ht="15.75">
      <c r="B65" s="548" t="s">
        <v>753</v>
      </c>
      <c r="C65" s="551"/>
      <c r="D65" s="551"/>
      <c r="E65" s="551"/>
      <c r="F65" s="551"/>
      <c r="G65" s="549"/>
      <c r="H65" s="549"/>
      <c r="I65" s="549"/>
    </row>
    <row r="66" spans="2:9" ht="15.75">
      <c r="B66" s="548" t="s">
        <v>754</v>
      </c>
      <c r="C66" s="551"/>
      <c r="D66" s="551"/>
      <c r="E66" s="551"/>
      <c r="F66" s="551"/>
      <c r="G66" s="549"/>
      <c r="H66" s="549"/>
      <c r="I66" s="549"/>
    </row>
    <row r="67" spans="2:9" ht="15">
      <c r="B67" s="551"/>
      <c r="C67" s="551"/>
      <c r="D67" s="551"/>
      <c r="E67" s="551"/>
      <c r="F67" s="551"/>
      <c r="G67" s="549"/>
      <c r="H67" s="549"/>
      <c r="I67" s="549"/>
    </row>
    <row r="68" spans="2:9" ht="15.75">
      <c r="B68" s="548" t="s">
        <v>755</v>
      </c>
      <c r="C68" s="551"/>
      <c r="D68" s="551"/>
      <c r="E68" s="551"/>
      <c r="F68" s="551"/>
      <c r="G68" s="549"/>
      <c r="H68" s="549"/>
      <c r="I68" s="549"/>
    </row>
    <row r="69" spans="2:9" ht="15.75">
      <c r="B69" s="548" t="s">
        <v>756</v>
      </c>
      <c r="C69" s="551"/>
      <c r="D69" s="551"/>
      <c r="E69" s="551"/>
      <c r="F69" s="551"/>
      <c r="G69" s="549"/>
      <c r="H69" s="549"/>
      <c r="I69" s="549"/>
    </row>
    <row r="70" spans="2:9" ht="15">
      <c r="B70" s="551"/>
      <c r="C70" s="551"/>
      <c r="D70" s="551"/>
      <c r="E70" s="551"/>
      <c r="F70" s="551"/>
      <c r="G70" s="549"/>
      <c r="H70" s="549"/>
      <c r="I70" s="549"/>
    </row>
    <row r="71" spans="2:9" ht="15.75">
      <c r="B71" s="550" t="s">
        <v>757</v>
      </c>
      <c r="C71" s="551"/>
      <c r="D71" s="551"/>
      <c r="E71" s="551"/>
      <c r="F71" s="551"/>
      <c r="G71" s="549"/>
      <c r="H71" s="549"/>
      <c r="I71" s="549"/>
    </row>
    <row r="72" spans="2:9" ht="15">
      <c r="B72" s="551"/>
      <c r="C72" s="551"/>
      <c r="D72" s="551"/>
      <c r="E72" s="551"/>
      <c r="F72" s="551"/>
      <c r="G72" s="549"/>
      <c r="H72" s="549"/>
      <c r="I72" s="549"/>
    </row>
    <row r="73" spans="2:9" ht="15.75">
      <c r="B73" s="548" t="s">
        <v>758</v>
      </c>
      <c r="C73" s="551"/>
      <c r="D73" s="551"/>
      <c r="E73" s="551"/>
      <c r="F73" s="551"/>
      <c r="G73" s="549"/>
      <c r="H73" s="549"/>
      <c r="I73" s="549"/>
    </row>
    <row r="74" spans="2:9" ht="15.75">
      <c r="B74" s="548" t="s">
        <v>759</v>
      </c>
      <c r="C74" s="551"/>
      <c r="D74" s="551"/>
      <c r="E74" s="551"/>
      <c r="F74" s="551"/>
      <c r="G74" s="549"/>
      <c r="H74" s="549"/>
      <c r="I74" s="549"/>
    </row>
    <row r="75" spans="2:9" ht="15">
      <c r="B75" s="551"/>
      <c r="C75" s="551"/>
      <c r="D75" s="551"/>
      <c r="E75" s="551"/>
      <c r="F75" s="551"/>
      <c r="G75" s="549"/>
      <c r="H75" s="549"/>
      <c r="I75" s="549"/>
    </row>
    <row r="76" spans="2:9" ht="15.75">
      <c r="B76" s="550" t="s">
        <v>760</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761</v>
      </c>
      <c r="C79" s="551"/>
      <c r="D79" s="551"/>
      <c r="E79" s="551"/>
      <c r="F79" s="551"/>
      <c r="G79" s="549"/>
      <c r="H79" s="549"/>
      <c r="I79" s="549"/>
    </row>
    <row r="80" spans="2:9" ht="15">
      <c r="B80" s="551"/>
      <c r="C80" s="551"/>
      <c r="D80" s="551"/>
      <c r="E80" s="551"/>
      <c r="F80" s="551"/>
      <c r="G80" s="549"/>
      <c r="H80" s="549"/>
      <c r="I80" s="549"/>
    </row>
    <row r="81" spans="2:9" ht="15.75">
      <c r="B81" s="550" t="s">
        <v>359</v>
      </c>
      <c r="C81" s="551"/>
      <c r="D81" s="551"/>
      <c r="E81" s="551"/>
      <c r="F81" s="551"/>
      <c r="G81" s="549"/>
      <c r="H81" s="549"/>
      <c r="I81" s="549"/>
    </row>
    <row r="82" spans="2:9" ht="15">
      <c r="B82" s="551"/>
      <c r="C82" s="551"/>
      <c r="D82" s="551"/>
      <c r="E82" s="551"/>
      <c r="F82" s="551"/>
      <c r="G82" s="549"/>
      <c r="H82" s="549"/>
      <c r="I82" s="549"/>
    </row>
    <row r="83" spans="2:9" ht="15.75">
      <c r="B83" s="548" t="s">
        <v>762</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763</v>
      </c>
      <c r="C86" s="551"/>
      <c r="D86" s="551"/>
      <c r="E86" s="551"/>
      <c r="F86" s="551"/>
      <c r="G86" s="549"/>
      <c r="H86" s="549"/>
      <c r="I86" s="549"/>
    </row>
    <row r="87" spans="2:9" ht="15.75">
      <c r="B87" s="548" t="s">
        <v>764</v>
      </c>
      <c r="C87" s="551"/>
      <c r="D87" s="551"/>
      <c r="E87" s="551"/>
      <c r="F87" s="551"/>
      <c r="G87" s="549"/>
      <c r="H87" s="549"/>
      <c r="I87" s="549"/>
    </row>
    <row r="88" spans="2:9" ht="15.75">
      <c r="B88" s="548" t="s">
        <v>765</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766</v>
      </c>
      <c r="C92" s="551"/>
      <c r="D92" s="551"/>
      <c r="E92" s="551"/>
      <c r="F92" s="551"/>
      <c r="G92" s="549"/>
      <c r="H92" s="549"/>
      <c r="I92" s="549"/>
    </row>
    <row r="93" spans="2:9" ht="15.75">
      <c r="B93" s="548" t="s">
        <v>767</v>
      </c>
      <c r="C93" s="551"/>
      <c r="D93" s="551"/>
      <c r="E93" s="551"/>
      <c r="F93" s="551"/>
      <c r="G93" s="549"/>
      <c r="H93" s="549"/>
      <c r="I93" s="549"/>
    </row>
    <row r="94" spans="2:9" ht="15.75">
      <c r="B94" s="548" t="s">
        <v>768</v>
      </c>
      <c r="C94" s="551"/>
      <c r="D94" s="551"/>
      <c r="E94" s="551"/>
      <c r="F94" s="551"/>
      <c r="G94" s="549"/>
      <c r="H94" s="549"/>
      <c r="I94" s="549"/>
    </row>
    <row r="95" spans="2:9" ht="15">
      <c r="B95" s="551"/>
      <c r="C95" s="551"/>
      <c r="D95" s="551"/>
      <c r="E95" s="551"/>
      <c r="F95" s="551"/>
      <c r="G95" s="549"/>
      <c r="H95" s="549"/>
      <c r="I95" s="549"/>
    </row>
    <row r="96" spans="2:9" ht="15.75">
      <c r="B96" s="550" t="s">
        <v>769</v>
      </c>
      <c r="C96" s="551"/>
      <c r="D96" s="551"/>
      <c r="E96" s="551"/>
      <c r="F96" s="551"/>
      <c r="G96" s="549"/>
      <c r="H96" s="549"/>
      <c r="I96" s="549"/>
    </row>
    <row r="97" spans="2:9" ht="15">
      <c r="B97" s="551"/>
      <c r="C97" s="551"/>
      <c r="D97" s="551"/>
      <c r="E97" s="551"/>
      <c r="F97" s="551"/>
      <c r="G97" s="549"/>
      <c r="H97" s="549"/>
      <c r="I97" s="549"/>
    </row>
    <row r="98" spans="2:9" ht="15.75">
      <c r="B98" s="548" t="s">
        <v>770</v>
      </c>
      <c r="C98" s="551"/>
      <c r="D98" s="551"/>
      <c r="E98" s="551"/>
      <c r="F98" s="551"/>
      <c r="G98" s="549"/>
      <c r="H98" s="549"/>
      <c r="I98" s="549"/>
    </row>
    <row r="99" spans="2:9" ht="15.75">
      <c r="B99" s="548" t="s">
        <v>771</v>
      </c>
      <c r="C99" s="551"/>
      <c r="D99" s="551"/>
      <c r="E99" s="551"/>
      <c r="F99" s="551"/>
      <c r="G99" s="549"/>
      <c r="H99" s="549"/>
      <c r="I99" s="549"/>
    </row>
    <row r="100" spans="2:9" ht="15">
      <c r="B100" s="551"/>
      <c r="C100" s="551"/>
      <c r="D100" s="551"/>
      <c r="E100" s="551"/>
      <c r="F100" s="551"/>
      <c r="G100" s="549"/>
      <c r="H100" s="549"/>
      <c r="I100" s="549"/>
    </row>
    <row r="101" spans="2:9" ht="15.75">
      <c r="B101" s="548" t="s">
        <v>772</v>
      </c>
      <c r="C101" s="551"/>
      <c r="D101" s="551"/>
      <c r="E101" s="551"/>
      <c r="F101" s="551"/>
      <c r="G101" s="549"/>
      <c r="H101" s="549"/>
      <c r="I101" s="549"/>
    </row>
    <row r="102" spans="2:9" ht="15.75">
      <c r="B102" s="548" t="s">
        <v>773</v>
      </c>
      <c r="C102" s="551"/>
      <c r="D102" s="551"/>
      <c r="E102" s="551"/>
      <c r="F102" s="551"/>
      <c r="G102" s="549"/>
      <c r="H102" s="549"/>
      <c r="I102" s="549"/>
    </row>
    <row r="103" spans="2:9" ht="15.75">
      <c r="B103" s="548" t="s">
        <v>774</v>
      </c>
      <c r="C103" s="551"/>
      <c r="D103" s="551"/>
      <c r="E103" s="551"/>
      <c r="F103" s="551"/>
      <c r="G103" s="549"/>
      <c r="H103" s="549"/>
      <c r="I103" s="549"/>
    </row>
    <row r="104" spans="2:9" ht="15.75">
      <c r="B104" s="548" t="s">
        <v>775</v>
      </c>
      <c r="C104" s="551"/>
      <c r="D104" s="551"/>
      <c r="E104" s="551"/>
      <c r="F104" s="551"/>
      <c r="G104" s="549"/>
      <c r="H104" s="549"/>
      <c r="I104" s="549"/>
    </row>
    <row r="105" spans="2:9" ht="15.75">
      <c r="B105" s="712" t="s">
        <v>879</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Guilford Township</v>
      </c>
      <c r="C1" s="554"/>
      <c r="D1" s="555"/>
      <c r="E1" s="556">
        <f>inputPrYr!D5</f>
        <v>2015</v>
      </c>
    </row>
    <row r="2" spans="2:5" ht="15.75">
      <c r="B2" s="555"/>
      <c r="C2" s="555"/>
      <c r="D2" s="555"/>
      <c r="E2" s="558"/>
    </row>
    <row r="3" spans="2:5" ht="15.75">
      <c r="B3" s="507" t="s">
        <v>680</v>
      </c>
      <c r="C3" s="507"/>
      <c r="D3" s="559"/>
      <c r="E3" s="560"/>
    </row>
    <row r="4" spans="2:5" ht="15.75">
      <c r="B4" s="561" t="s">
        <v>10</v>
      </c>
      <c r="C4" s="562" t="s">
        <v>776</v>
      </c>
      <c r="D4" s="563" t="s">
        <v>777</v>
      </c>
      <c r="E4" s="564" t="s">
        <v>778</v>
      </c>
    </row>
    <row r="5" spans="2:5" ht="15.75">
      <c r="B5" s="565">
        <f>inputPrYr!B17</f>
        <v>0</v>
      </c>
      <c r="C5" s="566" t="str">
        <f>CONCATENATE("Actual for ",$E$1-2,"")</f>
        <v>Actual for 2013</v>
      </c>
      <c r="D5" s="567" t="str">
        <f>CONCATENATE("Estimate for ",$E$1-1,"")</f>
        <v>Estimate for 2014</v>
      </c>
      <c r="E5" s="568" t="str">
        <f>CONCATENATE("Year for ",$E$1,"")</f>
        <v>Year for 2015</v>
      </c>
    </row>
    <row r="6" spans="2:5" ht="15.75">
      <c r="B6" s="569" t="s">
        <v>121</v>
      </c>
      <c r="C6" s="570"/>
      <c r="D6" s="571">
        <f>C34</f>
        <v>0</v>
      </c>
      <c r="E6" s="572">
        <f>D34</f>
        <v>0</v>
      </c>
    </row>
    <row r="7" spans="2:5" ht="15.75">
      <c r="B7" s="569" t="s">
        <v>110</v>
      </c>
      <c r="C7" s="573"/>
      <c r="D7" s="571"/>
      <c r="E7" s="572"/>
    </row>
    <row r="8" spans="2:5" ht="15.75">
      <c r="B8" s="569" t="s">
        <v>16</v>
      </c>
      <c r="C8" s="574"/>
      <c r="D8" s="571">
        <f>IF(inputPrYr!H15&gt;0,inputPrYr!G17,inputPrYr!E17)</f>
        <v>0</v>
      </c>
      <c r="E8" s="575" t="s">
        <v>263</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98</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186</v>
      </c>
      <c r="C18" s="582"/>
      <c r="D18" s="576"/>
      <c r="E18" s="577"/>
    </row>
    <row r="19" spans="2:5" ht="15.75">
      <c r="B19" s="569" t="s">
        <v>782</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0" t="str">
        <f>CONCATENATE("Desired Carryover Into ",E1+1,"")</f>
        <v>Desired Carryover Into 2016</v>
      </c>
      <c r="H24" s="841"/>
      <c r="I24" s="841"/>
      <c r="J24" s="842"/>
    </row>
    <row r="25" spans="2:10" ht="15.75">
      <c r="B25" s="579"/>
      <c r="C25" s="576"/>
      <c r="D25" s="576"/>
      <c r="E25" s="577"/>
      <c r="G25" s="588"/>
      <c r="H25" s="589"/>
      <c r="I25" s="590"/>
      <c r="J25" s="591"/>
    </row>
    <row r="26" spans="2:10" ht="15.75">
      <c r="B26" s="579"/>
      <c r="C26" s="574"/>
      <c r="D26" s="576"/>
      <c r="E26" s="577"/>
      <c r="G26" s="592" t="s">
        <v>674</v>
      </c>
      <c r="H26" s="590"/>
      <c r="I26" s="590"/>
      <c r="J26" s="593">
        <v>0</v>
      </c>
    </row>
    <row r="27" spans="2:10" ht="15.75">
      <c r="B27" s="579"/>
      <c r="C27" s="574"/>
      <c r="D27" s="576"/>
      <c r="E27" s="577"/>
      <c r="G27" s="588" t="s">
        <v>675</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779</v>
      </c>
      <c r="H29" s="600"/>
      <c r="I29" s="600"/>
      <c r="J29" s="601">
        <f>IF(J26&gt;0,J28-E37,0)</f>
        <v>0</v>
      </c>
    </row>
    <row r="30" spans="2:5" ht="15.75">
      <c r="B30" s="602" t="s">
        <v>188</v>
      </c>
      <c r="C30" s="574"/>
      <c r="D30" s="576"/>
      <c r="E30" s="572">
        <f>nhood!E7</f>
      </c>
    </row>
    <row r="31" spans="2:10" ht="15.75">
      <c r="B31" s="602" t="s">
        <v>186</v>
      </c>
      <c r="C31" s="582"/>
      <c r="D31" s="576"/>
      <c r="E31" s="577"/>
      <c r="G31" s="840" t="str">
        <f>CONCATENATE("Projected Carryover Into ",E1+1,"")</f>
        <v>Projected Carryover Into 2016</v>
      </c>
      <c r="H31" s="843"/>
      <c r="I31" s="843"/>
      <c r="J31" s="844"/>
    </row>
    <row r="32" spans="2:10" ht="15.75">
      <c r="B32" s="602" t="s">
        <v>581</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109</v>
      </c>
      <c r="C34" s="609">
        <f>C21-C33</f>
        <v>0</v>
      </c>
      <c r="D34" s="609">
        <f>D21-D33</f>
        <v>0</v>
      </c>
      <c r="E34" s="575" t="s">
        <v>263</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0" t="s">
        <v>582</v>
      </c>
      <c r="D36" s="831"/>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2" t="s">
        <v>583</v>
      </c>
      <c r="D37" s="833"/>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584</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66" t="str">
        <f>CONCATENATE("Amount of  ",E1-1," Ad Valorem Tax")</f>
        <v>Amount of  2014 Ad Valorem Tax</v>
      </c>
      <c r="D40" s="867"/>
      <c r="E40" s="626">
        <f>SUM(E38:E39)</f>
        <v>0</v>
      </c>
      <c r="F40" s="610"/>
    </row>
    <row r="41" spans="2:10" ht="16.5" thickTop="1">
      <c r="B41" s="555"/>
      <c r="C41" s="866"/>
      <c r="D41" s="867"/>
      <c r="E41" s="627"/>
      <c r="F41" s="610"/>
      <c r="G41" s="845" t="s">
        <v>780</v>
      </c>
      <c r="H41" s="846"/>
      <c r="I41" s="846"/>
      <c r="J41" s="847"/>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776</v>
      </c>
      <c r="D44" s="563" t="s">
        <v>777</v>
      </c>
      <c r="E44" s="564" t="s">
        <v>778</v>
      </c>
      <c r="F44" s="610"/>
      <c r="G44" s="632" t="str">
        <f>summ!F19</f>
        <v>  </v>
      </c>
      <c r="H44" s="607" t="str">
        <f>CONCATENATE("",E1-1," Fund Mill Rate")</f>
        <v>2014 Fund Mill Rate</v>
      </c>
      <c r="I44" s="629"/>
      <c r="J44" s="630"/>
    </row>
    <row r="45" spans="2:10" ht="15.75">
      <c r="B45" s="633">
        <f>inputPrYr!B18</f>
        <v>0</v>
      </c>
      <c r="C45" s="566" t="str">
        <f>CONCATENATE("Actual for ",$E$1-2,"")</f>
        <v>Actual for 2013</v>
      </c>
      <c r="D45" s="567" t="str">
        <f>CONCATENATE("Estimate for ",$E$1-1,"")</f>
        <v>Estimate for 2014</v>
      </c>
      <c r="E45" s="568" t="str">
        <f>CONCATENATE("Year for ",$E$1,"")</f>
        <v>Year for 2015</v>
      </c>
      <c r="F45" s="610"/>
      <c r="G45" s="634">
        <f>summ!I32</f>
        <v>0.846</v>
      </c>
      <c r="H45" s="607" t="str">
        <f>CONCATENATE("Total ",E1," Mill Rate")</f>
        <v>Total 2015 Mill Rate</v>
      </c>
      <c r="I45" s="629"/>
      <c r="J45" s="630"/>
    </row>
    <row r="46" spans="2:10" ht="15.75">
      <c r="B46" s="569" t="s">
        <v>121</v>
      </c>
      <c r="C46" s="574">
        <v>0</v>
      </c>
      <c r="D46" s="571">
        <f>C74</f>
        <v>0</v>
      </c>
      <c r="E46" s="572">
        <f>D74</f>
        <v>0</v>
      </c>
      <c r="F46" s="610"/>
      <c r="G46" s="632">
        <f>summ!F32</f>
        <v>0.887</v>
      </c>
      <c r="H46" s="635" t="str">
        <f>CONCATENATE("Total ",E1-1," Mill Rate")</f>
        <v>Total 2014 Mill Rate</v>
      </c>
      <c r="I46" s="636"/>
      <c r="J46" s="637"/>
    </row>
    <row r="47" spans="2:6" ht="15.75">
      <c r="B47" s="638" t="s">
        <v>110</v>
      </c>
      <c r="C47" s="569"/>
      <c r="D47" s="571"/>
      <c r="E47" s="572"/>
      <c r="F47" s="610"/>
    </row>
    <row r="48" spans="2:9" ht="15.75">
      <c r="B48" s="569" t="s">
        <v>16</v>
      </c>
      <c r="C48" s="582"/>
      <c r="D48" s="571">
        <f>IF(inputPrYr!H15&gt;0,inputPrYr!G18,inputPrYr!E18)</f>
        <v>0</v>
      </c>
      <c r="E48" s="575" t="s">
        <v>263</v>
      </c>
      <c r="F48" s="610"/>
      <c r="G48" s="752" t="s">
        <v>891</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98</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186</v>
      </c>
      <c r="C58" s="582"/>
      <c r="D58" s="582"/>
      <c r="E58" s="639"/>
    </row>
    <row r="59" spans="2:5" ht="15.75">
      <c r="B59" s="569" t="s">
        <v>782</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0" t="str">
        <f>CONCATENATE("Desired Carryover Into ",E1+1,"")</f>
        <v>Desired Carryover Into 2016</v>
      </c>
      <c r="H64" s="841"/>
      <c r="I64" s="841"/>
      <c r="J64" s="842"/>
    </row>
    <row r="65" spans="2:10" ht="15.75">
      <c r="B65" s="579"/>
      <c r="C65" s="574"/>
      <c r="D65" s="576"/>
      <c r="E65" s="577"/>
      <c r="G65" s="588"/>
      <c r="H65" s="589"/>
      <c r="I65" s="590"/>
      <c r="J65" s="591"/>
    </row>
    <row r="66" spans="2:10" ht="15.75">
      <c r="B66" s="579"/>
      <c r="C66" s="574"/>
      <c r="D66" s="576"/>
      <c r="E66" s="577"/>
      <c r="G66" s="592" t="s">
        <v>674</v>
      </c>
      <c r="H66" s="590"/>
      <c r="I66" s="590"/>
      <c r="J66" s="593">
        <v>0</v>
      </c>
    </row>
    <row r="67" spans="2:10" ht="15.75">
      <c r="B67" s="579"/>
      <c r="C67" s="574"/>
      <c r="D67" s="576"/>
      <c r="E67" s="577"/>
      <c r="G67" s="588" t="s">
        <v>675</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779</v>
      </c>
      <c r="H69" s="600"/>
      <c r="I69" s="600"/>
      <c r="J69" s="601">
        <f>IF(J66&gt;0,J68-E77,0)</f>
        <v>0</v>
      </c>
    </row>
    <row r="70" spans="2:6" ht="15.75">
      <c r="B70" s="578" t="s">
        <v>188</v>
      </c>
      <c r="C70" s="574"/>
      <c r="D70" s="576"/>
      <c r="E70" s="572">
        <f>nhood!E8</f>
      </c>
      <c r="F70" s="610"/>
    </row>
    <row r="71" spans="2:10" ht="15.75">
      <c r="B71" s="578" t="s">
        <v>186</v>
      </c>
      <c r="C71" s="582"/>
      <c r="D71" s="576"/>
      <c r="E71" s="577"/>
      <c r="F71" s="610"/>
      <c r="G71" s="840" t="str">
        <f>CONCATENATE("Projected Carryover Into ",E1+1,"")</f>
        <v>Projected Carryover Into 2016</v>
      </c>
      <c r="H71" s="848"/>
      <c r="I71" s="848"/>
      <c r="J71" s="844"/>
    </row>
    <row r="72" spans="2:10" ht="15.75">
      <c r="B72" s="578" t="s">
        <v>581</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109</v>
      </c>
      <c r="C74" s="609">
        <f>C61-C73</f>
        <v>0</v>
      </c>
      <c r="D74" s="609">
        <f>D61-D73</f>
        <v>0</v>
      </c>
      <c r="E74" s="575" t="s">
        <v>263</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0" t="s">
        <v>582</v>
      </c>
      <c r="D76" s="831"/>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2" t="s">
        <v>583</v>
      </c>
      <c r="D77" s="833"/>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584</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66" t="str">
        <f>CONCATENATE("Amount of  ",E1-1," Ad Valorem Tax")</f>
        <v>Amount of  2014 Ad Valorem Tax</v>
      </c>
      <c r="D80" s="867"/>
      <c r="E80" s="626">
        <f>E78+E79</f>
        <v>0</v>
      </c>
      <c r="F80" s="649" t="e">
        <f>IF('Library Grant'!F33="","",IF('Library Grant'!F33="Qualify","Qualifies for State Library Grant","See 'Library Grant' tab"))</f>
        <v>#VALUE!</v>
      </c>
    </row>
    <row r="81" spans="2:10" ht="16.5" thickTop="1">
      <c r="B81" s="558"/>
      <c r="C81" s="866"/>
      <c r="D81" s="867"/>
      <c r="E81" s="627"/>
      <c r="F81" s="610"/>
      <c r="G81" s="845" t="s">
        <v>780</v>
      </c>
      <c r="H81" s="846"/>
      <c r="I81" s="846"/>
      <c r="J81" s="847"/>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0.846</v>
      </c>
      <c r="H85" s="607" t="str">
        <f>CONCATENATE("Total ",E1," Mill Rate")</f>
        <v>Total 2015 Mill Rate</v>
      </c>
      <c r="I85" s="629"/>
      <c r="J85" s="630"/>
    </row>
    <row r="86" spans="7:10" ht="15.75">
      <c r="G86" s="632">
        <f>summ!F32</f>
        <v>0.887</v>
      </c>
      <c r="H86" s="635" t="str">
        <f>CONCATENATE("Total ",E1-1," Mill Rate")</f>
        <v>Total 2014 Mill Rate</v>
      </c>
      <c r="I86" s="636"/>
      <c r="J86" s="637"/>
    </row>
    <row r="87" spans="7:10" ht="15.75">
      <c r="G87" s="651"/>
      <c r="H87" s="651"/>
      <c r="I87" s="651"/>
      <c r="J87" s="651"/>
    </row>
    <row r="88" spans="3:9" ht="15.75">
      <c r="C88" s="652" t="s">
        <v>781</v>
      </c>
      <c r="D88" s="652" t="s">
        <v>781</v>
      </c>
      <c r="G88" s="753" t="s">
        <v>891</v>
      </c>
      <c r="H88" s="716"/>
      <c r="I88" s="715" t="str">
        <f>cert!F37</f>
        <v>No</v>
      </c>
    </row>
    <row r="89" spans="3:4" ht="15.75">
      <c r="C89" s="652" t="s">
        <v>781</v>
      </c>
      <c r="D89" s="652" t="s">
        <v>781</v>
      </c>
    </row>
    <row r="91" spans="3:4" ht="15.75">
      <c r="C91" s="652" t="s">
        <v>781</v>
      </c>
      <c r="D91" s="652" t="s">
        <v>781</v>
      </c>
    </row>
    <row r="92" spans="3:4" ht="15.75">
      <c r="C92" s="652" t="s">
        <v>781</v>
      </c>
      <c r="D92" s="652" t="s">
        <v>781</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Guilford Township</v>
      </c>
      <c r="C1" s="3"/>
      <c r="D1" s="3"/>
      <c r="E1" s="4">
        <f>inputPrYr!D5</f>
        <v>2015</v>
      </c>
    </row>
    <row r="2" spans="2:5" ht="15.75">
      <c r="B2" s="6"/>
      <c r="C2" s="3"/>
      <c r="D2" s="50"/>
      <c r="E2" s="51"/>
    </row>
    <row r="3" spans="2:5" ht="15.75">
      <c r="B3" s="507" t="s">
        <v>680</v>
      </c>
      <c r="C3" s="55"/>
      <c r="D3" s="55"/>
      <c r="E3" s="55"/>
    </row>
    <row r="4" spans="2:5" ht="15.75">
      <c r="B4" s="11" t="s">
        <v>10</v>
      </c>
      <c r="C4" s="362" t="s">
        <v>11</v>
      </c>
      <c r="D4" s="365" t="s">
        <v>12</v>
      </c>
      <c r="E4" s="12" t="s">
        <v>13</v>
      </c>
    </row>
    <row r="5" spans="2:5" ht="15.75">
      <c r="B5" s="371">
        <f>inputPrYr!B19</f>
        <v>0</v>
      </c>
      <c r="C5" s="363" t="str">
        <f>gen!C5</f>
        <v>Actual for 2013</v>
      </c>
      <c r="D5" s="363" t="str">
        <f>gen!D5</f>
        <v>Estimate for 2014</v>
      </c>
      <c r="E5" s="15" t="str">
        <f>gen!E5</f>
        <v>Year for 2015</v>
      </c>
    </row>
    <row r="6" spans="2:5" ht="15.75">
      <c r="B6" s="16" t="s">
        <v>108</v>
      </c>
      <c r="C6" s="18"/>
      <c r="D6" s="364">
        <f>C44</f>
        <v>0</v>
      </c>
      <c r="E6" s="21">
        <f>D44</f>
        <v>0</v>
      </c>
    </row>
    <row r="7" spans="2:5" ht="15.75">
      <c r="B7" s="16" t="s">
        <v>110</v>
      </c>
      <c r="C7" s="364"/>
      <c r="D7" s="364"/>
      <c r="E7" s="22"/>
    </row>
    <row r="8" spans="2:5" ht="15.75">
      <c r="B8" s="16" t="s">
        <v>16</v>
      </c>
      <c r="C8" s="18"/>
      <c r="D8" s="364">
        <f>IF(inputPrYr!H15&gt;0,inputPrYr!G19,inputPrYr!E19)</f>
        <v>0</v>
      </c>
      <c r="E8" s="22" t="s">
        <v>263</v>
      </c>
    </row>
    <row r="9" spans="2:5" ht="15.75">
      <c r="B9" s="16" t="s">
        <v>17</v>
      </c>
      <c r="C9" s="18"/>
      <c r="D9" s="18"/>
      <c r="E9" s="23"/>
    </row>
    <row r="10" spans="2:5" ht="15.75">
      <c r="B10" s="16" t="s">
        <v>18</v>
      </c>
      <c r="C10" s="18"/>
      <c r="D10" s="18"/>
      <c r="E10" s="21">
        <f>mvalloc!G14</f>
        <v>0</v>
      </c>
    </row>
    <row r="11" spans="2:5" ht="15.75">
      <c r="B11" s="16" t="s">
        <v>19</v>
      </c>
      <c r="C11" s="18"/>
      <c r="D11" s="18"/>
      <c r="E11" s="21">
        <f>mvalloc!I14</f>
        <v>0</v>
      </c>
    </row>
    <row r="12" spans="2:5" ht="15.75">
      <c r="B12" s="16" t="s">
        <v>98</v>
      </c>
      <c r="C12" s="18"/>
      <c r="D12" s="18"/>
      <c r="E12" s="21">
        <f>mvalloc!J14</f>
        <v>0</v>
      </c>
    </row>
    <row r="13" spans="2:5" ht="15.75">
      <c r="B13" s="16" t="s">
        <v>99</v>
      </c>
      <c r="C13" s="18"/>
      <c r="D13" s="18"/>
      <c r="E13" s="21">
        <f>inputOth!E36</f>
        <v>0</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186</v>
      </c>
      <c r="C21" s="18"/>
      <c r="D21" s="18"/>
      <c r="E21" s="23"/>
    </row>
    <row r="22" spans="2:5" ht="15.75">
      <c r="B22" s="28" t="s">
        <v>187</v>
      </c>
      <c r="C22" s="361">
        <f>IF(C23*0.1&lt;C21,"Exceed 10% Rule","")</f>
      </c>
      <c r="D22" s="361">
        <f>IF(D23*0.1&lt;D21,"Exceed 10% Rule","")</f>
      </c>
      <c r="E22" s="34">
        <f>IF(E23*0.1+E50&lt;E21,"Exceed 10% Rule","")</f>
      </c>
    </row>
    <row r="23" spans="2:5" ht="15.75">
      <c r="B23" s="30" t="s">
        <v>23</v>
      </c>
      <c r="C23" s="366">
        <f>SUM(C8:C21)</f>
        <v>0</v>
      </c>
      <c r="D23" s="366">
        <f>SUM(D8:D21)</f>
        <v>0</v>
      </c>
      <c r="E23" s="31">
        <f>SUM(E8:E21)</f>
        <v>0</v>
      </c>
    </row>
    <row r="24" spans="2:5" ht="15.75">
      <c r="B24" s="32" t="s">
        <v>24</v>
      </c>
      <c r="C24" s="366">
        <f>C23+C6</f>
        <v>0</v>
      </c>
      <c r="D24" s="366">
        <f>D23+D6</f>
        <v>0</v>
      </c>
      <c r="E24" s="31">
        <f>E23+E6</f>
        <v>0</v>
      </c>
    </row>
    <row r="25" spans="2:5" ht="15.75">
      <c r="B25" s="16" t="s">
        <v>25</v>
      </c>
      <c r="C25" s="364"/>
      <c r="D25" s="364"/>
      <c r="E25" s="21"/>
    </row>
    <row r="26" spans="2:5" ht="15.75">
      <c r="B26" s="27" t="s">
        <v>115</v>
      </c>
      <c r="C26" s="18"/>
      <c r="D26" s="18"/>
      <c r="E26" s="23"/>
    </row>
    <row r="27" spans="2:5" ht="15.75">
      <c r="B27" s="26" t="s">
        <v>101</v>
      </c>
      <c r="C27" s="18"/>
      <c r="D27" s="18"/>
      <c r="E27" s="23"/>
    </row>
    <row r="28" spans="2:5" ht="15.75">
      <c r="B28" s="27" t="s">
        <v>116</v>
      </c>
      <c r="C28" s="18"/>
      <c r="D28" s="18"/>
      <c r="E28" s="23"/>
    </row>
    <row r="29" spans="2:5" ht="15.75">
      <c r="B29" s="27" t="s">
        <v>104</v>
      </c>
      <c r="C29" s="18"/>
      <c r="D29" s="18"/>
      <c r="E29" s="23"/>
    </row>
    <row r="30" spans="2:5" ht="15.75">
      <c r="B30" s="27" t="s">
        <v>102</v>
      </c>
      <c r="C30" s="18"/>
      <c r="D30" s="18"/>
      <c r="E30" s="23"/>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34" t="str">
        <f>CONCATENATE("Desired Carryover Into ",E1+1,"")</f>
        <v>Desired Carryover Into 2016</v>
      </c>
      <c r="H34" s="835"/>
      <c r="I34" s="835"/>
      <c r="J34" s="836"/>
    </row>
    <row r="35" spans="2:10" ht="15.75">
      <c r="B35" s="26"/>
      <c r="C35" s="18"/>
      <c r="D35" s="18"/>
      <c r="E35" s="23"/>
      <c r="G35" s="470"/>
      <c r="H35" s="8"/>
      <c r="I35" s="462"/>
      <c r="J35" s="471"/>
    </row>
    <row r="36" spans="2:10" ht="15.75">
      <c r="B36" s="27"/>
      <c r="C36" s="18"/>
      <c r="D36" s="18"/>
      <c r="E36" s="23"/>
      <c r="G36" s="472" t="s">
        <v>674</v>
      </c>
      <c r="H36" s="462"/>
      <c r="I36" s="462"/>
      <c r="J36" s="473">
        <v>0</v>
      </c>
    </row>
    <row r="37" spans="2:10" ht="15.75">
      <c r="B37" s="27"/>
      <c r="C37" s="18"/>
      <c r="D37" s="18"/>
      <c r="E37" s="23"/>
      <c r="G37" s="470" t="s">
        <v>675</v>
      </c>
      <c r="H37" s="8"/>
      <c r="I37" s="8"/>
      <c r="J37" s="668">
        <f>IF(J36=0,"",ROUND((J36+E50-G49)/inputOth!E7*1000,3)-G54)</f>
      </c>
    </row>
    <row r="38" spans="2:10" ht="15.75">
      <c r="B38" s="16" t="s">
        <v>103</v>
      </c>
      <c r="C38" s="18"/>
      <c r="D38" s="18"/>
      <c r="E38" s="23"/>
      <c r="G38" s="669" t="str">
        <f>CONCATENATE("",E1," Tot Exp/Non-Appr Must Be:")</f>
        <v>2015 Tot Exp/Non-Appr Must Be:</v>
      </c>
      <c r="H38" s="553"/>
      <c r="I38" s="663"/>
      <c r="J38" s="670">
        <f>IF(J36&gt;0,IF(E47&lt;E16,IF(J36=G49,E47,((J36-G49)*(1-D49))+E16),E47+(J36-G49)),0)</f>
        <v>0</v>
      </c>
    </row>
    <row r="39" spans="2:10" ht="15.75">
      <c r="B39" s="16" t="s">
        <v>585</v>
      </c>
      <c r="C39" s="367">
        <f>IF(C24*0.25&lt;C38,"Not Authorized","")</f>
      </c>
      <c r="D39" s="367">
        <f>IF(D24*0.25&lt;D38,"Not Authorized","")</f>
      </c>
      <c r="E39" s="56">
        <f>IF(E24*0.25+E50&lt;E38,"Not Authorized","")</f>
      </c>
      <c r="G39" s="671" t="s">
        <v>779</v>
      </c>
      <c r="H39" s="672"/>
      <c r="I39" s="672"/>
      <c r="J39" s="673">
        <f>IF(J36&gt;0,J38-E47,0)</f>
        <v>0</v>
      </c>
    </row>
    <row r="40" spans="2:5" ht="15.75">
      <c r="B40" s="24" t="s">
        <v>188</v>
      </c>
      <c r="C40" s="18"/>
      <c r="D40" s="18"/>
      <c r="E40" s="35">
        <f>nhood!E9</f>
      </c>
    </row>
    <row r="41" spans="2:10" ht="15.75">
      <c r="B41" s="24" t="s">
        <v>186</v>
      </c>
      <c r="C41" s="18"/>
      <c r="D41" s="18"/>
      <c r="E41" s="23"/>
      <c r="G41" s="834" t="str">
        <f>CONCATENATE("Projected Carryover Into ",E1+1,"")</f>
        <v>Projected Carryover Into 2016</v>
      </c>
      <c r="H41" s="835"/>
      <c r="I41" s="835"/>
      <c r="J41" s="836"/>
    </row>
    <row r="42" spans="2:10" ht="15.75">
      <c r="B42" s="24" t="s">
        <v>581</v>
      </c>
      <c r="C42" s="361">
        <f>IF(C43*0.1&lt;C41,"Exceed 10% Rule","")</f>
      </c>
      <c r="D42" s="361">
        <f>IF(D43*0.1&lt;D41,"Exceed 10% Rule","")</f>
      </c>
      <c r="E42" s="34">
        <f>IF(E43*0.1&lt;E41,"Exceed 10% Rule","")</f>
      </c>
      <c r="G42" s="458"/>
      <c r="H42" s="8"/>
      <c r="I42" s="8"/>
      <c r="J42" s="245"/>
    </row>
    <row r="43" spans="2:10" ht="15.7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75">
      <c r="B44" s="16" t="s">
        <v>109</v>
      </c>
      <c r="C44" s="359">
        <f>C24-C43</f>
        <v>0</v>
      </c>
      <c r="D44" s="359">
        <f>D24-D43</f>
        <v>0</v>
      </c>
      <c r="E44" s="22" t="s">
        <v>263</v>
      </c>
      <c r="G44" s="459">
        <f>E23</f>
        <v>0</v>
      </c>
      <c r="H44" s="462" t="str">
        <f>CONCATENATE("",E1," Non-AV Receipts (est.)")</f>
        <v>2015 Non-AV Receipts (est.)</v>
      </c>
      <c r="I44" s="461"/>
      <c r="J44" s="245"/>
    </row>
    <row r="45" spans="2:11" ht="15.7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0" t="s">
        <v>582</v>
      </c>
      <c r="D46" s="831"/>
      <c r="E46" s="23"/>
      <c r="F46" s="457">
        <f>IF(E43/0.95-E43&lt;E46,"Exceeds 5%","")</f>
      </c>
      <c r="G46" s="459">
        <f>SUM(G43:G45)</f>
        <v>0</v>
      </c>
      <c r="H46" s="462" t="str">
        <f>CONCATENATE("Total ",E1," Resources Available")</f>
        <v>Total 2015 Resources Available</v>
      </c>
      <c r="I46" s="461"/>
      <c r="J46" s="245"/>
    </row>
    <row r="47" spans="2:10" ht="15.75">
      <c r="B47" s="370" t="str">
        <f>CONCATENATE(C74,"     ",D74)</f>
        <v>     </v>
      </c>
      <c r="C47" s="832" t="s">
        <v>583</v>
      </c>
      <c r="D47" s="833"/>
      <c r="E47" s="21">
        <f>E43+E46</f>
        <v>0</v>
      </c>
      <c r="G47" s="464"/>
      <c r="H47" s="462"/>
      <c r="I47" s="462"/>
      <c r="J47" s="245"/>
    </row>
    <row r="48" spans="2:10" ht="15.7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75">
      <c r="B49" s="41"/>
      <c r="C49" s="374" t="s">
        <v>584</v>
      </c>
      <c r="D49" s="662">
        <f>inputOth!$E$40</f>
        <v>0</v>
      </c>
      <c r="E49" s="21">
        <f>ROUND(IF(D49&gt;0,(E48*D49),0),0)</f>
        <v>0</v>
      </c>
      <c r="G49" s="465">
        <f>G46-G48</f>
        <v>0</v>
      </c>
      <c r="H49" s="466" t="str">
        <f>CONCATENATE("Projected ",E1+1," Carryover (est.)")</f>
        <v>Projected 2016 Carryover (est.)</v>
      </c>
      <c r="I49" s="467"/>
      <c r="J49" s="468"/>
    </row>
    <row r="50" spans="2:5" ht="15.75">
      <c r="B50" s="3"/>
      <c r="C50" s="828" t="str">
        <f>CONCATENATE("Amount of  ",$E$1-1," Ad Valorem Tax")</f>
        <v>Amount of  2014 Ad Valorem Tax</v>
      </c>
      <c r="D50" s="829"/>
      <c r="E50" s="35">
        <f>E48+E49</f>
        <v>0</v>
      </c>
    </row>
    <row r="51" spans="2:10" ht="15.75">
      <c r="B51" s="3"/>
      <c r="C51" s="3"/>
      <c r="D51" s="3"/>
      <c r="E51" s="3"/>
      <c r="G51" s="837" t="s">
        <v>780</v>
      </c>
      <c r="H51" s="838"/>
      <c r="I51" s="838"/>
      <c r="J51" s="839"/>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0.846</v>
      </c>
      <c r="H55" s="460" t="str">
        <f>CONCATENATE("Total ",E1," Mill Rate")</f>
        <v>Total 2015 Mill Rate</v>
      </c>
      <c r="I55" s="664"/>
      <c r="J55" s="676"/>
    </row>
    <row r="56" spans="2:10" ht="15.75">
      <c r="B56" s="61" t="s">
        <v>33</v>
      </c>
      <c r="C56" s="121"/>
      <c r="D56" s="3"/>
      <c r="E56" s="3"/>
      <c r="G56" s="678">
        <f>summ!F32</f>
        <v>0.887</v>
      </c>
      <c r="H56" s="680" t="str">
        <f>CONCATENATE("Total ",E1-1," Mill Rate")</f>
        <v>Total 2014 Mill Rate</v>
      </c>
      <c r="I56" s="681"/>
      <c r="J56" s="682"/>
    </row>
    <row r="57" spans="2:5" ht="15.75">
      <c r="B57" s="61" t="s">
        <v>34</v>
      </c>
      <c r="C57" s="373">
        <f>C38</f>
        <v>0</v>
      </c>
      <c r="D57" s="63"/>
      <c r="E57" s="3"/>
    </row>
    <row r="58" spans="2:9" ht="15.75">
      <c r="B58" s="61" t="s">
        <v>220</v>
      </c>
      <c r="C58" s="373">
        <f>gen!C43</f>
        <v>0</v>
      </c>
      <c r="D58" s="868">
        <f>IF(AND(C58&gt;0,C59&gt;0),"Not Auth. Two General Transfers - Only One","")</f>
      </c>
      <c r="E58" s="869"/>
      <c r="G58" s="754" t="s">
        <v>891</v>
      </c>
      <c r="H58" s="716"/>
      <c r="I58" s="715" t="str">
        <f>cert!F37</f>
        <v>No</v>
      </c>
    </row>
    <row r="59" spans="2:5" ht="15.75">
      <c r="B59" s="64" t="s">
        <v>221</v>
      </c>
      <c r="C59" s="373">
        <f>gen!C45</f>
        <v>0</v>
      </c>
      <c r="D59" s="870"/>
      <c r="E59" s="869"/>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0</v>
      </c>
      <c r="D63" s="3"/>
      <c r="E63" s="3"/>
    </row>
    <row r="64" spans="2:5" ht="15.75">
      <c r="B64" s="66" t="s">
        <v>26</v>
      </c>
      <c r="C64" s="119"/>
      <c r="D64" s="3"/>
      <c r="E64" s="3"/>
    </row>
    <row r="65" spans="2:5" ht="15.75">
      <c r="B65" s="66" t="s">
        <v>27</v>
      </c>
      <c r="C65" s="372">
        <f>SUM(C63-C64)</f>
        <v>0</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Guilford Township</v>
      </c>
      <c r="C1" s="3"/>
      <c r="D1" s="3"/>
      <c r="E1" s="4">
        <f>inputPrYr!D5</f>
        <v>2015</v>
      </c>
    </row>
    <row r="2" spans="2:5" ht="15.75">
      <c r="B2" s="6"/>
      <c r="C2" s="3"/>
      <c r="D2" s="50"/>
      <c r="E2" s="71"/>
    </row>
    <row r="3" spans="2:5" ht="15.75">
      <c r="B3" s="507" t="s">
        <v>680</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IF(inputPrYr!H15&gt;0,inputPrYr!G22,inputPrYr!E22)</f>
        <v>0</v>
      </c>
      <c r="E8" s="22" t="s">
        <v>263</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98</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186</v>
      </c>
      <c r="C18" s="18"/>
      <c r="D18" s="18"/>
      <c r="E18" s="23"/>
    </row>
    <row r="19" spans="2:5" ht="15.75">
      <c r="B19" s="28" t="s">
        <v>187</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0" t="str">
        <f>CONCATENATE("Desired Carryover Into ",E1+1,"")</f>
        <v>Desired Carryover Into 2016</v>
      </c>
      <c r="H24" s="841"/>
      <c r="I24" s="841"/>
      <c r="J24" s="842"/>
      <c r="K24" s="557"/>
    </row>
    <row r="25" spans="2:11" ht="15.75">
      <c r="B25" s="27"/>
      <c r="C25" s="18"/>
      <c r="D25" s="18"/>
      <c r="E25" s="23"/>
      <c r="G25" s="588"/>
      <c r="H25" s="589"/>
      <c r="I25" s="590"/>
      <c r="J25" s="591"/>
      <c r="K25" s="557"/>
    </row>
    <row r="26" spans="2:11" ht="15.75">
      <c r="B26" s="27"/>
      <c r="C26" s="18"/>
      <c r="D26" s="18"/>
      <c r="E26" s="23"/>
      <c r="G26" s="592" t="s">
        <v>674</v>
      </c>
      <c r="H26" s="590"/>
      <c r="I26" s="590"/>
      <c r="J26" s="593">
        <v>0</v>
      </c>
      <c r="K26" s="557"/>
    </row>
    <row r="27" spans="2:11" ht="15.75">
      <c r="B27" s="27"/>
      <c r="C27" s="18"/>
      <c r="D27" s="18"/>
      <c r="E27" s="23"/>
      <c r="G27" s="588" t="s">
        <v>675</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779</v>
      </c>
      <c r="H29" s="600"/>
      <c r="I29" s="600"/>
      <c r="J29" s="601">
        <f>IF(J26&gt;0,J28-E37,0)</f>
        <v>0</v>
      </c>
      <c r="K29" s="557"/>
    </row>
    <row r="30" spans="2:11" ht="15.75">
      <c r="B30" s="24" t="s">
        <v>188</v>
      </c>
      <c r="C30" s="18"/>
      <c r="D30" s="18"/>
      <c r="E30" s="35">
        <f>nhood!E12</f>
      </c>
      <c r="G30" s="557"/>
      <c r="H30" s="557"/>
      <c r="I30" s="557"/>
      <c r="J30" s="557"/>
      <c r="K30" s="557"/>
    </row>
    <row r="31" spans="2:11" ht="15.75">
      <c r="B31" s="24" t="s">
        <v>186</v>
      </c>
      <c r="C31" s="18"/>
      <c r="D31" s="18"/>
      <c r="E31" s="23"/>
      <c r="G31" s="840" t="str">
        <f>CONCATENATE("Projected Carryover Into ",E1+1,"")</f>
        <v>Projected Carryover Into 2016</v>
      </c>
      <c r="H31" s="843"/>
      <c r="I31" s="843"/>
      <c r="J31" s="844"/>
      <c r="K31" s="557"/>
    </row>
    <row r="32" spans="2:11" ht="15.75">
      <c r="B32" s="24" t="s">
        <v>581</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263</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0" t="s">
        <v>582</v>
      </c>
      <c r="D36" s="831"/>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2" t="s">
        <v>583</v>
      </c>
      <c r="D37" s="833"/>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584</v>
      </c>
      <c r="D39" s="662">
        <f>inputOth!$E$40</f>
        <v>0</v>
      </c>
      <c r="E39" s="21">
        <f>ROUND(IF(D39&gt;0,(E38*D39),0),0)</f>
        <v>0</v>
      </c>
      <c r="G39" s="621">
        <f>G36-G38</f>
        <v>0</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0</v>
      </c>
      <c r="G40" s="557"/>
      <c r="H40" s="557"/>
      <c r="I40" s="557"/>
      <c r="J40" s="557"/>
      <c r="K40" s="557"/>
    </row>
    <row r="41" spans="2:11" ht="15.75">
      <c r="B41" s="3"/>
      <c r="C41" s="514"/>
      <c r="D41" s="3"/>
      <c r="E41" s="3"/>
      <c r="G41" s="845" t="s">
        <v>780</v>
      </c>
      <c r="H41" s="846"/>
      <c r="I41" s="846"/>
      <c r="J41" s="847"/>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0.846</v>
      </c>
      <c r="H45" s="607" t="str">
        <f>CONCATENATE("Total ",E1," Mill Rate")</f>
        <v>Total 2015 Mill Rate</v>
      </c>
      <c r="I45" s="629"/>
      <c r="J45" s="630"/>
      <c r="K45" s="557"/>
    </row>
    <row r="46" spans="2:11" ht="15.75">
      <c r="B46" s="16" t="s">
        <v>108</v>
      </c>
      <c r="C46" s="18"/>
      <c r="D46" s="364">
        <f>C74</f>
        <v>0</v>
      </c>
      <c r="E46" s="21">
        <f>D74</f>
        <v>0</v>
      </c>
      <c r="G46" s="632">
        <f>summ!F32</f>
        <v>0.887</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IF(inputPrYr!H15&gt;0,inputPrYr!G23,inputPrYr!E23)</f>
        <v>0</v>
      </c>
      <c r="E48" s="22" t="s">
        <v>263</v>
      </c>
      <c r="G48" s="757" t="s">
        <v>891</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98</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186</v>
      </c>
      <c r="C58" s="18"/>
      <c r="D58" s="18"/>
      <c r="E58" s="23"/>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0" t="str">
        <f>CONCATENATE("Desired Carryover Into ",E1+1,"")</f>
        <v>Desired Carryover Into 2016</v>
      </c>
      <c r="H64" s="841"/>
      <c r="I64" s="841"/>
      <c r="J64" s="842"/>
      <c r="K64" s="557"/>
    </row>
    <row r="65" spans="2:11" ht="15.75">
      <c r="B65" s="27"/>
      <c r="C65" s="18"/>
      <c r="D65" s="18"/>
      <c r="E65" s="23"/>
      <c r="G65" s="588"/>
      <c r="H65" s="589"/>
      <c r="I65" s="590"/>
      <c r="J65" s="591"/>
      <c r="K65" s="557"/>
    </row>
    <row r="66" spans="2:11" ht="15.75">
      <c r="B66" s="27"/>
      <c r="C66" s="18"/>
      <c r="D66" s="18"/>
      <c r="E66" s="23"/>
      <c r="G66" s="592" t="s">
        <v>674</v>
      </c>
      <c r="H66" s="590"/>
      <c r="I66" s="590"/>
      <c r="J66" s="593">
        <v>0</v>
      </c>
      <c r="K66" s="557"/>
    </row>
    <row r="67" spans="2:11" ht="15.75">
      <c r="B67" s="27"/>
      <c r="C67" s="18"/>
      <c r="D67" s="18"/>
      <c r="E67" s="23"/>
      <c r="G67" s="588" t="s">
        <v>675</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779</v>
      </c>
      <c r="H69" s="600"/>
      <c r="I69" s="600"/>
      <c r="J69" s="601">
        <f>IF(J66&gt;0,J68-E77,0)</f>
        <v>0</v>
      </c>
      <c r="K69" s="557"/>
    </row>
    <row r="70" spans="2:11" ht="15.75">
      <c r="B70" s="24" t="s">
        <v>188</v>
      </c>
      <c r="C70" s="18"/>
      <c r="D70" s="18"/>
      <c r="E70" s="35">
        <f>nhood!E13</f>
      </c>
      <c r="G70" s="557"/>
      <c r="H70" s="557"/>
      <c r="I70" s="557"/>
      <c r="J70" s="557"/>
      <c r="K70" s="557"/>
    </row>
    <row r="71" spans="2:11" ht="15.75">
      <c r="B71" s="24" t="s">
        <v>186</v>
      </c>
      <c r="C71" s="18"/>
      <c r="D71" s="18"/>
      <c r="E71" s="23"/>
      <c r="G71" s="840" t="str">
        <f>CONCATENATE("Projected Carryover Into ",E1+1,"")</f>
        <v>Projected Carryover Into 2016</v>
      </c>
      <c r="H71" s="848"/>
      <c r="I71" s="848"/>
      <c r="J71" s="844"/>
      <c r="K71" s="557"/>
    </row>
    <row r="72" spans="2:11" ht="15.75">
      <c r="B72" s="24" t="s">
        <v>581</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582</v>
      </c>
      <c r="D76" s="831"/>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2" t="s">
        <v>583</v>
      </c>
      <c r="D77" s="833"/>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584</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c r="D81" s="3"/>
      <c r="E81" s="3"/>
      <c r="G81" s="845" t="s">
        <v>780</v>
      </c>
      <c r="H81" s="846"/>
      <c r="I81" s="846"/>
      <c r="J81" s="847"/>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0.846</v>
      </c>
      <c r="H85" s="607" t="str">
        <f>CONCATENATE("Total ",E1," Mill Rate")</f>
        <v>Total 2015 Mill Rate</v>
      </c>
      <c r="I85" s="629"/>
      <c r="J85" s="630"/>
      <c r="K85" s="557"/>
    </row>
    <row r="86" spans="7:11" ht="15.75">
      <c r="G86" s="632">
        <f>summ!F32</f>
        <v>0.887</v>
      </c>
      <c r="H86" s="635" t="str">
        <f>CONCATENATE("Total ",E1-1," Mill Rate")</f>
        <v>Total 2014 Mill Rate</v>
      </c>
      <c r="I86" s="636"/>
      <c r="J86" s="637"/>
      <c r="K86" s="557"/>
    </row>
    <row r="88" spans="7:9" ht="15.75">
      <c r="G88" s="758" t="s">
        <v>891</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Guilford Township</v>
      </c>
      <c r="C1" s="3"/>
      <c r="D1" s="3"/>
      <c r="E1" s="4">
        <f>inputPrYr!D5</f>
        <v>2015</v>
      </c>
    </row>
    <row r="2" spans="2:5" ht="15.75">
      <c r="B2" s="6"/>
      <c r="C2" s="3"/>
      <c r="D2" s="50"/>
      <c r="E2" s="51"/>
    </row>
    <row r="3" spans="2:5" ht="15.75">
      <c r="B3" s="507" t="s">
        <v>680</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IF(inputPrYr!H15&gt;0,inputPrYr!G24,inputPrYr!E24)</f>
        <v>0</v>
      </c>
      <c r="E8" s="22" t="s">
        <v>263</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98</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186</v>
      </c>
      <c r="C18" s="18"/>
      <c r="D18" s="18"/>
      <c r="E18" s="23"/>
    </row>
    <row r="19" spans="2:5" ht="15.75">
      <c r="B19" s="28" t="s">
        <v>187</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0" t="str">
        <f>CONCATENATE("Desired Carryover Into ",E1+1,"")</f>
        <v>Desired Carryover Into 2016</v>
      </c>
      <c r="H24" s="841"/>
      <c r="I24" s="841"/>
      <c r="J24" s="842"/>
      <c r="K24" s="557"/>
    </row>
    <row r="25" spans="2:11" ht="15.75">
      <c r="B25" s="27"/>
      <c r="C25" s="18"/>
      <c r="D25" s="18"/>
      <c r="E25" s="23"/>
      <c r="G25" s="588"/>
      <c r="H25" s="589"/>
      <c r="I25" s="590"/>
      <c r="J25" s="591"/>
      <c r="K25" s="557"/>
    </row>
    <row r="26" spans="2:11" ht="15.75">
      <c r="B26" s="18"/>
      <c r="C26" s="18"/>
      <c r="D26" s="18"/>
      <c r="E26" s="23"/>
      <c r="G26" s="592" t="s">
        <v>674</v>
      </c>
      <c r="H26" s="590"/>
      <c r="I26" s="590"/>
      <c r="J26" s="593">
        <v>0</v>
      </c>
      <c r="K26" s="557"/>
    </row>
    <row r="27" spans="2:11" ht="15.75">
      <c r="B27" s="18"/>
      <c r="C27" s="18"/>
      <c r="D27" s="18"/>
      <c r="E27" s="23"/>
      <c r="G27" s="588" t="s">
        <v>675</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779</v>
      </c>
      <c r="H29" s="600"/>
      <c r="I29" s="600"/>
      <c r="J29" s="601">
        <f>IF(J26&gt;0,J28-E37,0)</f>
        <v>0</v>
      </c>
      <c r="K29" s="557"/>
    </row>
    <row r="30" spans="2:11" ht="15.75">
      <c r="B30" s="24" t="s">
        <v>188</v>
      </c>
      <c r="C30" s="18"/>
      <c r="D30" s="18"/>
      <c r="E30" s="35">
        <f>nhood!E14</f>
      </c>
      <c r="G30" s="557"/>
      <c r="H30" s="557"/>
      <c r="I30" s="557"/>
      <c r="J30" s="557"/>
      <c r="K30" s="557"/>
    </row>
    <row r="31" spans="2:11" ht="15.75">
      <c r="B31" s="24" t="s">
        <v>186</v>
      </c>
      <c r="C31" s="18"/>
      <c r="D31" s="18"/>
      <c r="E31" s="23"/>
      <c r="G31" s="840" t="str">
        <f>CONCATENATE("Projected Carryover Into ",E1+1,"")</f>
        <v>Projected Carryover Into 2016</v>
      </c>
      <c r="H31" s="843"/>
      <c r="I31" s="843"/>
      <c r="J31" s="844"/>
      <c r="K31" s="557"/>
    </row>
    <row r="32" spans="2:11" ht="15.75">
      <c r="B32" s="24" t="s">
        <v>581</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263</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0" t="s">
        <v>582</v>
      </c>
      <c r="D36" s="831"/>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2" t="s">
        <v>583</v>
      </c>
      <c r="D37" s="833"/>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584</v>
      </c>
      <c r="D39" s="662">
        <f>inputOth!$E$40</f>
        <v>0</v>
      </c>
      <c r="E39" s="21">
        <f>ROUND(IF(D39&gt;0,(E38*D39),0),0)</f>
        <v>0</v>
      </c>
      <c r="G39" s="621">
        <f>G36-G38</f>
        <v>0</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0</v>
      </c>
      <c r="G40" s="557"/>
      <c r="H40" s="557"/>
      <c r="I40" s="557"/>
      <c r="J40" s="557"/>
      <c r="K40" s="557"/>
    </row>
    <row r="41" spans="2:11" ht="15.75">
      <c r="B41" s="3"/>
      <c r="C41" s="514"/>
      <c r="D41" s="3"/>
      <c r="E41" s="3"/>
      <c r="G41" s="845" t="s">
        <v>780</v>
      </c>
      <c r="H41" s="846"/>
      <c r="I41" s="846"/>
      <c r="J41" s="847"/>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0.846</v>
      </c>
      <c r="H45" s="607" t="str">
        <f>CONCATENATE("Total ",E1," Mill Rate")</f>
        <v>Total 2015 Mill Rate</v>
      </c>
      <c r="I45" s="629"/>
      <c r="J45" s="630"/>
      <c r="K45" s="557"/>
    </row>
    <row r="46" spans="2:11" ht="15.75">
      <c r="B46" s="16" t="s">
        <v>108</v>
      </c>
      <c r="C46" s="18"/>
      <c r="D46" s="364">
        <f>C74</f>
        <v>0</v>
      </c>
      <c r="E46" s="21">
        <f>D74</f>
        <v>0</v>
      </c>
      <c r="G46" s="632">
        <f>summ!F32</f>
        <v>0.887</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IF(inputPrYr!H15&gt;0,inputPrYr!G25,inputPrYr!E25)</f>
        <v>0</v>
      </c>
      <c r="E48" s="22" t="s">
        <v>263</v>
      </c>
      <c r="G48" s="759" t="s">
        <v>891</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98</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186</v>
      </c>
      <c r="C58" s="18"/>
      <c r="D58" s="18"/>
      <c r="E58" s="23"/>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0" t="str">
        <f>CONCATENATE("Desired Carryover Into ",E1+1,"")</f>
        <v>Desired Carryover Into 2016</v>
      </c>
      <c r="H64" s="841"/>
      <c r="I64" s="841"/>
      <c r="J64" s="842"/>
      <c r="K64" s="557"/>
    </row>
    <row r="65" spans="2:11" ht="15.75">
      <c r="B65" s="27"/>
      <c r="C65" s="18"/>
      <c r="D65" s="18"/>
      <c r="E65" s="23"/>
      <c r="G65" s="588"/>
      <c r="H65" s="589"/>
      <c r="I65" s="590"/>
      <c r="J65" s="591"/>
      <c r="K65" s="557"/>
    </row>
    <row r="66" spans="2:11" ht="15.75">
      <c r="B66" s="27"/>
      <c r="C66" s="18"/>
      <c r="D66" s="18"/>
      <c r="E66" s="23"/>
      <c r="G66" s="592" t="s">
        <v>674</v>
      </c>
      <c r="H66" s="590"/>
      <c r="I66" s="590"/>
      <c r="J66" s="593">
        <v>0</v>
      </c>
      <c r="K66" s="557"/>
    </row>
    <row r="67" spans="2:11" ht="15.75">
      <c r="B67" s="27"/>
      <c r="C67" s="18"/>
      <c r="D67" s="18"/>
      <c r="E67" s="23"/>
      <c r="G67" s="588" t="s">
        <v>675</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779</v>
      </c>
      <c r="H69" s="600"/>
      <c r="I69" s="600"/>
      <c r="J69" s="601">
        <f>IF(J66&gt;0,J68-E77,0)</f>
        <v>0</v>
      </c>
      <c r="K69" s="557"/>
    </row>
    <row r="70" spans="2:11" ht="15.75">
      <c r="B70" s="24" t="s">
        <v>188</v>
      </c>
      <c r="C70" s="18"/>
      <c r="D70" s="18"/>
      <c r="E70" s="35">
        <f>nhood!E15</f>
      </c>
      <c r="G70" s="557"/>
      <c r="H70" s="557"/>
      <c r="I70" s="557"/>
      <c r="J70" s="557"/>
      <c r="K70" s="557"/>
    </row>
    <row r="71" spans="2:11" ht="15.75">
      <c r="B71" s="24" t="s">
        <v>186</v>
      </c>
      <c r="C71" s="18"/>
      <c r="D71" s="18"/>
      <c r="E71" s="23"/>
      <c r="G71" s="840" t="str">
        <f>CONCATENATE("Projected Carryover Into ",E1+1,"")</f>
        <v>Projected Carryover Into 2016</v>
      </c>
      <c r="H71" s="848"/>
      <c r="I71" s="848"/>
      <c r="J71" s="844"/>
      <c r="K71" s="557"/>
    </row>
    <row r="72" spans="2:11" ht="15.75">
      <c r="B72" s="24" t="s">
        <v>581</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582</v>
      </c>
      <c r="D76" s="831"/>
      <c r="E76" s="23"/>
      <c r="F76" s="457">
        <f>IF(E73/0.95-E73&lt;E76,"Exceeds 5%","")</f>
      </c>
      <c r="G76" s="643">
        <f>SUM(G73:G75)</f>
        <v>0</v>
      </c>
      <c r="H76" s="590" t="str">
        <f>CONCATENATE("Total ",E1," Resources Available")</f>
        <v>Total 2015 Resources Available</v>
      </c>
      <c r="I76" s="644"/>
      <c r="J76" s="641"/>
      <c r="K76" s="557"/>
    </row>
    <row r="77" spans="2:11" ht="15.75">
      <c r="B77" s="37"/>
      <c r="C77" s="832" t="s">
        <v>583</v>
      </c>
      <c r="D77" s="833"/>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584</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c r="D81" s="3"/>
      <c r="E81" s="3"/>
      <c r="G81" s="845" t="s">
        <v>780</v>
      </c>
      <c r="H81" s="846"/>
      <c r="I81" s="846"/>
      <c r="J81" s="847"/>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0.846</v>
      </c>
      <c r="H85" s="607" t="str">
        <f>CONCATENATE("Total ",E1," Mill Rate")</f>
        <v>Total 2015 Mill Rate</v>
      </c>
      <c r="I85" s="629"/>
      <c r="J85" s="630"/>
      <c r="K85" s="557"/>
    </row>
    <row r="86" spans="7:11" ht="15.75">
      <c r="G86" s="632">
        <f>summ!F32</f>
        <v>0.887</v>
      </c>
      <c r="H86" s="635" t="str">
        <f>CONCATENATE("Total ",E1-1," Mill Rate")</f>
        <v>Total 2014 Mill Rate</v>
      </c>
      <c r="I86" s="636"/>
      <c r="J86" s="637"/>
      <c r="K86" s="557"/>
    </row>
    <row r="88" spans="7:9" ht="15.75">
      <c r="G88" s="760" t="s">
        <v>891</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Guilford Township</v>
      </c>
      <c r="C1" s="3"/>
      <c r="D1" s="3"/>
      <c r="E1" s="4">
        <f>inputPrYr!D5</f>
        <v>2015</v>
      </c>
    </row>
    <row r="2" spans="2:5" ht="15.75">
      <c r="B2" s="3"/>
      <c r="C2" s="3"/>
      <c r="D2" s="3"/>
      <c r="E2" s="41"/>
    </row>
    <row r="3" spans="2:5" ht="15.75">
      <c r="B3" s="6" t="s">
        <v>120</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121</v>
      </c>
      <c r="C6" s="23"/>
      <c r="D6" s="21">
        <f>C29</f>
        <v>0</v>
      </c>
      <c r="E6" s="21">
        <f>D29</f>
        <v>0</v>
      </c>
    </row>
    <row r="7" spans="2:5" s="5" customFormat="1" ht="15.75">
      <c r="B7" s="73" t="s">
        <v>110</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186</v>
      </c>
      <c r="C13" s="23"/>
      <c r="D13" s="19"/>
      <c r="E13" s="19"/>
    </row>
    <row r="14" spans="2:5" ht="15.75">
      <c r="B14" s="28" t="s">
        <v>187</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186</v>
      </c>
      <c r="C26" s="23"/>
      <c r="D26" s="19"/>
      <c r="E26" s="19"/>
    </row>
    <row r="27" spans="2:5" ht="15.75">
      <c r="B27" s="24" t="s">
        <v>581</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109</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121</v>
      </c>
      <c r="C37" s="23"/>
      <c r="D37" s="21">
        <f>C60</f>
        <v>0</v>
      </c>
      <c r="E37" s="21">
        <f>D60</f>
        <v>0</v>
      </c>
    </row>
    <row r="38" spans="2:5" s="5" customFormat="1" ht="15.75">
      <c r="B38" s="72" t="s">
        <v>110</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186</v>
      </c>
      <c r="C44" s="23"/>
      <c r="D44" s="19"/>
      <c r="E44" s="19"/>
    </row>
    <row r="45" spans="2:5" ht="15.75">
      <c r="B45" s="28" t="s">
        <v>187</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186</v>
      </c>
      <c r="C57" s="23"/>
      <c r="D57" s="19"/>
      <c r="E57" s="19"/>
    </row>
    <row r="58" spans="2:5" ht="15.75">
      <c r="B58" s="24" t="s">
        <v>581</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109</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4">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243</v>
      </c>
      <c r="B1" s="3"/>
      <c r="C1" s="3"/>
      <c r="D1" s="3"/>
      <c r="E1" s="3"/>
    </row>
    <row r="2" spans="1:5" ht="15.75">
      <c r="A2" s="57" t="s">
        <v>200</v>
      </c>
      <c r="B2" s="3"/>
      <c r="C2" s="3"/>
      <c r="D2" s="720" t="s">
        <v>939</v>
      </c>
      <c r="E2" s="8"/>
    </row>
    <row r="3" spans="1:5" ht="15.75">
      <c r="A3" s="57" t="s">
        <v>199</v>
      </c>
      <c r="B3" s="3"/>
      <c r="C3" s="3"/>
      <c r="D3" s="720" t="s">
        <v>937</v>
      </c>
      <c r="E3" s="8"/>
    </row>
    <row r="4" spans="1:5" ht="15.75">
      <c r="A4" s="3"/>
      <c r="B4" s="3"/>
      <c r="C4" s="3"/>
      <c r="D4" s="3"/>
      <c r="E4" s="3"/>
    </row>
    <row r="5" spans="1:5" ht="15.75">
      <c r="A5" s="6" t="s">
        <v>123</v>
      </c>
      <c r="B5" s="3"/>
      <c r="C5" s="3"/>
      <c r="D5" s="288">
        <v>2015</v>
      </c>
      <c r="E5" s="3"/>
    </row>
    <row r="6" spans="1:5" ht="15.75">
      <c r="A6" s="3"/>
      <c r="B6" s="3"/>
      <c r="C6" s="3"/>
      <c r="D6" s="3"/>
      <c r="E6" s="3"/>
    </row>
    <row r="7" spans="1:8" ht="15.75">
      <c r="A7" s="133" t="s">
        <v>125</v>
      </c>
      <c r="B7" s="137"/>
      <c r="C7" s="137"/>
      <c r="D7" s="137"/>
      <c r="E7" s="137"/>
      <c r="F7" s="3"/>
      <c r="G7" s="785" t="s">
        <v>712</v>
      </c>
      <c r="H7" s="786"/>
    </row>
    <row r="8" spans="1:8" ht="15.75">
      <c r="A8" s="133" t="s">
        <v>174</v>
      </c>
      <c r="B8" s="137"/>
      <c r="C8" s="137"/>
      <c r="D8" s="137"/>
      <c r="E8" s="137"/>
      <c r="F8" s="3"/>
      <c r="G8" s="787"/>
      <c r="H8" s="786"/>
    </row>
    <row r="9" spans="1:8" ht="15.75">
      <c r="A9" s="3"/>
      <c r="B9" s="3"/>
      <c r="C9" s="3"/>
      <c r="D9" s="3"/>
      <c r="E9" s="3"/>
      <c r="F9" s="3"/>
      <c r="G9" s="787"/>
      <c r="H9" s="786"/>
    </row>
    <row r="10" spans="1:8" ht="15.75">
      <c r="A10" s="783" t="s">
        <v>132</v>
      </c>
      <c r="B10" s="784"/>
      <c r="C10" s="784"/>
      <c r="D10" s="784"/>
      <c r="E10" s="784"/>
      <c r="F10" s="3"/>
      <c r="G10" s="787"/>
      <c r="H10" s="786"/>
    </row>
    <row r="11" spans="1:8" ht="15.75">
      <c r="A11" s="57"/>
      <c r="B11" s="3"/>
      <c r="C11" s="3"/>
      <c r="D11" s="3"/>
      <c r="E11" s="3"/>
      <c r="F11" s="3"/>
      <c r="G11" s="787"/>
      <c r="H11" s="786"/>
    </row>
    <row r="12" spans="1:8" ht="15.75">
      <c r="A12" s="289" t="s">
        <v>124</v>
      </c>
      <c r="B12" s="275"/>
      <c r="C12" s="3"/>
      <c r="D12" s="38"/>
      <c r="E12" s="290"/>
      <c r="F12" s="3"/>
      <c r="G12" s="787"/>
      <c r="H12" s="786"/>
    </row>
    <row r="13" spans="1:8" ht="15.75">
      <c r="A13" s="291" t="str">
        <f>CONCATENATE("the ",D5-1," Budget, Certificate Page:")</f>
        <v>the 2014 Budget, Certificate Page:</v>
      </c>
      <c r="B13" s="292"/>
      <c r="C13" s="38"/>
      <c r="D13" s="3"/>
      <c r="E13" s="3"/>
      <c r="F13" s="3"/>
      <c r="G13" s="8"/>
      <c r="H13" s="118"/>
    </row>
    <row r="14" spans="1:8" ht="15.75">
      <c r="A14" s="291" t="s">
        <v>284</v>
      </c>
      <c r="B14" s="292"/>
      <c r="C14" s="38"/>
      <c r="D14" s="293">
        <f>$D$5-1</f>
        <v>2014</v>
      </c>
      <c r="E14" s="294">
        <f>$D$5-2</f>
        <v>2013</v>
      </c>
      <c r="G14" s="160" t="s">
        <v>713</v>
      </c>
      <c r="H14" s="168" t="s">
        <v>29</v>
      </c>
    </row>
    <row r="15" spans="1:8" ht="15.75">
      <c r="A15" s="11" t="s">
        <v>245</v>
      </c>
      <c r="B15" s="3"/>
      <c r="C15" s="295" t="s">
        <v>244</v>
      </c>
      <c r="D15" s="296" t="s">
        <v>310</v>
      </c>
      <c r="E15" s="297" t="s">
        <v>16</v>
      </c>
      <c r="G15" s="166" t="str">
        <f>CONCATENATE("",E14," Ad Valorem Tax")</f>
        <v>2013 Ad Valorem Tax</v>
      </c>
      <c r="H15" s="704">
        <v>0</v>
      </c>
    </row>
    <row r="16" spans="1:7" ht="15.75">
      <c r="A16" s="3"/>
      <c r="B16" s="61" t="s">
        <v>246</v>
      </c>
      <c r="C16" s="150" t="s">
        <v>247</v>
      </c>
      <c r="D16" s="176">
        <v>3465</v>
      </c>
      <c r="E16" s="176">
        <v>1013</v>
      </c>
      <c r="G16" s="21">
        <f>IF(H15&gt;0,ROUND(E16-(E16*H15),0),0)</f>
        <v>0</v>
      </c>
    </row>
    <row r="17" spans="1:7" ht="15.75">
      <c r="A17" s="3"/>
      <c r="B17" s="61"/>
      <c r="C17" s="150"/>
      <c r="D17" s="176"/>
      <c r="E17" s="176"/>
      <c r="G17" s="21">
        <f>IF(H15&gt;0,ROUND(E17-(E17*H15),0),0)</f>
        <v>0</v>
      </c>
    </row>
    <row r="18" spans="1:7" ht="15.75">
      <c r="A18" s="3"/>
      <c r="B18" s="61"/>
      <c r="C18" s="655"/>
      <c r="D18" s="176"/>
      <c r="E18" s="176"/>
      <c r="G18" s="21">
        <f>IF(H15&gt;0,ROUND(E18-(E18*H15),0),0)</f>
        <v>0</v>
      </c>
    </row>
    <row r="19" spans="1:7" ht="15.75">
      <c r="A19" s="3"/>
      <c r="B19" s="61"/>
      <c r="C19" s="168"/>
      <c r="D19" s="176"/>
      <c r="E19" s="176"/>
      <c r="G19" s="21">
        <f>IF(H15&gt;0,ROUND(E19-(E19*H15),0),0)</f>
        <v>0</v>
      </c>
    </row>
    <row r="20" spans="1:7" ht="15.75">
      <c r="A20" s="3"/>
      <c r="B20" s="356" t="s">
        <v>940</v>
      </c>
      <c r="C20" s="357" t="s">
        <v>941</v>
      </c>
      <c r="D20" s="176">
        <v>3825</v>
      </c>
      <c r="E20" s="176">
        <v>1992</v>
      </c>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3005</v>
      </c>
    </row>
    <row r="27" spans="1:5" ht="15.75">
      <c r="A27" s="8"/>
      <c r="B27" s="8"/>
      <c r="C27" s="8"/>
      <c r="D27" s="13"/>
      <c r="E27" s="129"/>
    </row>
    <row r="28" spans="1:5" ht="15.75">
      <c r="A28" s="3" t="s">
        <v>119</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7290</v>
      </c>
      <c r="E31" s="3"/>
    </row>
    <row r="32" spans="1:5" ht="15.75">
      <c r="A32" s="3"/>
      <c r="B32" s="3"/>
      <c r="C32" s="3"/>
      <c r="D32" s="3"/>
      <c r="E32" s="3"/>
    </row>
    <row r="33" spans="1:5" ht="15.75">
      <c r="A33" s="261" t="s">
        <v>305</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124</v>
      </c>
      <c r="B40" s="275"/>
      <c r="C40" s="3"/>
      <c r="D40" s="781" t="str">
        <f>CONCATENATE("",D5-3," Tax Rate                    (",D5-2," Column)")</f>
        <v>2012 Tax Rate                    (2013 Column)</v>
      </c>
      <c r="E40" s="3"/>
    </row>
    <row r="41" spans="1:5" ht="15.75">
      <c r="A41" s="291" t="str">
        <f>CONCATENATE("the ",D5-1," Budget, Budget Summary Page:")</f>
        <v>the 2014 Budget, Budget Summary Page:</v>
      </c>
      <c r="B41" s="268"/>
      <c r="C41" s="3"/>
      <c r="D41" s="782"/>
      <c r="E41" s="3"/>
    </row>
    <row r="42" spans="1:5" ht="15.75">
      <c r="A42" s="3"/>
      <c r="B42" s="74" t="str">
        <f>B16</f>
        <v>General</v>
      </c>
      <c r="C42" s="3"/>
      <c r="D42" s="303">
        <v>0.316</v>
      </c>
      <c r="E42" s="3"/>
    </row>
    <row r="43" spans="1:5" ht="15.75">
      <c r="A43" s="3"/>
      <c r="B43" s="74">
        <f>B17</f>
        <v>0</v>
      </c>
      <c r="C43" s="3"/>
      <c r="D43" s="304"/>
      <c r="E43" s="3"/>
    </row>
    <row r="44" spans="1:5" ht="15.75">
      <c r="A44" s="3"/>
      <c r="B44" s="74">
        <f>B18</f>
        <v>0</v>
      </c>
      <c r="C44" s="3"/>
      <c r="D44" s="304"/>
      <c r="E44" s="3"/>
    </row>
    <row r="45" spans="1:5" ht="15.75">
      <c r="A45" s="3"/>
      <c r="B45" s="74">
        <f aca="true" t="shared" si="0" ref="B45:B51">B19</f>
        <v>0</v>
      </c>
      <c r="C45" s="3"/>
      <c r="D45" s="304"/>
      <c r="E45" s="3"/>
    </row>
    <row r="46" spans="1:5" ht="15.75">
      <c r="A46" s="3"/>
      <c r="B46" s="61" t="str">
        <f t="shared" si="0"/>
        <v>Fire</v>
      </c>
      <c r="C46" s="3"/>
      <c r="D46" s="304">
        <v>0.63</v>
      </c>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0.946</v>
      </c>
      <c r="E52" s="3"/>
    </row>
    <row r="53" spans="1:5" ht="16.5" thickTop="1">
      <c r="A53" s="3"/>
      <c r="B53" s="3"/>
      <c r="C53" s="3"/>
      <c r="D53" s="3"/>
      <c r="E53" s="3"/>
    </row>
    <row r="54" spans="1:5" ht="15.75">
      <c r="A54" s="307" t="str">
        <f>CONCATENATE("Total Tax Levied (",D5-2," budget column)")</f>
        <v>Total Tax Levied (2013 budget column)</v>
      </c>
      <c r="B54" s="308"/>
      <c r="C54" s="9"/>
      <c r="D54" s="247"/>
      <c r="E54" s="176">
        <v>3002</v>
      </c>
    </row>
    <row r="55" spans="1:5" ht="15.75">
      <c r="A55" s="309" t="str">
        <f>CONCATENATE("Assessed Valuation (",D5-2," budget column)")</f>
        <v>Assessed Valuation (2013 budget column)</v>
      </c>
      <c r="B55" s="310"/>
      <c r="C55" s="255"/>
      <c r="D55" s="17"/>
      <c r="E55" s="176">
        <v>3175984</v>
      </c>
    </row>
    <row r="56" spans="1:5" ht="15.75">
      <c r="A56" s="261"/>
      <c r="B56" s="8"/>
      <c r="C56" s="8"/>
      <c r="D56" s="8"/>
      <c r="E56" s="269"/>
    </row>
    <row r="57" spans="1:5" ht="15.75">
      <c r="A57" s="3"/>
      <c r="B57" s="3"/>
      <c r="C57" s="3"/>
      <c r="D57" s="3"/>
      <c r="E57" s="44"/>
    </row>
    <row r="58" spans="1:5" ht="15.75">
      <c r="A58" s="275" t="s">
        <v>175</v>
      </c>
      <c r="B58" s="275"/>
      <c r="C58" s="118"/>
      <c r="D58" s="311">
        <f>D5-3</f>
        <v>2012</v>
      </c>
      <c r="E58" s="311">
        <f>D5-2</f>
        <v>2013</v>
      </c>
    </row>
    <row r="59" spans="1:5" ht="15.75">
      <c r="A59" s="308" t="s">
        <v>139</v>
      </c>
      <c r="B59" s="308"/>
      <c r="C59" s="312"/>
      <c r="D59" s="25">
        <v>0</v>
      </c>
      <c r="E59" s="25">
        <v>0</v>
      </c>
    </row>
    <row r="60" spans="1:5" ht="15.75">
      <c r="A60" s="310" t="s">
        <v>140</v>
      </c>
      <c r="B60" s="310"/>
      <c r="C60" s="313"/>
      <c r="D60" s="25">
        <v>0</v>
      </c>
      <c r="E60" s="25">
        <v>0</v>
      </c>
    </row>
    <row r="61" spans="1:5" ht="15.75">
      <c r="A61" s="310" t="s">
        <v>141</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Guilford Township</v>
      </c>
      <c r="B1" s="78"/>
      <c r="C1" s="79"/>
      <c r="D1" s="79"/>
      <c r="E1" s="79"/>
      <c r="F1" s="80" t="s">
        <v>293</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294</v>
      </c>
      <c r="B3" s="79"/>
      <c r="C3" s="79"/>
      <c r="D3" s="79"/>
      <c r="E3" s="79"/>
      <c r="F3" s="78"/>
      <c r="G3" s="79"/>
      <c r="H3" s="79"/>
      <c r="I3" s="79"/>
      <c r="J3" s="79"/>
      <c r="K3" s="79"/>
    </row>
    <row r="4" spans="1:11" ht="15.75">
      <c r="A4" s="79" t="s">
        <v>295</v>
      </c>
      <c r="B4" s="79"/>
      <c r="C4" s="79" t="s">
        <v>296</v>
      </c>
      <c r="D4" s="79"/>
      <c r="E4" s="79" t="s">
        <v>297</v>
      </c>
      <c r="F4" s="78"/>
      <c r="G4" s="79" t="s">
        <v>298</v>
      </c>
      <c r="H4" s="79"/>
      <c r="I4" s="79" t="s">
        <v>299</v>
      </c>
      <c r="J4" s="79"/>
      <c r="K4" s="79"/>
    </row>
    <row r="5" spans="1:11" ht="15.75">
      <c r="A5" s="871">
        <f>inputPrYr!B34</f>
        <v>0</v>
      </c>
      <c r="B5" s="872"/>
      <c r="C5" s="871">
        <f>inputPrYr!B35</f>
        <v>0</v>
      </c>
      <c r="D5" s="872"/>
      <c r="E5" s="871">
        <f>inputPrYr!B36</f>
        <v>0</v>
      </c>
      <c r="F5" s="872"/>
      <c r="G5" s="873">
        <f>inputPrYr!B37</f>
        <v>0</v>
      </c>
      <c r="H5" s="872"/>
      <c r="I5" s="873">
        <f>inputPrYr!B38</f>
        <v>0</v>
      </c>
      <c r="J5" s="872"/>
      <c r="K5" s="83"/>
    </row>
    <row r="6" spans="1:11" ht="15.75">
      <c r="A6" s="84" t="s">
        <v>300</v>
      </c>
      <c r="B6" s="85"/>
      <c r="C6" s="86" t="s">
        <v>300</v>
      </c>
      <c r="D6" s="87"/>
      <c r="E6" s="86" t="s">
        <v>300</v>
      </c>
      <c r="F6" s="88"/>
      <c r="G6" s="86" t="s">
        <v>300</v>
      </c>
      <c r="H6" s="82"/>
      <c r="I6" s="86" t="s">
        <v>300</v>
      </c>
      <c r="J6" s="79"/>
      <c r="K6" s="89" t="s">
        <v>249</v>
      </c>
    </row>
    <row r="7" spans="1:11" ht="15.75">
      <c r="A7" s="90" t="s">
        <v>301</v>
      </c>
      <c r="B7" s="91"/>
      <c r="C7" s="92" t="s">
        <v>301</v>
      </c>
      <c r="D7" s="91"/>
      <c r="E7" s="92" t="s">
        <v>301</v>
      </c>
      <c r="F7" s="91"/>
      <c r="G7" s="92" t="s">
        <v>301</v>
      </c>
      <c r="H7" s="91"/>
      <c r="I7" s="92" t="s">
        <v>301</v>
      </c>
      <c r="J7" s="91"/>
      <c r="K7" s="93">
        <f>SUM(B7+D7+F7+H7+J7)</f>
        <v>0</v>
      </c>
    </row>
    <row r="8" spans="1:11" ht="15.75">
      <c r="A8" s="94" t="s">
        <v>110</v>
      </c>
      <c r="B8" s="95"/>
      <c r="C8" s="94" t="s">
        <v>110</v>
      </c>
      <c r="D8" s="96"/>
      <c r="E8" s="94" t="s">
        <v>110</v>
      </c>
      <c r="F8" s="78"/>
      <c r="G8" s="94" t="s">
        <v>110</v>
      </c>
      <c r="H8" s="79"/>
      <c r="I8" s="94" t="s">
        <v>110</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302</v>
      </c>
      <c r="B29" s="93">
        <f>SUM(B18-B28)</f>
        <v>0</v>
      </c>
      <c r="C29" s="94" t="s">
        <v>302</v>
      </c>
      <c r="D29" s="93">
        <f>SUM(D18-D28)</f>
        <v>0</v>
      </c>
      <c r="E29" s="94" t="s">
        <v>302</v>
      </c>
      <c r="F29" s="93">
        <f>SUM(F18-F28)</f>
        <v>0</v>
      </c>
      <c r="G29" s="94" t="s">
        <v>302</v>
      </c>
      <c r="H29" s="93">
        <f>SUM(H18-H28)</f>
        <v>0</v>
      </c>
      <c r="I29" s="94" t="s">
        <v>302</v>
      </c>
      <c r="J29" s="93">
        <f>SUM(J18-J28)</f>
        <v>0</v>
      </c>
      <c r="K29" s="108">
        <f>SUM(B29+D29+F29+H29+J29)</f>
        <v>0</v>
      </c>
      <c r="L29" s="69" t="s">
        <v>303</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303</v>
      </c>
    </row>
    <row r="31" spans="1:11" ht="15.75">
      <c r="A31" s="79"/>
      <c r="B31" s="109"/>
      <c r="C31" s="79"/>
      <c r="D31" s="78"/>
      <c r="E31" s="79"/>
      <c r="F31" s="79"/>
      <c r="G31" s="110" t="s">
        <v>304</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311</v>
      </c>
    </row>
    <row r="2" ht="54.75" customHeight="1">
      <c r="A2" s="153" t="s">
        <v>312</v>
      </c>
    </row>
    <row r="3" ht="15.75">
      <c r="A3" s="154"/>
    </row>
    <row r="4" ht="56.25" customHeight="1">
      <c r="A4" s="153" t="s">
        <v>313</v>
      </c>
    </row>
    <row r="5" ht="15.75">
      <c r="A5" s="69"/>
    </row>
    <row r="6" ht="50.25" customHeight="1">
      <c r="A6" s="153" t="s">
        <v>314</v>
      </c>
    </row>
    <row r="7" ht="16.5" customHeight="1">
      <c r="A7" s="153"/>
    </row>
    <row r="8" ht="50.25" customHeight="1">
      <c r="A8" s="456" t="s">
        <v>673</v>
      </c>
    </row>
    <row r="9" ht="15.75">
      <c r="A9" s="154"/>
    </row>
    <row r="10" ht="40.5" customHeight="1">
      <c r="A10" s="153" t="s">
        <v>315</v>
      </c>
    </row>
    <row r="11" ht="15.75">
      <c r="A11" s="69"/>
    </row>
    <row r="12" ht="40.5" customHeight="1">
      <c r="A12" s="153" t="s">
        <v>316</v>
      </c>
    </row>
    <row r="13" ht="15.75">
      <c r="A13" s="154"/>
    </row>
    <row r="14" ht="71.25" customHeight="1">
      <c r="A14" s="153" t="s">
        <v>317</v>
      </c>
    </row>
    <row r="15" ht="15.75">
      <c r="A15" s="154"/>
    </row>
    <row r="16" ht="40.5" customHeight="1">
      <c r="A16" s="153" t="s">
        <v>318</v>
      </c>
    </row>
    <row r="17" ht="15.75">
      <c r="A17" s="69"/>
    </row>
    <row r="18" ht="49.5" customHeight="1">
      <c r="A18" s="153" t="s">
        <v>319</v>
      </c>
    </row>
    <row r="19" ht="15.75">
      <c r="A19" s="154"/>
    </row>
    <row r="20" ht="52.5" customHeight="1">
      <c r="A20" s="153" t="s">
        <v>320</v>
      </c>
    </row>
    <row r="21" ht="15.75">
      <c r="A21" s="154"/>
    </row>
    <row r="22" ht="48.75" customHeight="1">
      <c r="A22" s="153" t="s">
        <v>321</v>
      </c>
    </row>
    <row r="23" ht="15.75">
      <c r="A23" s="154"/>
    </row>
    <row r="24" ht="15.75">
      <c r="A24" s="69"/>
    </row>
    <row r="25" ht="51.75" customHeight="1">
      <c r="A25" s="153" t="s">
        <v>322</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Guilford Township</v>
      </c>
      <c r="B1" s="3"/>
      <c r="C1" s="3"/>
      <c r="D1" s="3"/>
      <c r="E1" s="3"/>
      <c r="F1" s="3">
        <f>inputPrYr!D5</f>
        <v>2015</v>
      </c>
    </row>
    <row r="2" spans="1:6" ht="15.75">
      <c r="A2" s="3"/>
      <c r="B2" s="3"/>
      <c r="C2" s="3"/>
      <c r="D2" s="3"/>
      <c r="E2" s="3"/>
      <c r="F2" s="3"/>
    </row>
    <row r="3" spans="1:6" ht="15.75">
      <c r="A3" s="3"/>
      <c r="B3" s="809" t="str">
        <f>CONCATENATE("",F1," Neighborhood Revitalization Rebate")</f>
        <v>2015 Neighborhood Revitalization Rebate</v>
      </c>
      <c r="C3" s="798"/>
      <c r="D3" s="798"/>
      <c r="E3" s="798"/>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f>inputPrYr!B17</f>
        <v>0</v>
      </c>
      <c r="C7" s="119"/>
      <c r="D7" s="120">
        <f t="shared" si="0"/>
      </c>
      <c r="E7" s="121">
        <f t="shared" si="1"/>
      </c>
      <c r="F7" s="118"/>
    </row>
    <row r="8" spans="1:6" ht="15.75">
      <c r="A8" s="3"/>
      <c r="B8" s="61">
        <f>inputPrYr!B18</f>
        <v>0</v>
      </c>
      <c r="C8" s="119"/>
      <c r="D8" s="120">
        <f>IF(C8&gt;0,C8/$D$21,"")</f>
      </c>
      <c r="E8" s="121">
        <f>IF(C8&gt;0,ROUND(D8*$D$25,0),"")</f>
      </c>
      <c r="F8" s="118"/>
    </row>
    <row r="9" spans="1:6" ht="15.75">
      <c r="A9" s="3"/>
      <c r="B9" s="61">
        <f>inputPrYr!B19</f>
        <v>0</v>
      </c>
      <c r="C9" s="119"/>
      <c r="D9" s="120">
        <f t="shared" si="0"/>
      </c>
      <c r="E9" s="121">
        <f t="shared" si="1"/>
      </c>
      <c r="F9" s="118"/>
    </row>
    <row r="10" spans="1:6" ht="15.75">
      <c r="A10" s="3"/>
      <c r="B10" s="61" t="str">
        <f>inputPrYr!B20</f>
        <v>Fire</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185</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6" t="str">
        <f>CONCATENATE("",F1-1," July 1 Valuation:")</f>
        <v>2014 July 1 Valuation:</v>
      </c>
      <c r="B19" s="875"/>
      <c r="C19" s="876"/>
      <c r="D19" s="125">
        <f>inputOth!E7</f>
        <v>3606585</v>
      </c>
      <c r="E19" s="3"/>
      <c r="F19" s="118"/>
    </row>
    <row r="20" spans="1:6" ht="15.75">
      <c r="A20" s="3"/>
      <c r="B20" s="3"/>
      <c r="C20" s="3"/>
      <c r="D20" s="3"/>
      <c r="E20" s="3"/>
      <c r="F20" s="118"/>
    </row>
    <row r="21" spans="1:6" ht="15.75">
      <c r="A21" s="3"/>
      <c r="B21" s="876" t="s">
        <v>333</v>
      </c>
      <c r="C21" s="876"/>
      <c r="D21" s="126">
        <f>IF(D19&gt;0,(D19*0.001),"")</f>
        <v>3606.585</v>
      </c>
      <c r="E21" s="3"/>
      <c r="F21" s="118"/>
    </row>
    <row r="22" spans="1:6" ht="15.75">
      <c r="A22" s="3"/>
      <c r="B22" s="37"/>
      <c r="C22" s="37"/>
      <c r="D22" s="127"/>
      <c r="E22" s="3"/>
      <c r="F22" s="118"/>
    </row>
    <row r="23" spans="1:6" ht="15.75">
      <c r="A23" s="874" t="s">
        <v>335</v>
      </c>
      <c r="B23" s="808"/>
      <c r="C23" s="808"/>
      <c r="D23" s="128">
        <f>inputOth!E13</f>
        <v>0</v>
      </c>
      <c r="E23" s="129"/>
      <c r="F23" s="129"/>
    </row>
    <row r="24" spans="1:6" ht="15.75">
      <c r="A24" s="129"/>
      <c r="B24" s="129"/>
      <c r="C24" s="129"/>
      <c r="D24" s="130"/>
      <c r="E24" s="129"/>
      <c r="F24" s="129"/>
    </row>
    <row r="25" spans="1:6" ht="15.75">
      <c r="A25" s="129"/>
      <c r="B25" s="874" t="s">
        <v>336</v>
      </c>
      <c r="C25" s="875"/>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566</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80" t="s">
        <v>906</v>
      </c>
      <c r="D4" s="881"/>
      <c r="E4" s="881"/>
      <c r="F4" s="881"/>
      <c r="G4" s="881"/>
      <c r="H4" s="881"/>
      <c r="I4" s="882"/>
    </row>
    <row r="5" spans="3:9" ht="16.5" thickBot="1">
      <c r="C5" s="762"/>
      <c r="D5" s="762"/>
      <c r="E5" s="763"/>
      <c r="F5" s="764"/>
      <c r="G5" s="762"/>
      <c r="H5" s="762"/>
      <c r="I5" s="762"/>
    </row>
    <row r="6" spans="3:9" ht="15.75">
      <c r="C6" s="883" t="str">
        <f>CONCATENATE("Notice of Vote - ",inputPrYr!D2)</f>
        <v>Notice of Vote - Guilford Township</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6" t="s">
        <v>907</v>
      </c>
      <c r="D4" s="887"/>
      <c r="E4" s="887"/>
      <c r="F4" s="887"/>
      <c r="G4" s="887"/>
      <c r="H4" s="888"/>
    </row>
    <row r="5" spans="3:8" ht="16.5" thickBot="1">
      <c r="C5" s="766"/>
      <c r="D5" s="766"/>
      <c r="E5" s="766"/>
      <c r="F5" s="766"/>
      <c r="G5" s="766"/>
      <c r="H5" s="766"/>
    </row>
    <row r="6" spans="3:8" ht="15.75">
      <c r="C6" s="883" t="str">
        <f>CONCATENATE("Notice of Vote - ",inputPrYr!D2)</f>
        <v>Notice of Vote - Guilford Township</v>
      </c>
      <c r="D6" s="884"/>
      <c r="E6" s="884"/>
      <c r="F6" s="884"/>
      <c r="G6" s="884"/>
      <c r="H6" s="885"/>
    </row>
    <row r="7" spans="3:8" ht="15.75">
      <c r="C7" s="889" t="s">
        <v>908</v>
      </c>
      <c r="D7" s="890"/>
      <c r="E7" s="890"/>
      <c r="F7" s="890"/>
      <c r="G7" s="890"/>
      <c r="H7" s="891"/>
    </row>
    <row r="8" spans="3:8" ht="15.75">
      <c r="C8" s="889" t="s">
        <v>909</v>
      </c>
      <c r="D8" s="890"/>
      <c r="E8" s="890"/>
      <c r="F8" s="890"/>
      <c r="G8" s="890"/>
      <c r="H8" s="891"/>
    </row>
    <row r="9" spans="3:8" ht="15.75">
      <c r="C9" s="769" t="str">
        <f>CONCATENATE(H2-1," Budget")</f>
        <v>2014 Budget</v>
      </c>
      <c r="D9" s="773" t="s">
        <v>2</v>
      </c>
      <c r="E9" s="775">
        <f>inputPrYr!E26</f>
        <v>3005</v>
      </c>
      <c r="F9" s="767"/>
      <c r="G9" s="767"/>
      <c r="H9" s="768"/>
    </row>
    <row r="10" spans="3:8" ht="15.75">
      <c r="C10" s="769" t="str">
        <f>CONCATENATE(H2," Budget")</f>
        <v>2015 Budget</v>
      </c>
      <c r="D10" s="773" t="s">
        <v>2</v>
      </c>
      <c r="E10" s="776">
        <f>cert!F35</f>
        <v>3053</v>
      </c>
      <c r="F10" s="767"/>
      <c r="G10" s="767"/>
      <c r="H10" s="768"/>
    </row>
    <row r="11" spans="3:8" ht="15.75">
      <c r="C11" s="769"/>
      <c r="D11" s="767"/>
      <c r="E11" s="767" t="s">
        <v>910</v>
      </c>
      <c r="F11" s="777"/>
      <c r="G11" s="772" t="s">
        <v>911</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349</v>
      </c>
      <c r="B3" s="334"/>
      <c r="C3" s="334"/>
      <c r="D3" s="334"/>
      <c r="E3" s="334"/>
      <c r="F3" s="334"/>
      <c r="G3" s="334"/>
      <c r="H3" s="334"/>
      <c r="I3" s="334"/>
      <c r="J3" s="334"/>
      <c r="K3" s="334"/>
      <c r="L3" s="334"/>
    </row>
    <row r="5" ht="15.75">
      <c r="A5" s="333" t="s">
        <v>350</v>
      </c>
    </row>
    <row r="6" ht="15.75">
      <c r="A6" s="333" t="str">
        <f>CONCATENATE(inputPrYr!D5-2," 'total expenditures' exceed your ",inputPrYr!D5-2," 'budget authority.'")</f>
        <v>2013 'total expenditures' exceed your 2013 'budget authority.'</v>
      </c>
    </row>
    <row r="7" ht="15.75">
      <c r="A7" s="333"/>
    </row>
    <row r="8" ht="15.75">
      <c r="A8" s="333" t="s">
        <v>351</v>
      </c>
    </row>
    <row r="9" ht="15.75">
      <c r="A9" s="333" t="s">
        <v>352</v>
      </c>
    </row>
    <row r="10" ht="15.75">
      <c r="A10" s="333" t="s">
        <v>353</v>
      </c>
    </row>
    <row r="11" ht="15.75">
      <c r="A11" s="333"/>
    </row>
    <row r="12" ht="15.75">
      <c r="A12" s="333"/>
    </row>
    <row r="13" ht="15.75">
      <c r="A13" s="332" t="s">
        <v>354</v>
      </c>
    </row>
    <row r="15" ht="15.75">
      <c r="A15" s="333" t="s">
        <v>355</v>
      </c>
    </row>
    <row r="16" ht="15.75">
      <c r="A16" s="333" t="str">
        <f>CONCATENATE("(i.e. an audit has not been completed, or the ",inputPrYr!D5," adopted")</f>
        <v>(i.e. an audit has not been completed, or the 2015 adopted</v>
      </c>
    </row>
    <row r="17" ht="15.75">
      <c r="A17" s="333" t="s">
        <v>356</v>
      </c>
    </row>
    <row r="18" ht="15.75">
      <c r="A18" s="333" t="s">
        <v>357</v>
      </c>
    </row>
    <row r="19" ht="15.75">
      <c r="A19" s="333" t="s">
        <v>358</v>
      </c>
    </row>
    <row r="21" ht="15.75">
      <c r="A21" s="332" t="s">
        <v>359</v>
      </c>
    </row>
    <row r="22" ht="15.75">
      <c r="A22" s="332"/>
    </row>
    <row r="23" ht="15.75">
      <c r="A23" s="333" t="s">
        <v>360</v>
      </c>
    </row>
    <row r="24" ht="15.75">
      <c r="A24" s="333" t="s">
        <v>361</v>
      </c>
    </row>
    <row r="25" ht="15.75">
      <c r="A25" s="333" t="str">
        <f>CONCATENATE("particular fund.  If your ",inputPrYr!D5-2," budget was amended, did you")</f>
        <v>particular fund.  If your 2013 budget was amended, did you</v>
      </c>
    </row>
    <row r="26" ht="15.75">
      <c r="A26" s="333" t="s">
        <v>362</v>
      </c>
    </row>
    <row r="27" ht="15.75">
      <c r="A27" s="333"/>
    </row>
    <row r="28" ht="15.75">
      <c r="A28" s="333" t="str">
        <f>CONCATENATE("Next, look to see if any of your ",inputPrYr!D5-2," expenditures can be")</f>
        <v>Next, look to see if any of your 2013 expenditures can be</v>
      </c>
    </row>
    <row r="29" ht="15.75">
      <c r="A29" s="333" t="s">
        <v>363</v>
      </c>
    </row>
    <row r="30" ht="15.75">
      <c r="A30" s="333" t="s">
        <v>364</v>
      </c>
    </row>
    <row r="31" ht="15.75">
      <c r="A31" s="333" t="s">
        <v>365</v>
      </c>
    </row>
    <row r="32" ht="15.75">
      <c r="A32" s="333"/>
    </row>
    <row r="33" ht="15.75">
      <c r="A33" s="333" t="str">
        <f>CONCATENATE("Additionally, do your ",inputPrYr!D5-2," receipts contain a reimbursement")</f>
        <v>Additionally, do your 2013 receipts contain a reimbursement</v>
      </c>
    </row>
    <row r="34" ht="15.75">
      <c r="A34" s="333" t="s">
        <v>366</v>
      </c>
    </row>
    <row r="35" ht="15.75">
      <c r="A35" s="333" t="s">
        <v>367</v>
      </c>
    </row>
    <row r="36" ht="15.75">
      <c r="A36" s="333"/>
    </row>
    <row r="37" ht="15.75">
      <c r="A37" s="333" t="s">
        <v>368</v>
      </c>
    </row>
    <row r="38" ht="15.75">
      <c r="A38" s="333" t="s">
        <v>554</v>
      </c>
    </row>
    <row r="39" ht="15.75">
      <c r="A39" s="333" t="s">
        <v>555</v>
      </c>
    </row>
    <row r="40" ht="15.75">
      <c r="A40" s="333" t="s">
        <v>369</v>
      </c>
    </row>
    <row r="41" ht="15.75">
      <c r="A41" s="333" t="s">
        <v>370</v>
      </c>
    </row>
    <row r="42" ht="15.75">
      <c r="A42" s="333" t="s">
        <v>371</v>
      </c>
    </row>
    <row r="43" ht="15.75">
      <c r="A43" s="333" t="s">
        <v>372</v>
      </c>
    </row>
    <row r="44" ht="15.75">
      <c r="A44" s="333" t="s">
        <v>373</v>
      </c>
    </row>
    <row r="45" ht="15.75">
      <c r="A45" s="333"/>
    </row>
    <row r="46" ht="15.75">
      <c r="A46" s="333" t="s">
        <v>374</v>
      </c>
    </row>
    <row r="47" ht="15.75">
      <c r="A47" s="333" t="s">
        <v>375</v>
      </c>
    </row>
    <row r="48" ht="15.75">
      <c r="A48" s="333" t="s">
        <v>376</v>
      </c>
    </row>
    <row r="49" ht="15.75">
      <c r="A49" s="333"/>
    </row>
    <row r="50" ht="15.75">
      <c r="A50" s="333" t="s">
        <v>377</v>
      </c>
    </row>
    <row r="51" ht="15.75">
      <c r="A51" s="333" t="s">
        <v>378</v>
      </c>
    </row>
    <row r="52" ht="15.75">
      <c r="A52" s="333" t="s">
        <v>379</v>
      </c>
    </row>
    <row r="53" ht="15.75">
      <c r="A53" s="333"/>
    </row>
    <row r="54" ht="15.75">
      <c r="A54" s="332" t="s">
        <v>380</v>
      </c>
    </row>
    <row r="55" ht="15.75">
      <c r="A55" s="333"/>
    </row>
    <row r="56" ht="15.75">
      <c r="A56" s="333" t="s">
        <v>381</v>
      </c>
    </row>
    <row r="57" ht="15.75">
      <c r="A57" s="333" t="s">
        <v>382</v>
      </c>
    </row>
    <row r="58" ht="15.75">
      <c r="A58" s="333" t="s">
        <v>383</v>
      </c>
    </row>
    <row r="59" ht="15.75">
      <c r="A59" s="333" t="s">
        <v>384</v>
      </c>
    </row>
    <row r="60" ht="15.75">
      <c r="A60" s="333" t="s">
        <v>385</v>
      </c>
    </row>
    <row r="61" ht="15.75">
      <c r="A61" s="333" t="s">
        <v>386</v>
      </c>
    </row>
    <row r="62" ht="15.75">
      <c r="A62" s="333" t="s">
        <v>387</v>
      </c>
    </row>
    <row r="63" ht="15.75">
      <c r="A63" s="333" t="s">
        <v>388</v>
      </c>
    </row>
    <row r="64" ht="15.75">
      <c r="A64" s="333" t="s">
        <v>389</v>
      </c>
    </row>
    <row r="65" ht="15.75">
      <c r="A65" s="333" t="s">
        <v>390</v>
      </c>
    </row>
    <row r="66" ht="15.75">
      <c r="A66" s="333" t="s">
        <v>391</v>
      </c>
    </row>
    <row r="67" ht="15.75">
      <c r="A67" s="333" t="s">
        <v>392</v>
      </c>
    </row>
    <row r="68" ht="15.75">
      <c r="A68" s="333" t="s">
        <v>393</v>
      </c>
    </row>
    <row r="69" ht="15.75">
      <c r="A69" s="333"/>
    </row>
    <row r="70" ht="15.75">
      <c r="A70" s="333" t="s">
        <v>394</v>
      </c>
    </row>
    <row r="71" ht="15.75">
      <c r="A71" s="333" t="s">
        <v>395</v>
      </c>
    </row>
    <row r="72" ht="15.75">
      <c r="A72" s="333" t="s">
        <v>396</v>
      </c>
    </row>
    <row r="73" ht="15.75">
      <c r="A73" s="333"/>
    </row>
    <row r="74" ht="15.75">
      <c r="A74" s="332" t="str">
        <f>CONCATENATE("What if the ",inputPrYr!D5-2," financial records have been closed?")</f>
        <v>What if the 2013 financial records have been closed?</v>
      </c>
    </row>
    <row r="76" ht="15.75">
      <c r="A76" s="333" t="s">
        <v>397</v>
      </c>
    </row>
    <row r="77" ht="15.75">
      <c r="A77" s="333" t="str">
        <f>CONCATENATE("(i.e. an audit for ",inputPrYr!D5-2," has been completed, or the ",inputPrYr!D5)</f>
        <v>(i.e. an audit for 2013 has been completed, or the 2015</v>
      </c>
    </row>
    <row r="78" ht="15.75">
      <c r="A78" s="333" t="s">
        <v>398</v>
      </c>
    </row>
    <row r="79" ht="15.75">
      <c r="A79" s="333" t="s">
        <v>399</v>
      </c>
    </row>
    <row r="80" ht="15.75">
      <c r="A80" s="333"/>
    </row>
    <row r="81" ht="15.75">
      <c r="A81" s="333" t="s">
        <v>400</v>
      </c>
    </row>
    <row r="82" ht="15.75">
      <c r="A82" s="333" t="s">
        <v>401</v>
      </c>
    </row>
    <row r="83" ht="15.75">
      <c r="A83" s="333" t="s">
        <v>402</v>
      </c>
    </row>
    <row r="84" ht="15.75">
      <c r="A84" s="333"/>
    </row>
    <row r="85" ht="15.75">
      <c r="A85" s="333" t="s">
        <v>403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404</v>
      </c>
      <c r="B3" s="334"/>
      <c r="C3" s="334"/>
      <c r="D3" s="334"/>
      <c r="E3" s="334"/>
      <c r="F3" s="334"/>
      <c r="G3" s="334"/>
      <c r="H3" s="331"/>
      <c r="I3" s="331"/>
      <c r="J3" s="331"/>
    </row>
    <row r="5" ht="15.75">
      <c r="A5" s="333" t="s">
        <v>405</v>
      </c>
    </row>
    <row r="6" ht="15.75">
      <c r="A6" t="str">
        <f>CONCATENATE(inputPrYr!D5-2," expenditures show that you finished the year with a ")</f>
        <v>2013 expenditures show that you finished the year with a </v>
      </c>
    </row>
    <row r="7" ht="15.75">
      <c r="A7" t="s">
        <v>406</v>
      </c>
    </row>
    <row r="9" ht="15.75">
      <c r="A9" t="s">
        <v>407</v>
      </c>
    </row>
    <row r="10" ht="15.75">
      <c r="A10" t="s">
        <v>408</v>
      </c>
    </row>
    <row r="11" ht="15.75">
      <c r="A11" t="s">
        <v>409</v>
      </c>
    </row>
    <row r="13" ht="15.75">
      <c r="A13" s="332" t="s">
        <v>410</v>
      </c>
    </row>
    <row r="14" ht="15.75">
      <c r="A14" s="332"/>
    </row>
    <row r="15" ht="15.75">
      <c r="A15" s="333" t="s">
        <v>411</v>
      </c>
    </row>
    <row r="16" ht="15.75">
      <c r="A16" s="333" t="s">
        <v>412</v>
      </c>
    </row>
    <row r="17" ht="15.75">
      <c r="A17" s="333" t="s">
        <v>413</v>
      </c>
    </row>
    <row r="18" ht="15.75">
      <c r="A18" s="333"/>
    </row>
    <row r="19" ht="15.75">
      <c r="A19" s="332" t="s">
        <v>414</v>
      </c>
    </row>
    <row r="20" ht="15.75">
      <c r="A20" s="332"/>
    </row>
    <row r="21" ht="15.75">
      <c r="A21" s="333" t="s">
        <v>415</v>
      </c>
    </row>
    <row r="22" ht="15.75">
      <c r="A22" s="333" t="s">
        <v>416</v>
      </c>
    </row>
    <row r="23" ht="15.75">
      <c r="A23" s="333" t="s">
        <v>417</v>
      </c>
    </row>
    <row r="24" ht="15.75">
      <c r="A24" s="333"/>
    </row>
    <row r="25" ht="15.75">
      <c r="A25" s="332" t="s">
        <v>418</v>
      </c>
    </row>
    <row r="26" ht="15.75">
      <c r="A26" s="332"/>
    </row>
    <row r="27" ht="15.75">
      <c r="A27" s="333" t="s">
        <v>419</v>
      </c>
    </row>
    <row r="28" ht="15.75">
      <c r="A28" s="333" t="s">
        <v>420</v>
      </c>
    </row>
    <row r="29" ht="15.75">
      <c r="A29" s="333" t="s">
        <v>421</v>
      </c>
    </row>
    <row r="30" ht="15.75">
      <c r="A30" s="333"/>
    </row>
    <row r="31" ht="15.75">
      <c r="A31" s="332" t="s">
        <v>422</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423</v>
      </c>
      <c r="B35" s="333"/>
      <c r="C35" s="333"/>
      <c r="D35" s="333"/>
      <c r="E35" s="333"/>
      <c r="F35" s="333"/>
      <c r="G35" s="333"/>
      <c r="H35" s="333"/>
    </row>
    <row r="36" spans="1:8" ht="15.75">
      <c r="A36" s="333" t="s">
        <v>424</v>
      </c>
      <c r="B36" s="333"/>
      <c r="C36" s="333"/>
      <c r="D36" s="333"/>
      <c r="E36" s="333"/>
      <c r="F36" s="333"/>
      <c r="G36" s="333"/>
      <c r="H36" s="333"/>
    </row>
    <row r="37" spans="1:8" ht="15.75">
      <c r="A37" s="333" t="s">
        <v>425</v>
      </c>
      <c r="B37" s="333"/>
      <c r="C37" s="333"/>
      <c r="D37" s="333"/>
      <c r="E37" s="333"/>
      <c r="F37" s="333"/>
      <c r="G37" s="333"/>
      <c r="H37" s="333"/>
    </row>
    <row r="38" spans="1:8" ht="15.75">
      <c r="A38" s="333" t="s">
        <v>426</v>
      </c>
      <c r="B38" s="333"/>
      <c r="C38" s="333"/>
      <c r="D38" s="333"/>
      <c r="E38" s="333"/>
      <c r="F38" s="333"/>
      <c r="G38" s="333"/>
      <c r="H38" s="333"/>
    </row>
    <row r="39" spans="1:8" ht="15.75">
      <c r="A39" s="333" t="s">
        <v>427</v>
      </c>
      <c r="B39" s="333"/>
      <c r="C39" s="333"/>
      <c r="D39" s="333"/>
      <c r="E39" s="333"/>
      <c r="F39" s="333"/>
      <c r="G39" s="333"/>
      <c r="H39" s="333"/>
    </row>
    <row r="40" spans="1:8" ht="15.75">
      <c r="A40" s="333"/>
      <c r="B40" s="333"/>
      <c r="C40" s="333"/>
      <c r="D40" s="333"/>
      <c r="E40" s="333"/>
      <c r="F40" s="333"/>
      <c r="G40" s="333"/>
      <c r="H40" s="333"/>
    </row>
    <row r="41" spans="1:8" ht="15.75">
      <c r="A41" s="333" t="s">
        <v>428</v>
      </c>
      <c r="B41" s="333"/>
      <c r="C41" s="333"/>
      <c r="D41" s="333"/>
      <c r="E41" s="333"/>
      <c r="F41" s="333"/>
      <c r="G41" s="333"/>
      <c r="H41" s="333"/>
    </row>
    <row r="42" spans="1:8" ht="15.75">
      <c r="A42" s="333" t="s">
        <v>429</v>
      </c>
      <c r="B42" s="333"/>
      <c r="C42" s="333"/>
      <c r="D42" s="333"/>
      <c r="E42" s="333"/>
      <c r="F42" s="333"/>
      <c r="G42" s="333"/>
      <c r="H42" s="333"/>
    </row>
    <row r="43" spans="1:8" ht="15.75">
      <c r="A43" s="333" t="s">
        <v>430</v>
      </c>
      <c r="B43" s="333"/>
      <c r="C43" s="333"/>
      <c r="D43" s="333"/>
      <c r="E43" s="333"/>
      <c r="F43" s="333"/>
      <c r="G43" s="333"/>
      <c r="H43" s="333"/>
    </row>
    <row r="44" spans="1:8" ht="15.75">
      <c r="A44" s="333" t="s">
        <v>431</v>
      </c>
      <c r="B44" s="333"/>
      <c r="C44" s="333"/>
      <c r="D44" s="333"/>
      <c r="E44" s="333"/>
      <c r="F44" s="333"/>
      <c r="G44" s="333"/>
      <c r="H44" s="333"/>
    </row>
    <row r="45" spans="1:8" ht="15.75">
      <c r="A45" s="333"/>
      <c r="B45" s="333"/>
      <c r="C45" s="333"/>
      <c r="D45" s="333"/>
      <c r="E45" s="333"/>
      <c r="F45" s="333"/>
      <c r="G45" s="333"/>
      <c r="H45" s="333"/>
    </row>
    <row r="46" spans="1:8" ht="15.75">
      <c r="A46" s="333" t="s">
        <v>432</v>
      </c>
      <c r="B46" s="333"/>
      <c r="C46" s="333"/>
      <c r="D46" s="333"/>
      <c r="E46" s="333"/>
      <c r="F46" s="333"/>
      <c r="G46" s="333"/>
      <c r="H46" s="333"/>
    </row>
    <row r="47" spans="1:8" ht="15.75">
      <c r="A47" s="333" t="s">
        <v>433</v>
      </c>
      <c r="B47" s="333"/>
      <c r="C47" s="333"/>
      <c r="D47" s="333"/>
      <c r="E47" s="333"/>
      <c r="F47" s="333"/>
      <c r="G47" s="333"/>
      <c r="H47" s="333"/>
    </row>
    <row r="48" spans="1:8" ht="15.75">
      <c r="A48" s="333" t="s">
        <v>434</v>
      </c>
      <c r="B48" s="333"/>
      <c r="C48" s="333"/>
      <c r="D48" s="333"/>
      <c r="E48" s="333"/>
      <c r="F48" s="333"/>
      <c r="G48" s="333"/>
      <c r="H48" s="333"/>
    </row>
    <row r="49" spans="1:8" ht="15.75">
      <c r="A49" s="333" t="s">
        <v>435</v>
      </c>
      <c r="B49" s="333"/>
      <c r="C49" s="333"/>
      <c r="D49" s="333"/>
      <c r="E49" s="333"/>
      <c r="F49" s="333"/>
      <c r="G49" s="333"/>
      <c r="H49" s="333"/>
    </row>
    <row r="50" spans="1:8" ht="15.75">
      <c r="A50" s="333" t="s">
        <v>436</v>
      </c>
      <c r="B50" s="333"/>
      <c r="C50" s="333"/>
      <c r="D50" s="333"/>
      <c r="E50" s="333"/>
      <c r="F50" s="333"/>
      <c r="G50" s="333"/>
      <c r="H50" s="333"/>
    </row>
    <row r="51" spans="1:8" ht="15.75">
      <c r="A51" s="333"/>
      <c r="B51" s="333"/>
      <c r="C51" s="333"/>
      <c r="D51" s="333"/>
      <c r="E51" s="333"/>
      <c r="F51" s="333"/>
      <c r="G51" s="333"/>
      <c r="H51" s="333"/>
    </row>
    <row r="52" spans="1:8" ht="15.75">
      <c r="A52" s="332" t="s">
        <v>437</v>
      </c>
      <c r="B52" s="332"/>
      <c r="C52" s="332"/>
      <c r="D52" s="332"/>
      <c r="E52" s="332"/>
      <c r="F52" s="332"/>
      <c r="G52" s="332"/>
      <c r="H52" s="333"/>
    </row>
    <row r="53" spans="1:8" ht="15.75">
      <c r="A53" s="332" t="s">
        <v>438</v>
      </c>
      <c r="B53" s="332"/>
      <c r="C53" s="332"/>
      <c r="D53" s="332"/>
      <c r="E53" s="332"/>
      <c r="F53" s="332"/>
      <c r="G53" s="332"/>
      <c r="H53" s="333"/>
    </row>
    <row r="54" spans="1:8" ht="15.75">
      <c r="A54" s="333"/>
      <c r="B54" s="333"/>
      <c r="C54" s="333"/>
      <c r="D54" s="333"/>
      <c r="E54" s="333"/>
      <c r="F54" s="333"/>
      <c r="G54" s="333"/>
      <c r="H54" s="333"/>
    </row>
    <row r="55" spans="1:8" ht="15.75">
      <c r="A55" s="333" t="s">
        <v>439</v>
      </c>
      <c r="B55" s="333"/>
      <c r="C55" s="333"/>
      <c r="D55" s="333"/>
      <c r="E55" s="333"/>
      <c r="F55" s="333"/>
      <c r="G55" s="333"/>
      <c r="H55" s="333"/>
    </row>
    <row r="56" spans="1:8" ht="15.75">
      <c r="A56" s="333" t="s">
        <v>440</v>
      </c>
      <c r="B56" s="333"/>
      <c r="C56" s="333"/>
      <c r="D56" s="333"/>
      <c r="E56" s="333"/>
      <c r="F56" s="333"/>
      <c r="G56" s="333"/>
      <c r="H56" s="333"/>
    </row>
    <row r="57" spans="1:8" ht="15.75">
      <c r="A57" s="333" t="s">
        <v>441</v>
      </c>
      <c r="B57" s="333"/>
      <c r="C57" s="333"/>
      <c r="D57" s="333"/>
      <c r="E57" s="333"/>
      <c r="F57" s="333"/>
      <c r="G57" s="333"/>
      <c r="H57" s="333"/>
    </row>
    <row r="58" spans="1:8" ht="15.75">
      <c r="A58" s="333" t="s">
        <v>442</v>
      </c>
      <c r="B58" s="333"/>
      <c r="C58" s="333"/>
      <c r="D58" s="333"/>
      <c r="E58" s="333"/>
      <c r="F58" s="333"/>
      <c r="G58" s="333"/>
      <c r="H58" s="333"/>
    </row>
    <row r="59" spans="1:8" ht="15.75">
      <c r="A59" s="333"/>
      <c r="B59" s="333"/>
      <c r="C59" s="333"/>
      <c r="D59" s="333"/>
      <c r="E59" s="333"/>
      <c r="F59" s="333"/>
      <c r="G59" s="333"/>
      <c r="H59" s="333"/>
    </row>
    <row r="60" spans="1:8" ht="15.75">
      <c r="A60" s="333" t="s">
        <v>443</v>
      </c>
      <c r="B60" s="333"/>
      <c r="C60" s="333"/>
      <c r="D60" s="333"/>
      <c r="E60" s="333"/>
      <c r="F60" s="333"/>
      <c r="G60" s="333"/>
      <c r="H60" s="333"/>
    </row>
    <row r="61" spans="1:8" ht="15.75">
      <c r="A61" s="333" t="s">
        <v>444</v>
      </c>
      <c r="B61" s="333"/>
      <c r="C61" s="333"/>
      <c r="D61" s="333"/>
      <c r="E61" s="333"/>
      <c r="F61" s="333"/>
      <c r="G61" s="333"/>
      <c r="H61" s="333"/>
    </row>
    <row r="62" spans="1:8" ht="15.75">
      <c r="A62" s="333" t="s">
        <v>445</v>
      </c>
      <c r="B62" s="333"/>
      <c r="C62" s="333"/>
      <c r="D62" s="333"/>
      <c r="E62" s="333"/>
      <c r="F62" s="333"/>
      <c r="G62" s="333"/>
      <c r="H62" s="333"/>
    </row>
    <row r="63" spans="1:8" ht="15.75">
      <c r="A63" s="333" t="s">
        <v>446</v>
      </c>
      <c r="B63" s="333"/>
      <c r="C63" s="333"/>
      <c r="D63" s="333"/>
      <c r="E63" s="333"/>
      <c r="F63" s="333"/>
      <c r="G63" s="333"/>
      <c r="H63" s="333"/>
    </row>
    <row r="64" spans="1:8" ht="15.75">
      <c r="A64" s="333" t="s">
        <v>447</v>
      </c>
      <c r="B64" s="333"/>
      <c r="C64" s="333"/>
      <c r="D64" s="333"/>
      <c r="E64" s="333"/>
      <c r="F64" s="333"/>
      <c r="G64" s="333"/>
      <c r="H64" s="333"/>
    </row>
    <row r="65" spans="1:8" ht="15.75">
      <c r="A65" s="333" t="s">
        <v>448</v>
      </c>
      <c r="B65" s="333"/>
      <c r="C65" s="333"/>
      <c r="D65" s="333"/>
      <c r="E65" s="333"/>
      <c r="F65" s="333"/>
      <c r="G65" s="333"/>
      <c r="H65" s="333"/>
    </row>
    <row r="66" spans="1:8" ht="15.75">
      <c r="A66" s="333"/>
      <c r="B66" s="333"/>
      <c r="C66" s="333"/>
      <c r="D66" s="333"/>
      <c r="E66" s="333"/>
      <c r="F66" s="333"/>
      <c r="G66" s="333"/>
      <c r="H66" s="333"/>
    </row>
    <row r="67" spans="1:8" ht="15.75">
      <c r="A67" s="333" t="s">
        <v>449</v>
      </c>
      <c r="B67" s="333"/>
      <c r="C67" s="333"/>
      <c r="D67" s="333"/>
      <c r="E67" s="333"/>
      <c r="F67" s="333"/>
      <c r="G67" s="333"/>
      <c r="H67" s="333"/>
    </row>
    <row r="68" spans="1:8" ht="15.75">
      <c r="A68" s="333" t="s">
        <v>450</v>
      </c>
      <c r="B68" s="333"/>
      <c r="C68" s="333"/>
      <c r="D68" s="333"/>
      <c r="E68" s="333"/>
      <c r="F68" s="333"/>
      <c r="G68" s="333"/>
      <c r="H68" s="333"/>
    </row>
    <row r="69" spans="1:8" ht="15.75">
      <c r="A69" s="333" t="s">
        <v>451</v>
      </c>
      <c r="B69" s="333"/>
      <c r="C69" s="333"/>
      <c r="D69" s="333"/>
      <c r="E69" s="333"/>
      <c r="F69" s="333"/>
      <c r="G69" s="333"/>
      <c r="H69" s="333"/>
    </row>
    <row r="70" spans="1:8" ht="15.75">
      <c r="A70" s="333" t="s">
        <v>452</v>
      </c>
      <c r="B70" s="333"/>
      <c r="C70" s="333"/>
      <c r="D70" s="333"/>
      <c r="E70" s="333"/>
      <c r="F70" s="333"/>
      <c r="G70" s="333"/>
      <c r="H70" s="333"/>
    </row>
    <row r="71" spans="1:8" ht="15.75">
      <c r="A71" s="333" t="s">
        <v>453</v>
      </c>
      <c r="B71" s="333"/>
      <c r="C71" s="333"/>
      <c r="D71" s="333"/>
      <c r="E71" s="333"/>
      <c r="F71" s="333"/>
      <c r="G71" s="333"/>
      <c r="H71" s="333"/>
    </row>
    <row r="72" spans="1:8" ht="15.75">
      <c r="A72" s="333" t="s">
        <v>454</v>
      </c>
      <c r="B72" s="333"/>
      <c r="C72" s="333"/>
      <c r="D72" s="333"/>
      <c r="E72" s="333"/>
      <c r="F72" s="333"/>
      <c r="G72" s="333"/>
      <c r="H72" s="333"/>
    </row>
    <row r="73" spans="1:8" ht="15.75">
      <c r="A73" s="333" t="s">
        <v>455</v>
      </c>
      <c r="B73" s="333"/>
      <c r="C73" s="333"/>
      <c r="D73" s="333"/>
      <c r="E73" s="333"/>
      <c r="F73" s="333"/>
      <c r="G73" s="333"/>
      <c r="H73" s="333"/>
    </row>
    <row r="74" spans="1:8" ht="15.75">
      <c r="A74" s="333"/>
      <c r="B74" s="333"/>
      <c r="C74" s="333"/>
      <c r="D74" s="333"/>
      <c r="E74" s="333"/>
      <c r="F74" s="333"/>
      <c r="G74" s="333"/>
      <c r="H74" s="333"/>
    </row>
    <row r="75" spans="1:8" ht="15.75">
      <c r="A75" s="333" t="s">
        <v>456</v>
      </c>
      <c r="B75" s="333"/>
      <c r="C75" s="333"/>
      <c r="D75" s="333"/>
      <c r="E75" s="333"/>
      <c r="F75" s="333"/>
      <c r="G75" s="333"/>
      <c r="H75" s="333"/>
    </row>
    <row r="76" spans="1:8" ht="15.75">
      <c r="A76" s="333" t="s">
        <v>457</v>
      </c>
      <c r="B76" s="333"/>
      <c r="C76" s="333"/>
      <c r="D76" s="333"/>
      <c r="E76" s="333"/>
      <c r="F76" s="333"/>
      <c r="G76" s="333"/>
      <c r="H76" s="333"/>
    </row>
    <row r="77" spans="1:8" ht="15.75">
      <c r="A77" s="333" t="s">
        <v>458</v>
      </c>
      <c r="B77" s="333"/>
      <c r="C77" s="333"/>
      <c r="D77" s="333"/>
      <c r="E77" s="333"/>
      <c r="F77" s="333"/>
      <c r="G77" s="333"/>
      <c r="H77" s="333"/>
    </row>
    <row r="78" spans="1:8" ht="15.75">
      <c r="A78" s="333"/>
      <c r="B78" s="333"/>
      <c r="C78" s="333"/>
      <c r="D78" s="333"/>
      <c r="E78" s="333"/>
      <c r="F78" s="333"/>
      <c r="G78" s="333"/>
      <c r="H78" s="333"/>
    </row>
    <row r="79" ht="15.75">
      <c r="A79" s="333" t="s">
        <v>403</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459</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350</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460</v>
      </c>
      <c r="I7" s="334"/>
      <c r="J7" s="334"/>
      <c r="K7" s="334"/>
      <c r="L7" s="334"/>
    </row>
    <row r="8" spans="1:12" ht="15.75">
      <c r="A8" s="333"/>
      <c r="I8" s="334"/>
      <c r="J8" s="334"/>
      <c r="K8" s="334"/>
      <c r="L8" s="334"/>
    </row>
    <row r="9" spans="1:12" ht="15.75">
      <c r="A9" s="333" t="s">
        <v>461</v>
      </c>
      <c r="I9" s="334"/>
      <c r="J9" s="334"/>
      <c r="K9" s="334"/>
      <c r="L9" s="334"/>
    </row>
    <row r="10" spans="1:12" ht="15.75">
      <c r="A10" s="333" t="s">
        <v>462</v>
      </c>
      <c r="I10" s="334"/>
      <c r="J10" s="334"/>
      <c r="K10" s="334"/>
      <c r="L10" s="334"/>
    </row>
    <row r="11" spans="1:12" ht="15.75">
      <c r="A11" s="333" t="s">
        <v>463</v>
      </c>
      <c r="I11" s="334"/>
      <c r="J11" s="334"/>
      <c r="K11" s="334"/>
      <c r="L11" s="334"/>
    </row>
    <row r="12" spans="1:12" ht="15.75">
      <c r="A12" s="333" t="s">
        <v>464</v>
      </c>
      <c r="I12" s="334"/>
      <c r="J12" s="334"/>
      <c r="K12" s="334"/>
      <c r="L12" s="334"/>
    </row>
    <row r="13" spans="1:12" ht="15.75">
      <c r="A13" s="333" t="s">
        <v>465</v>
      </c>
      <c r="I13" s="334"/>
      <c r="J13" s="334"/>
      <c r="K13" s="334"/>
      <c r="L13" s="334"/>
    </row>
    <row r="14" spans="1:12" ht="15.75">
      <c r="A14" s="334"/>
      <c r="B14" s="334"/>
      <c r="C14" s="334"/>
      <c r="D14" s="334"/>
      <c r="E14" s="334"/>
      <c r="F14" s="334"/>
      <c r="G14" s="334"/>
      <c r="H14" s="334"/>
      <c r="I14" s="334"/>
      <c r="J14" s="334"/>
      <c r="K14" s="334"/>
      <c r="L14" s="334"/>
    </row>
    <row r="15" ht="15.75">
      <c r="A15" s="332" t="s">
        <v>466</v>
      </c>
    </row>
    <row r="16" ht="15.75">
      <c r="A16" s="332" t="s">
        <v>467</v>
      </c>
    </row>
    <row r="17" ht="15.75">
      <c r="A17" s="332"/>
    </row>
    <row r="18" spans="1:7" ht="15.75">
      <c r="A18" s="333" t="s">
        <v>468</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469</v>
      </c>
      <c r="B20" s="333"/>
      <c r="C20" s="333"/>
      <c r="D20" s="333"/>
      <c r="E20" s="333"/>
      <c r="F20" s="333"/>
      <c r="G20" s="333"/>
    </row>
    <row r="21" spans="1:7" ht="15.75">
      <c r="A21" s="333" t="s">
        <v>470</v>
      </c>
      <c r="B21" s="333"/>
      <c r="C21" s="333"/>
      <c r="D21" s="333"/>
      <c r="E21" s="333"/>
      <c r="F21" s="333"/>
      <c r="G21" s="333"/>
    </row>
    <row r="22" ht="15.75">
      <c r="A22" s="333"/>
    </row>
    <row r="23" ht="15.75">
      <c r="A23" s="332" t="s">
        <v>471</v>
      </c>
    </row>
    <row r="24" ht="15.75">
      <c r="A24" s="332"/>
    </row>
    <row r="25" ht="15.75">
      <c r="A25" s="333" t="s">
        <v>472</v>
      </c>
    </row>
    <row r="26" spans="1:6" ht="15.75">
      <c r="A26" s="333" t="s">
        <v>473</v>
      </c>
      <c r="B26" s="333"/>
      <c r="C26" s="333"/>
      <c r="D26" s="333"/>
      <c r="E26" s="333"/>
      <c r="F26" s="333"/>
    </row>
    <row r="27" spans="1:6" ht="15.75">
      <c r="A27" s="333" t="s">
        <v>474</v>
      </c>
      <c r="B27" s="333"/>
      <c r="C27" s="333"/>
      <c r="D27" s="333"/>
      <c r="E27" s="333"/>
      <c r="F27" s="333"/>
    </row>
    <row r="28" spans="1:6" ht="15.75">
      <c r="A28" s="333" t="s">
        <v>475</v>
      </c>
      <c r="B28" s="333"/>
      <c r="C28" s="333"/>
      <c r="D28" s="333"/>
      <c r="E28" s="333"/>
      <c r="F28" s="333"/>
    </row>
    <row r="29" spans="1:6" ht="15.75">
      <c r="A29" s="333"/>
      <c r="B29" s="333"/>
      <c r="C29" s="333"/>
      <c r="D29" s="333"/>
      <c r="E29" s="333"/>
      <c r="F29" s="333"/>
    </row>
    <row r="30" spans="1:7" ht="15.75">
      <c r="A30" s="332" t="s">
        <v>476</v>
      </c>
      <c r="B30" s="332"/>
      <c r="C30" s="332"/>
      <c r="D30" s="332"/>
      <c r="E30" s="332"/>
      <c r="F30" s="332"/>
      <c r="G30" s="332"/>
    </row>
    <row r="31" spans="1:7" ht="15.75">
      <c r="A31" s="332" t="s">
        <v>477</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478</v>
      </c>
      <c r="B34" s="333"/>
      <c r="C34" s="333"/>
      <c r="D34" s="333"/>
      <c r="E34" s="333"/>
      <c r="F34" s="333"/>
    </row>
    <row r="35" spans="1:6" ht="15.75">
      <c r="A35" s="342" t="s">
        <v>364</v>
      </c>
      <c r="B35" s="333"/>
      <c r="C35" s="333"/>
      <c r="D35" s="333"/>
      <c r="E35" s="333"/>
      <c r="F35" s="333"/>
    </row>
    <row r="36" spans="1:6" ht="15.75">
      <c r="A36" s="342" t="s">
        <v>365</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366</v>
      </c>
      <c r="B39" s="333"/>
      <c r="C39" s="333"/>
      <c r="D39" s="333"/>
      <c r="E39" s="333"/>
      <c r="F39" s="333"/>
    </row>
    <row r="40" spans="1:6" ht="15.75">
      <c r="A40" s="342" t="s">
        <v>367</v>
      </c>
      <c r="B40" s="333"/>
      <c r="C40" s="333"/>
      <c r="D40" s="333"/>
      <c r="E40" s="333"/>
      <c r="F40" s="333"/>
    </row>
    <row r="41" spans="1:6" ht="15.75">
      <c r="A41" s="342"/>
      <c r="B41" s="333"/>
      <c r="C41" s="333"/>
      <c r="D41" s="333"/>
      <c r="E41" s="333"/>
      <c r="F41" s="333"/>
    </row>
    <row r="42" spans="1:6" ht="15.75">
      <c r="A42" s="342" t="s">
        <v>368</v>
      </c>
      <c r="B42" s="333"/>
      <c r="C42" s="333"/>
      <c r="D42" s="333"/>
      <c r="E42" s="333"/>
      <c r="F42" s="333"/>
    </row>
    <row r="43" spans="1:6" ht="15.75">
      <c r="A43" s="342" t="s">
        <v>554</v>
      </c>
      <c r="B43" s="333"/>
      <c r="C43" s="333"/>
      <c r="D43" s="333"/>
      <c r="E43" s="333"/>
      <c r="F43" s="333"/>
    </row>
    <row r="44" spans="1:6" ht="15.75">
      <c r="A44" s="342" t="s">
        <v>555</v>
      </c>
      <c r="B44" s="333"/>
      <c r="C44" s="333"/>
      <c r="D44" s="333"/>
      <c r="E44" s="333"/>
      <c r="F44" s="333"/>
    </row>
    <row r="45" spans="1:6" ht="15.75">
      <c r="A45" s="342" t="s">
        <v>479</v>
      </c>
      <c r="B45" s="333"/>
      <c r="C45" s="333"/>
      <c r="D45" s="333"/>
      <c r="E45" s="333"/>
      <c r="F45" s="333"/>
    </row>
    <row r="46" spans="1:6" ht="15.75">
      <c r="A46" s="342" t="s">
        <v>370</v>
      </c>
      <c r="B46" s="333"/>
      <c r="C46" s="333"/>
      <c r="D46" s="333"/>
      <c r="E46" s="333"/>
      <c r="F46" s="333"/>
    </row>
    <row r="47" spans="1:6" ht="15.75">
      <c r="A47" s="342" t="s">
        <v>480</v>
      </c>
      <c r="B47" s="333"/>
      <c r="C47" s="333"/>
      <c r="D47" s="333"/>
      <c r="E47" s="333"/>
      <c r="F47" s="333"/>
    </row>
    <row r="48" spans="1:6" ht="15.75">
      <c r="A48" s="342" t="s">
        <v>481</v>
      </c>
      <c r="B48" s="333"/>
      <c r="C48" s="333"/>
      <c r="D48" s="333"/>
      <c r="E48" s="333"/>
      <c r="F48" s="333"/>
    </row>
    <row r="49" spans="1:6" ht="15.75">
      <c r="A49" s="342" t="s">
        <v>373</v>
      </c>
      <c r="B49" s="333"/>
      <c r="C49" s="333"/>
      <c r="D49" s="333"/>
      <c r="E49" s="333"/>
      <c r="F49" s="333"/>
    </row>
    <row r="50" spans="1:6" ht="15.75">
      <c r="A50" s="342"/>
      <c r="B50" s="333"/>
      <c r="C50" s="333"/>
      <c r="D50" s="333"/>
      <c r="E50" s="333"/>
      <c r="F50" s="333"/>
    </row>
    <row r="51" spans="1:6" ht="15.75">
      <c r="A51" s="342" t="s">
        <v>374</v>
      </c>
      <c r="B51" s="333"/>
      <c r="C51" s="333"/>
      <c r="D51" s="333"/>
      <c r="E51" s="333"/>
      <c r="F51" s="333"/>
    </row>
    <row r="52" spans="1:6" ht="15.75">
      <c r="A52" s="342" t="s">
        <v>375</v>
      </c>
      <c r="B52" s="333"/>
      <c r="C52" s="333"/>
      <c r="D52" s="333"/>
      <c r="E52" s="333"/>
      <c r="F52" s="333"/>
    </row>
    <row r="53" spans="1:6" ht="15.75">
      <c r="A53" s="342" t="s">
        <v>376</v>
      </c>
      <c r="B53" s="333"/>
      <c r="C53" s="333"/>
      <c r="D53" s="333"/>
      <c r="E53" s="333"/>
      <c r="F53" s="333"/>
    </row>
    <row r="54" spans="1:6" ht="15.75">
      <c r="A54" s="342"/>
      <c r="B54" s="333"/>
      <c r="C54" s="333"/>
      <c r="D54" s="333"/>
      <c r="E54" s="333"/>
      <c r="F54" s="333"/>
    </row>
    <row r="55" spans="1:6" ht="15.75">
      <c r="A55" s="342" t="s">
        <v>482</v>
      </c>
      <c r="B55" s="333"/>
      <c r="C55" s="333"/>
      <c r="D55" s="333"/>
      <c r="E55" s="333"/>
      <c r="F55" s="333"/>
    </row>
    <row r="56" spans="1:6" ht="15.75">
      <c r="A56" s="342" t="s">
        <v>483</v>
      </c>
      <c r="B56" s="333"/>
      <c r="C56" s="333"/>
      <c r="D56" s="333"/>
      <c r="E56" s="333"/>
      <c r="F56" s="333"/>
    </row>
    <row r="57" spans="1:6" ht="15.75">
      <c r="A57" s="342" t="s">
        <v>484</v>
      </c>
      <c r="B57" s="333"/>
      <c r="C57" s="333"/>
      <c r="D57" s="333"/>
      <c r="E57" s="333"/>
      <c r="F57" s="333"/>
    </row>
    <row r="58" spans="1:6" ht="15.75">
      <c r="A58" s="342" t="s">
        <v>485</v>
      </c>
      <c r="B58" s="333"/>
      <c r="C58" s="333"/>
      <c r="D58" s="333"/>
      <c r="E58" s="333"/>
      <c r="F58" s="333"/>
    </row>
    <row r="59" spans="1:6" ht="15.75">
      <c r="A59" s="342" t="s">
        <v>486</v>
      </c>
      <c r="B59" s="333"/>
      <c r="C59" s="333"/>
      <c r="D59" s="333"/>
      <c r="E59" s="333"/>
      <c r="F59" s="333"/>
    </row>
    <row r="60" spans="1:6" ht="15.75">
      <c r="A60" s="342"/>
      <c r="B60" s="333"/>
      <c r="C60" s="333"/>
      <c r="D60" s="333"/>
      <c r="E60" s="333"/>
      <c r="F60" s="333"/>
    </row>
    <row r="61" spans="1:6" ht="15.75">
      <c r="A61" s="343" t="s">
        <v>487</v>
      </c>
      <c r="B61" s="333"/>
      <c r="C61" s="333"/>
      <c r="D61" s="333"/>
      <c r="E61" s="333"/>
      <c r="F61" s="333"/>
    </row>
    <row r="62" spans="1:6" ht="15.75">
      <c r="A62" s="343" t="s">
        <v>488</v>
      </c>
      <c r="B62" s="333"/>
      <c r="C62" s="333"/>
      <c r="D62" s="333"/>
      <c r="E62" s="333"/>
      <c r="F62" s="333"/>
    </row>
    <row r="63" spans="1:6" ht="15.75">
      <c r="A63" s="343" t="s">
        <v>489</v>
      </c>
      <c r="B63" s="333"/>
      <c r="C63" s="333"/>
      <c r="D63" s="333"/>
      <c r="E63" s="333"/>
      <c r="F63" s="333"/>
    </row>
    <row r="64" ht="15.75">
      <c r="A64" s="343" t="s">
        <v>490</v>
      </c>
    </row>
    <row r="65" ht="15.75">
      <c r="A65" s="343" t="s">
        <v>491</v>
      </c>
    </row>
    <row r="66" ht="15.75">
      <c r="A66" s="343" t="s">
        <v>492</v>
      </c>
    </row>
    <row r="68" ht="15.75">
      <c r="A68" s="333" t="s">
        <v>493</v>
      </c>
    </row>
    <row r="69" ht="15.75">
      <c r="A69" s="333" t="s">
        <v>494</v>
      </c>
    </row>
    <row r="70" ht="15.75">
      <c r="A70" s="333" t="s">
        <v>495</v>
      </c>
    </row>
    <row r="71" ht="15.75">
      <c r="A71" s="333" t="s">
        <v>496</v>
      </c>
    </row>
    <row r="72" ht="15.75">
      <c r="A72" s="333" t="s">
        <v>497</v>
      </c>
    </row>
    <row r="73" ht="15.75">
      <c r="A73" s="333" t="s">
        <v>498</v>
      </c>
    </row>
    <row r="75" ht="15.75">
      <c r="A75" s="333" t="s">
        <v>403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499</v>
      </c>
      <c r="B3" s="334"/>
      <c r="C3" s="334"/>
      <c r="D3" s="334"/>
      <c r="E3" s="334"/>
      <c r="F3" s="334"/>
      <c r="G3" s="334"/>
    </row>
    <row r="4" spans="1:7" ht="15.75">
      <c r="A4" s="334"/>
      <c r="B4" s="334"/>
      <c r="C4" s="334"/>
      <c r="D4" s="334"/>
      <c r="E4" s="334"/>
      <c r="F4" s="334"/>
      <c r="G4" s="334"/>
    </row>
    <row r="5" ht="15.75">
      <c r="A5" s="333" t="s">
        <v>405</v>
      </c>
    </row>
    <row r="6" ht="15.75">
      <c r="A6" s="333" t="str">
        <f>CONCATENATE(inputPrYr!D5," estimated expenditures show that at the end of this year")</f>
        <v>2015 estimated expenditures show that at the end of this year</v>
      </c>
    </row>
    <row r="7" ht="15.75">
      <c r="A7" s="333" t="s">
        <v>500</v>
      </c>
    </row>
    <row r="8" ht="15.75">
      <c r="A8" s="333" t="s">
        <v>501</v>
      </c>
    </row>
    <row r="10" ht="15.75">
      <c r="A10" t="s">
        <v>407</v>
      </c>
    </row>
    <row r="11" ht="15.75">
      <c r="A11" t="s">
        <v>408</v>
      </c>
    </row>
    <row r="12" ht="15.75">
      <c r="A12" t="s">
        <v>409</v>
      </c>
    </row>
    <row r="13" spans="1:7" ht="15.75">
      <c r="A13" s="334"/>
      <c r="B13" s="334"/>
      <c r="C13" s="334"/>
      <c r="D13" s="334"/>
      <c r="E13" s="334"/>
      <c r="F13" s="334"/>
      <c r="G13" s="334"/>
    </row>
    <row r="14" ht="15.75">
      <c r="A14" s="332" t="s">
        <v>502</v>
      </c>
    </row>
    <row r="15" ht="15.75">
      <c r="A15" s="333"/>
    </row>
    <row r="16" ht="15.75">
      <c r="A16" s="333" t="s">
        <v>503</v>
      </c>
    </row>
    <row r="17" ht="15.75">
      <c r="A17" s="333" t="s">
        <v>504</v>
      </c>
    </row>
    <row r="18" ht="15.75">
      <c r="A18" s="333" t="s">
        <v>505</v>
      </c>
    </row>
    <row r="19" ht="15.75">
      <c r="A19" s="333"/>
    </row>
    <row r="20" ht="15.75">
      <c r="A20" s="333" t="s">
        <v>506</v>
      </c>
    </row>
    <row r="21" ht="15.75">
      <c r="A21" s="333" t="s">
        <v>507</v>
      </c>
    </row>
    <row r="22" ht="15.75">
      <c r="A22" s="333" t="s">
        <v>508</v>
      </c>
    </row>
    <row r="23" ht="15.75">
      <c r="A23" s="333" t="s">
        <v>509</v>
      </c>
    </row>
    <row r="24" ht="15.75">
      <c r="A24" s="333"/>
    </row>
    <row r="25" ht="15.75">
      <c r="A25" s="332" t="s">
        <v>471</v>
      </c>
    </row>
    <row r="26" ht="15.75">
      <c r="A26" s="332"/>
    </row>
    <row r="27" ht="15.75">
      <c r="A27" s="333" t="s">
        <v>472</v>
      </c>
    </row>
    <row r="28" spans="1:6" ht="15.75">
      <c r="A28" s="333" t="s">
        <v>473</v>
      </c>
      <c r="B28" s="333"/>
      <c r="C28" s="333"/>
      <c r="D28" s="333"/>
      <c r="E28" s="333"/>
      <c r="F28" s="333"/>
    </row>
    <row r="29" spans="1:6" ht="15.75">
      <c r="A29" s="333" t="s">
        <v>474</v>
      </c>
      <c r="B29" s="333"/>
      <c r="C29" s="333"/>
      <c r="D29" s="333"/>
      <c r="E29" s="333"/>
      <c r="F29" s="333"/>
    </row>
    <row r="30" spans="1:6" ht="15.75">
      <c r="A30" s="333" t="s">
        <v>475</v>
      </c>
      <c r="B30" s="333"/>
      <c r="C30" s="333"/>
      <c r="D30" s="333"/>
      <c r="E30" s="333"/>
      <c r="F30" s="333"/>
    </row>
    <row r="31" ht="15.75">
      <c r="A31" s="333"/>
    </row>
    <row r="32" spans="1:7" ht="15.75">
      <c r="A32" s="332" t="s">
        <v>476</v>
      </c>
      <c r="B32" s="332"/>
      <c r="C32" s="332"/>
      <c r="D32" s="332"/>
      <c r="E32" s="332"/>
      <c r="F32" s="332"/>
      <c r="G32" s="332"/>
    </row>
    <row r="33" spans="1:7" ht="15.75">
      <c r="A33" s="332" t="s">
        <v>477</v>
      </c>
      <c r="B33" s="332"/>
      <c r="C33" s="332"/>
      <c r="D33" s="332"/>
      <c r="E33" s="332"/>
      <c r="F33" s="332"/>
      <c r="G33" s="332"/>
    </row>
    <row r="34" spans="1:7" ht="15.75">
      <c r="A34" s="332"/>
      <c r="B34" s="332"/>
      <c r="C34" s="332"/>
      <c r="D34" s="332"/>
      <c r="E34" s="332"/>
      <c r="F34" s="332"/>
      <c r="G34" s="332"/>
    </row>
    <row r="35" spans="1:7" ht="15.75">
      <c r="A35" s="333" t="s">
        <v>510</v>
      </c>
      <c r="B35" s="333"/>
      <c r="C35" s="333"/>
      <c r="D35" s="333"/>
      <c r="E35" s="333"/>
      <c r="F35" s="333"/>
      <c r="G35" s="333"/>
    </row>
    <row r="36" spans="1:7" ht="15.75">
      <c r="A36" s="333" t="s">
        <v>511</v>
      </c>
      <c r="B36" s="333"/>
      <c r="C36" s="333"/>
      <c r="D36" s="333"/>
      <c r="E36" s="333"/>
      <c r="F36" s="333"/>
      <c r="G36" s="333"/>
    </row>
    <row r="37" spans="1:7" ht="15.75">
      <c r="A37" s="333" t="s">
        <v>512</v>
      </c>
      <c r="B37" s="333"/>
      <c r="C37" s="333"/>
      <c r="D37" s="333"/>
      <c r="E37" s="333"/>
      <c r="F37" s="333"/>
      <c r="G37" s="333"/>
    </row>
    <row r="38" spans="1:7" ht="15.75">
      <c r="A38" s="333" t="s">
        <v>513</v>
      </c>
      <c r="B38" s="333"/>
      <c r="C38" s="333"/>
      <c r="D38" s="333"/>
      <c r="E38" s="333"/>
      <c r="F38" s="333"/>
      <c r="G38" s="333"/>
    </row>
    <row r="39" spans="1:7" ht="15.75">
      <c r="A39" s="333" t="s">
        <v>514</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478</v>
      </c>
      <c r="B42" s="333"/>
      <c r="C42" s="333"/>
      <c r="D42" s="333"/>
      <c r="E42" s="333"/>
      <c r="F42" s="333"/>
    </row>
    <row r="43" spans="1:6" ht="15.75">
      <c r="A43" s="342" t="s">
        <v>364</v>
      </c>
      <c r="B43" s="333"/>
      <c r="C43" s="333"/>
      <c r="D43" s="333"/>
      <c r="E43" s="333"/>
      <c r="F43" s="333"/>
    </row>
    <row r="44" spans="1:6" ht="15.75">
      <c r="A44" s="342" t="s">
        <v>365</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366</v>
      </c>
      <c r="B47" s="333"/>
      <c r="C47" s="333"/>
      <c r="D47" s="333"/>
      <c r="E47" s="333"/>
      <c r="F47" s="333"/>
    </row>
    <row r="48" spans="1:6" ht="15.75">
      <c r="A48" s="342" t="s">
        <v>367</v>
      </c>
      <c r="B48" s="333"/>
      <c r="C48" s="333"/>
      <c r="D48" s="333"/>
      <c r="E48" s="333"/>
      <c r="F48" s="333"/>
    </row>
    <row r="49" spans="1:7" ht="15.75">
      <c r="A49" s="333"/>
      <c r="B49" s="333"/>
      <c r="C49" s="333"/>
      <c r="D49" s="333"/>
      <c r="E49" s="333"/>
      <c r="F49" s="333"/>
      <c r="G49" s="333"/>
    </row>
    <row r="50" spans="1:7" ht="15.75">
      <c r="A50" s="333" t="s">
        <v>432</v>
      </c>
      <c r="B50" s="333"/>
      <c r="C50" s="333"/>
      <c r="D50" s="333"/>
      <c r="E50" s="333"/>
      <c r="F50" s="333"/>
      <c r="G50" s="333"/>
    </row>
    <row r="51" spans="1:7" ht="15.75">
      <c r="A51" s="333" t="s">
        <v>433</v>
      </c>
      <c r="B51" s="333"/>
      <c r="C51" s="333"/>
      <c r="D51" s="333"/>
      <c r="E51" s="333"/>
      <c r="F51" s="333"/>
      <c r="G51" s="333"/>
    </row>
    <row r="52" spans="1:7" ht="15.75">
      <c r="A52" s="333" t="s">
        <v>434</v>
      </c>
      <c r="B52" s="333"/>
      <c r="C52" s="333"/>
      <c r="D52" s="333"/>
      <c r="E52" s="333"/>
      <c r="F52" s="333"/>
      <c r="G52" s="333"/>
    </row>
    <row r="53" spans="1:7" ht="15.75">
      <c r="A53" s="333" t="s">
        <v>435</v>
      </c>
      <c r="B53" s="333"/>
      <c r="C53" s="333"/>
      <c r="D53" s="333"/>
      <c r="E53" s="333"/>
      <c r="F53" s="333"/>
      <c r="G53" s="333"/>
    </row>
    <row r="54" spans="1:7" ht="15.75">
      <c r="A54" s="333" t="s">
        <v>436</v>
      </c>
      <c r="B54" s="333"/>
      <c r="C54" s="333"/>
      <c r="D54" s="333"/>
      <c r="E54" s="333"/>
      <c r="F54" s="333"/>
      <c r="G54" s="333"/>
    </row>
    <row r="55" spans="1:7" ht="15.75">
      <c r="A55" s="333"/>
      <c r="B55" s="333"/>
      <c r="C55" s="333"/>
      <c r="D55" s="333"/>
      <c r="E55" s="333"/>
      <c r="F55" s="333"/>
      <c r="G55" s="333"/>
    </row>
    <row r="56" spans="1:6" ht="15.75">
      <c r="A56" s="342" t="s">
        <v>374</v>
      </c>
      <c r="B56" s="333"/>
      <c r="C56" s="333"/>
      <c r="D56" s="333"/>
      <c r="E56" s="333"/>
      <c r="F56" s="333"/>
    </row>
    <row r="57" spans="1:6" ht="15.75">
      <c r="A57" s="342" t="s">
        <v>375</v>
      </c>
      <c r="B57" s="333"/>
      <c r="C57" s="333"/>
      <c r="D57" s="333"/>
      <c r="E57" s="333"/>
      <c r="F57" s="333"/>
    </row>
    <row r="58" spans="1:6" ht="15.75">
      <c r="A58" s="342" t="s">
        <v>376</v>
      </c>
      <c r="B58" s="333"/>
      <c r="C58" s="333"/>
      <c r="D58" s="333"/>
      <c r="E58" s="333"/>
      <c r="F58" s="333"/>
    </row>
    <row r="59" spans="1:6" ht="15.75">
      <c r="A59" s="342"/>
      <c r="B59" s="333"/>
      <c r="C59" s="333"/>
      <c r="D59" s="333"/>
      <c r="E59" s="333"/>
      <c r="F59" s="333"/>
    </row>
    <row r="60" spans="1:7" ht="15.75">
      <c r="A60" s="333" t="s">
        <v>515</v>
      </c>
      <c r="B60" s="333"/>
      <c r="C60" s="333"/>
      <c r="D60" s="333"/>
      <c r="E60" s="333"/>
      <c r="F60" s="333"/>
      <c r="G60" s="333"/>
    </row>
    <row r="61" spans="1:7" ht="15.75">
      <c r="A61" s="333" t="s">
        <v>516</v>
      </c>
      <c r="B61" s="333"/>
      <c r="C61" s="333"/>
      <c r="D61" s="333"/>
      <c r="E61" s="333"/>
      <c r="F61" s="333"/>
      <c r="G61" s="333"/>
    </row>
    <row r="62" spans="1:7" ht="15.75">
      <c r="A62" s="333" t="s">
        <v>517</v>
      </c>
      <c r="B62" s="333"/>
      <c r="C62" s="333"/>
      <c r="D62" s="333"/>
      <c r="E62" s="333"/>
      <c r="F62" s="333"/>
      <c r="G62" s="333"/>
    </row>
    <row r="63" spans="1:7" ht="15.75">
      <c r="A63" s="333" t="s">
        <v>518</v>
      </c>
      <c r="B63" s="333"/>
      <c r="C63" s="333"/>
      <c r="D63" s="333"/>
      <c r="E63" s="333"/>
      <c r="F63" s="333"/>
      <c r="G63" s="333"/>
    </row>
    <row r="64" spans="1:7" ht="15.75">
      <c r="A64" s="333" t="s">
        <v>519</v>
      </c>
      <c r="B64" s="333"/>
      <c r="C64" s="333"/>
      <c r="D64" s="333"/>
      <c r="E64" s="333"/>
      <c r="F64" s="333"/>
      <c r="G64" s="333"/>
    </row>
    <row r="66" spans="1:6" ht="15.75">
      <c r="A66" s="342" t="s">
        <v>482</v>
      </c>
      <c r="B66" s="333"/>
      <c r="C66" s="333"/>
      <c r="D66" s="333"/>
      <c r="E66" s="333"/>
      <c r="F66" s="333"/>
    </row>
    <row r="67" spans="1:6" ht="15.75">
      <c r="A67" s="342" t="s">
        <v>483</v>
      </c>
      <c r="B67" s="333"/>
      <c r="C67" s="333"/>
      <c r="D67" s="333"/>
      <c r="E67" s="333"/>
      <c r="F67" s="333"/>
    </row>
    <row r="68" spans="1:6" ht="15.75">
      <c r="A68" s="342" t="s">
        <v>484</v>
      </c>
      <c r="B68" s="333"/>
      <c r="C68" s="333"/>
      <c r="D68" s="333"/>
      <c r="E68" s="333"/>
      <c r="F68" s="333"/>
    </row>
    <row r="69" spans="1:6" ht="15.75">
      <c r="A69" s="342" t="s">
        <v>485</v>
      </c>
      <c r="B69" s="333"/>
      <c r="C69" s="333"/>
      <c r="D69" s="333"/>
      <c r="E69" s="333"/>
      <c r="F69" s="333"/>
    </row>
    <row r="70" spans="1:6" ht="15.75">
      <c r="A70" s="342" t="s">
        <v>486</v>
      </c>
      <c r="B70" s="333"/>
      <c r="C70" s="333"/>
      <c r="D70" s="333"/>
      <c r="E70" s="333"/>
      <c r="F70" s="333"/>
    </row>
    <row r="71" ht="15.75">
      <c r="A71" s="333"/>
    </row>
    <row r="72" ht="15.75">
      <c r="A72" s="333" t="s">
        <v>403</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520</v>
      </c>
      <c r="B3" s="334"/>
      <c r="C3" s="334"/>
      <c r="D3" s="334"/>
      <c r="E3" s="334"/>
      <c r="F3" s="334"/>
      <c r="G3" s="334"/>
    </row>
    <row r="4" spans="1:7" ht="15.75">
      <c r="A4" s="334" t="s">
        <v>521</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350</v>
      </c>
    </row>
    <row r="8" ht="15.75">
      <c r="A8" s="333" t="str">
        <f>CONCATENATE("estimated ",inputPrYr!D5," 'total expenditures' exceed your ",inputPrYr!D5,"")</f>
        <v>estimated 2015 'total expenditures' exceed your 2015</v>
      </c>
    </row>
    <row r="9" ht="15.75">
      <c r="A9" s="345" t="s">
        <v>522</v>
      </c>
    </row>
    <row r="10" ht="15.75">
      <c r="A10" s="333"/>
    </row>
    <row r="11" ht="15.75">
      <c r="A11" s="333" t="s">
        <v>523</v>
      </c>
    </row>
    <row r="12" ht="15.75">
      <c r="A12" s="333" t="s">
        <v>524</v>
      </c>
    </row>
    <row r="13" ht="15.75">
      <c r="A13" s="333" t="s">
        <v>525</v>
      </c>
    </row>
    <row r="14" ht="15.75">
      <c r="A14" s="333"/>
    </row>
    <row r="15" ht="15.75">
      <c r="A15" s="332" t="s">
        <v>526</v>
      </c>
    </row>
    <row r="16" spans="1:7" ht="15.75">
      <c r="A16" s="334"/>
      <c r="B16" s="334"/>
      <c r="C16" s="334"/>
      <c r="D16" s="334"/>
      <c r="E16" s="334"/>
      <c r="F16" s="334"/>
      <c r="G16" s="334"/>
    </row>
    <row r="17" spans="1:8" ht="15.75">
      <c r="A17" s="346" t="s">
        <v>527</v>
      </c>
      <c r="B17" s="328"/>
      <c r="C17" s="328"/>
      <c r="D17" s="328"/>
      <c r="E17" s="328"/>
      <c r="F17" s="328"/>
      <c r="G17" s="328"/>
      <c r="H17" s="328"/>
    </row>
    <row r="18" spans="1:7" ht="15.75">
      <c r="A18" s="333" t="s">
        <v>528</v>
      </c>
      <c r="B18" s="347"/>
      <c r="C18" s="347"/>
      <c r="D18" s="347"/>
      <c r="E18" s="347"/>
      <c r="F18" s="347"/>
      <c r="G18" s="347"/>
    </row>
    <row r="19" ht="15.75">
      <c r="A19" s="333" t="s">
        <v>529</v>
      </c>
    </row>
    <row r="20" ht="15.75">
      <c r="A20" s="333" t="s">
        <v>530</v>
      </c>
    </row>
    <row r="22" ht="15.75">
      <c r="A22" s="332" t="s">
        <v>531</v>
      </c>
    </row>
    <row r="24" ht="15.75">
      <c r="A24" s="333" t="s">
        <v>532</v>
      </c>
    </row>
    <row r="25" ht="15.75">
      <c r="A25" s="333" t="s">
        <v>533</v>
      </c>
    </row>
    <row r="26" ht="15.75">
      <c r="A26" s="333" t="s">
        <v>534</v>
      </c>
    </row>
    <row r="28" ht="15.75">
      <c r="A28" s="332" t="s">
        <v>535</v>
      </c>
    </row>
    <row r="30" ht="15.75">
      <c r="A30" t="s">
        <v>536</v>
      </c>
    </row>
    <row r="31" ht="15.75">
      <c r="A31" t="s">
        <v>537</v>
      </c>
    </row>
    <row r="32" ht="15.75">
      <c r="A32" t="s">
        <v>538</v>
      </c>
    </row>
    <row r="33" ht="15.75">
      <c r="A33" s="333" t="s">
        <v>539</v>
      </c>
    </row>
    <row r="35" ht="15.75">
      <c r="A35" t="s">
        <v>540</v>
      </c>
    </row>
    <row r="36" ht="15.75">
      <c r="A36" t="s">
        <v>541</v>
      </c>
    </row>
    <row r="37" ht="15.75">
      <c r="A37" t="s">
        <v>542</v>
      </c>
    </row>
    <row r="38" ht="15.75">
      <c r="A38" t="s">
        <v>543</v>
      </c>
    </row>
    <row r="40" ht="15.75">
      <c r="A40" t="s">
        <v>544</v>
      </c>
    </row>
    <row r="41" ht="15.75">
      <c r="A41" t="s">
        <v>545</v>
      </c>
    </row>
    <row r="42" ht="15.75">
      <c r="A42" t="s">
        <v>546</v>
      </c>
    </row>
    <row r="43" ht="15.75">
      <c r="A43" t="s">
        <v>547</v>
      </c>
    </row>
    <row r="44" ht="15.75">
      <c r="A44" t="s">
        <v>548</v>
      </c>
    </row>
    <row r="45" ht="15.75">
      <c r="A45" t="s">
        <v>549</v>
      </c>
    </row>
    <row r="47" ht="15.75">
      <c r="A47" t="s">
        <v>550</v>
      </c>
    </row>
    <row r="48" ht="15.75">
      <c r="A48" t="s">
        <v>551</v>
      </c>
    </row>
    <row r="49" ht="15.75">
      <c r="A49" s="333" t="s">
        <v>552</v>
      </c>
    </row>
    <row r="50" ht="15.75">
      <c r="A50" s="333" t="s">
        <v>553</v>
      </c>
    </row>
    <row r="52" ht="15.75">
      <c r="A52" t="s">
        <v>403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3">
      <selection activeCell="E33" sqref="E33"/>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Guilford Township</v>
      </c>
      <c r="B1" s="79"/>
      <c r="C1" s="79"/>
      <c r="D1" s="79"/>
      <c r="E1" s="79">
        <f>inputPrYr!D5</f>
        <v>2015</v>
      </c>
    </row>
    <row r="2" spans="1:5" ht="15.75">
      <c r="A2" s="77" t="str">
        <f>inputPrYr!D3</f>
        <v>Wilson County</v>
      </c>
      <c r="B2" s="79"/>
      <c r="C2" s="79"/>
      <c r="D2" s="79"/>
      <c r="E2" s="79"/>
    </row>
    <row r="3" spans="1:5" ht="15.75">
      <c r="A3" s="79"/>
      <c r="B3" s="79"/>
      <c r="C3" s="79"/>
      <c r="D3" s="79"/>
      <c r="E3" s="79"/>
    </row>
    <row r="4" spans="1:5" ht="15.75">
      <c r="A4" s="783" t="s">
        <v>132</v>
      </c>
      <c r="B4" s="784"/>
      <c r="C4" s="784"/>
      <c r="D4" s="784"/>
      <c r="E4" s="784"/>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3606585</v>
      </c>
    </row>
    <row r="8" spans="1:5" ht="15.75">
      <c r="A8" s="11" t="str">
        <f>CONCATENATE("New Improvements for ",E1-1,"")</f>
        <v>New Improvements for 2014</v>
      </c>
      <c r="B8" s="8"/>
      <c r="C8" s="8"/>
      <c r="D8" s="8"/>
      <c r="E8" s="721">
        <v>460</v>
      </c>
    </row>
    <row r="9" spans="1:5" ht="15.75">
      <c r="A9" s="11" t="str">
        <f>CONCATENATE("Personal Property excluding oil, gas, and mobile homes - ",E1-1,"")</f>
        <v>Personal Property excluding oil, gas, and mobile homes - 2014</v>
      </c>
      <c r="B9" s="8"/>
      <c r="C9" s="8"/>
      <c r="D9" s="8"/>
      <c r="E9" s="721">
        <v>105636</v>
      </c>
    </row>
    <row r="10" spans="1:5" ht="15.75">
      <c r="A10" s="11" t="str">
        <f>CONCATENATE("Property that has changed in use for ",E1-1,"")</f>
        <v>Property that has changed in use for 2014</v>
      </c>
      <c r="B10" s="8"/>
      <c r="C10" s="8"/>
      <c r="D10" s="8"/>
      <c r="E10" s="721">
        <v>3386</v>
      </c>
    </row>
    <row r="11" spans="1:5" ht="15.75">
      <c r="A11" s="11" t="str">
        <f>CONCATENATE("Personal Property excluding oil, gas, and mobile homes- ",E1-2,"")</f>
        <v>Personal Property excluding oil, gas, and mobile homes- 2013</v>
      </c>
      <c r="B11" s="8"/>
      <c r="C11" s="8"/>
      <c r="D11" s="8"/>
      <c r="E11" s="721">
        <v>120868</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8" t="s">
        <v>259</v>
      </c>
      <c r="B16" s="789"/>
      <c r="C16" s="79"/>
      <c r="D16" s="272" t="s">
        <v>3</v>
      </c>
      <c r="E16" s="271"/>
    </row>
    <row r="17" spans="1:5" ht="15.75">
      <c r="A17" s="60" t="str">
        <f>inputPrYr!B16</f>
        <v>General</v>
      </c>
      <c r="B17" s="9"/>
      <c r="C17" s="8"/>
      <c r="D17" s="722">
        <v>0.299</v>
      </c>
      <c r="E17" s="271"/>
    </row>
    <row r="18" spans="1:5" ht="15.75">
      <c r="A18" s="60">
        <f>inputPrYr!B17</f>
        <v>0</v>
      </c>
      <c r="B18" s="255"/>
      <c r="C18" s="8"/>
      <c r="D18" s="722"/>
      <c r="E18" s="271"/>
    </row>
    <row r="19" spans="1:5" ht="15.75">
      <c r="A19" s="60">
        <f>inputPrYr!B18</f>
        <v>0</v>
      </c>
      <c r="B19" s="255"/>
      <c r="C19" s="8"/>
      <c r="D19" s="722"/>
      <c r="E19" s="271"/>
    </row>
    <row r="20" spans="1:5" ht="15.75">
      <c r="A20" s="60">
        <f>inputPrYr!B19</f>
        <v>0</v>
      </c>
      <c r="B20" s="255"/>
      <c r="C20" s="8"/>
      <c r="D20" s="722"/>
      <c r="E20" s="271"/>
    </row>
    <row r="21" spans="1:5" ht="15.75">
      <c r="A21" s="60" t="str">
        <f>inputPrYr!B20</f>
        <v>Fire</v>
      </c>
      <c r="B21" s="255"/>
      <c r="C21" s="8"/>
      <c r="D21" s="722">
        <v>0.588</v>
      </c>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249</v>
      </c>
      <c r="C27" s="247"/>
      <c r="D27" s="273">
        <f>SUM(D17:D26)</f>
        <v>0.887</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3389720</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133</v>
      </c>
      <c r="B32" s="9"/>
      <c r="C32" s="9"/>
      <c r="D32" s="277"/>
      <c r="E32" s="23">
        <v>184</v>
      </c>
    </row>
    <row r="33" spans="1:5" ht="15.75">
      <c r="A33" s="278" t="s">
        <v>250</v>
      </c>
      <c r="B33" s="255"/>
      <c r="C33" s="255"/>
      <c r="D33" s="20"/>
      <c r="E33" s="23">
        <v>3</v>
      </c>
    </row>
    <row r="34" spans="1:5" ht="15.75">
      <c r="A34" s="278" t="s">
        <v>134</v>
      </c>
      <c r="B34" s="255"/>
      <c r="C34" s="255"/>
      <c r="D34" s="20"/>
      <c r="E34" s="23">
        <v>19</v>
      </c>
    </row>
    <row r="35" spans="1:5" ht="15.75">
      <c r="A35" s="278" t="s">
        <v>135</v>
      </c>
      <c r="B35" s="255"/>
      <c r="C35" s="255"/>
      <c r="D35" s="20"/>
      <c r="E35" s="23"/>
    </row>
    <row r="36" spans="1:5" ht="15.75">
      <c r="A36" s="278" t="s">
        <v>99</v>
      </c>
      <c r="B36" s="9"/>
      <c r="C36" s="9"/>
      <c r="D36" s="277"/>
      <c r="E36" s="23"/>
    </row>
    <row r="37" spans="1:5" ht="15.75">
      <c r="A37" s="3" t="s">
        <v>136</v>
      </c>
      <c r="B37" s="3"/>
      <c r="C37" s="3"/>
      <c r="D37" s="3"/>
      <c r="E37" s="3"/>
    </row>
    <row r="38" spans="1:5" ht="15.75">
      <c r="A38" s="57" t="s">
        <v>137</v>
      </c>
      <c r="B38" s="134"/>
      <c r="C38" s="134"/>
      <c r="D38" s="3"/>
      <c r="E38" s="3"/>
    </row>
    <row r="39" spans="1:5" ht="15.75">
      <c r="A39" s="60" t="str">
        <f>CONCATENATE("Actual Delinquency for ",E1-3," Tax - (rate .01213 = 1.213%, key in 1.2)")</f>
        <v>Actual Delinquency for 2012 Tax - (rate .01213 = 1.213%, key in 1.2)</v>
      </c>
      <c r="B39" s="9"/>
      <c r="C39" s="9"/>
      <c r="D39" s="247"/>
      <c r="E39" s="703">
        <v>0</v>
      </c>
    </row>
    <row r="40" spans="1:5" ht="15.75">
      <c r="A40" s="278" t="s">
        <v>809</v>
      </c>
      <c r="B40" s="261"/>
      <c r="C40" s="8"/>
      <c r="D40" s="8"/>
      <c r="E40" s="704">
        <v>0</v>
      </c>
    </row>
    <row r="41" spans="1:5" ht="15.75">
      <c r="A41" s="279" t="s">
        <v>138</v>
      </c>
      <c r="B41" s="279"/>
      <c r="C41" s="280"/>
      <c r="D41" s="280"/>
      <c r="E41" s="281"/>
    </row>
    <row r="42" spans="1:5" ht="15.75">
      <c r="A42" s="129"/>
      <c r="B42" s="129"/>
      <c r="C42" s="129"/>
      <c r="D42" s="129"/>
      <c r="E42" s="129"/>
    </row>
    <row r="43" spans="1:5" ht="15.75">
      <c r="A43" s="790" t="str">
        <f>CONCATENATE("From the ",E1-2," Budget Certificate Page")</f>
        <v>From the 2013 Budget Certificate Page</v>
      </c>
      <c r="B43" s="791"/>
      <c r="C43" s="129"/>
      <c r="D43" s="129"/>
      <c r="E43" s="129"/>
    </row>
    <row r="44" spans="1:5" ht="15.75">
      <c r="A44" s="282"/>
      <c r="B44" s="282" t="str">
        <f>CONCATENATE("",E1-2," Expenditure Amounts")</f>
        <v>2013 Expenditure Amounts</v>
      </c>
      <c r="C44" s="792" t="str">
        <f>CONCATENATE("Note: If the ",E1-2," budget was amended, then the")</f>
        <v>Note: If the 2013 budget was amended, then the</v>
      </c>
      <c r="D44" s="793"/>
      <c r="E44" s="793"/>
    </row>
    <row r="45" spans="1:5" ht="15.75">
      <c r="A45" s="283" t="s">
        <v>181</v>
      </c>
      <c r="B45" s="283" t="s">
        <v>182</v>
      </c>
      <c r="C45" s="284" t="s">
        <v>183</v>
      </c>
      <c r="D45" s="285"/>
      <c r="E45" s="285"/>
    </row>
    <row r="46" spans="1:5" ht="15.75">
      <c r="A46" s="286" t="str">
        <f>inputPrYr!B16</f>
        <v>General</v>
      </c>
      <c r="B46" s="25">
        <v>3480</v>
      </c>
      <c r="C46" s="284" t="s">
        <v>184</v>
      </c>
      <c r="D46" s="285"/>
      <c r="E46" s="285"/>
    </row>
    <row r="47" spans="1:5" ht="15.75">
      <c r="A47" s="286">
        <f>inputPrYr!B17</f>
        <v>0</v>
      </c>
      <c r="B47" s="25"/>
      <c r="C47" s="284"/>
      <c r="D47" s="285"/>
      <c r="E47" s="285"/>
    </row>
    <row r="48" spans="1:5" ht="15.75">
      <c r="A48" s="286">
        <f>inputPrYr!B18</f>
        <v>0</v>
      </c>
      <c r="B48" s="25"/>
      <c r="C48" s="284"/>
      <c r="D48" s="285"/>
      <c r="E48" s="285"/>
    </row>
    <row r="49" spans="1:5" ht="15.75">
      <c r="A49" s="286">
        <f>inputPrYr!B19</f>
        <v>0</v>
      </c>
      <c r="B49" s="25"/>
      <c r="C49" s="129"/>
      <c r="D49" s="129"/>
      <c r="E49" s="129"/>
    </row>
    <row r="50" spans="1:5" ht="15.75">
      <c r="A50" s="286" t="str">
        <f>inputPrYr!B20</f>
        <v>Fire</v>
      </c>
      <c r="B50" s="25">
        <v>3475</v>
      </c>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1" t="s">
        <v>586</v>
      </c>
      <c r="C6" s="909"/>
      <c r="D6" s="909"/>
      <c r="E6" s="909"/>
      <c r="F6" s="909"/>
      <c r="G6" s="909"/>
      <c r="H6" s="909"/>
      <c r="I6" s="909"/>
      <c r="J6" s="909"/>
      <c r="K6" s="909"/>
      <c r="L6" s="380"/>
    </row>
    <row r="7" spans="1:12" ht="40.5" customHeight="1">
      <c r="A7" s="377"/>
      <c r="B7" s="921" t="s">
        <v>587</v>
      </c>
      <c r="C7" s="922"/>
      <c r="D7" s="922"/>
      <c r="E7" s="922"/>
      <c r="F7" s="922"/>
      <c r="G7" s="922"/>
      <c r="H7" s="922"/>
      <c r="I7" s="922"/>
      <c r="J7" s="922"/>
      <c r="K7" s="922"/>
      <c r="L7" s="377"/>
    </row>
    <row r="8" spans="1:12" ht="14.25">
      <c r="A8" s="377"/>
      <c r="B8" s="918" t="s">
        <v>588</v>
      </c>
      <c r="C8" s="918"/>
      <c r="D8" s="918"/>
      <c r="E8" s="918"/>
      <c r="F8" s="918"/>
      <c r="G8" s="918"/>
      <c r="H8" s="918"/>
      <c r="I8" s="918"/>
      <c r="J8" s="918"/>
      <c r="K8" s="918"/>
      <c r="L8" s="377"/>
    </row>
    <row r="9" spans="1:12" ht="14.25">
      <c r="A9" s="377"/>
      <c r="L9" s="377"/>
    </row>
    <row r="10" spans="1:12" ht="14.25">
      <c r="A10" s="377"/>
      <c r="B10" s="918" t="s">
        <v>589</v>
      </c>
      <c r="C10" s="918"/>
      <c r="D10" s="918"/>
      <c r="E10" s="918"/>
      <c r="F10" s="918"/>
      <c r="G10" s="918"/>
      <c r="H10" s="918"/>
      <c r="I10" s="918"/>
      <c r="J10" s="918"/>
      <c r="K10" s="918"/>
      <c r="L10" s="377"/>
    </row>
    <row r="11" spans="1:12" ht="14.25">
      <c r="A11" s="377"/>
      <c r="B11" s="516"/>
      <c r="C11" s="516"/>
      <c r="D11" s="516"/>
      <c r="E11" s="516"/>
      <c r="F11" s="516"/>
      <c r="G11" s="516"/>
      <c r="H11" s="516"/>
      <c r="I11" s="516"/>
      <c r="J11" s="516"/>
      <c r="K11" s="516"/>
      <c r="L11" s="377"/>
    </row>
    <row r="12" spans="1:12" ht="32.25" customHeight="1">
      <c r="A12" s="377"/>
      <c r="B12" s="902" t="s">
        <v>590</v>
      </c>
      <c r="C12" s="902"/>
      <c r="D12" s="902"/>
      <c r="E12" s="902"/>
      <c r="F12" s="902"/>
      <c r="G12" s="902"/>
      <c r="H12" s="902"/>
      <c r="I12" s="902"/>
      <c r="J12" s="902"/>
      <c r="K12" s="902"/>
      <c r="L12" s="377"/>
    </row>
    <row r="13" spans="1:12" ht="14.25">
      <c r="A13" s="377"/>
      <c r="L13" s="377"/>
    </row>
    <row r="14" spans="1:12" ht="14.25">
      <c r="A14" s="377"/>
      <c r="B14" s="381" t="s">
        <v>591</v>
      </c>
      <c r="L14" s="377"/>
    </row>
    <row r="15" spans="1:12" ht="14.25">
      <c r="A15" s="377"/>
      <c r="L15" s="377"/>
    </row>
    <row r="16" spans="1:12" ht="14.25">
      <c r="A16" s="377"/>
      <c r="B16" s="379" t="s">
        <v>592</v>
      </c>
      <c r="L16" s="377"/>
    </row>
    <row r="17" spans="1:12" ht="14.25">
      <c r="A17" s="377"/>
      <c r="B17" s="379" t="s">
        <v>593</v>
      </c>
      <c r="L17" s="377"/>
    </row>
    <row r="18" spans="1:12" ht="14.25">
      <c r="A18" s="377"/>
      <c r="L18" s="377"/>
    </row>
    <row r="19" spans="1:12" ht="14.25">
      <c r="A19" s="377"/>
      <c r="B19" s="381" t="s">
        <v>714</v>
      </c>
      <c r="L19" s="377"/>
    </row>
    <row r="20" spans="1:12" ht="14.25">
      <c r="A20" s="377"/>
      <c r="B20" s="381"/>
      <c r="L20" s="377"/>
    </row>
    <row r="21" spans="1:12" ht="14.25">
      <c r="A21" s="377"/>
      <c r="B21" s="379" t="s">
        <v>715</v>
      </c>
      <c r="L21" s="377"/>
    </row>
    <row r="22" spans="1:12" ht="14.25">
      <c r="A22" s="377"/>
      <c r="L22" s="377"/>
    </row>
    <row r="23" spans="1:12" ht="14.25">
      <c r="A23" s="377"/>
      <c r="B23" s="379" t="s">
        <v>594</v>
      </c>
      <c r="E23" s="379" t="s">
        <v>595</v>
      </c>
      <c r="F23" s="904">
        <v>312000000</v>
      </c>
      <c r="G23" s="904"/>
      <c r="L23" s="377"/>
    </row>
    <row r="24" spans="1:12" ht="14.25">
      <c r="A24" s="377"/>
      <c r="L24" s="377"/>
    </row>
    <row r="25" spans="1:12" ht="14.25">
      <c r="A25" s="377"/>
      <c r="C25" s="919">
        <f>F23</f>
        <v>312000000</v>
      </c>
      <c r="D25" s="919"/>
      <c r="E25" s="379" t="s">
        <v>596</v>
      </c>
      <c r="F25" s="382">
        <v>1000</v>
      </c>
      <c r="G25" s="382" t="s">
        <v>595</v>
      </c>
      <c r="H25" s="518">
        <f>F23/F25</f>
        <v>312000</v>
      </c>
      <c r="L25" s="377"/>
    </row>
    <row r="26" spans="1:12" ht="15" thickBot="1">
      <c r="A26" s="377"/>
      <c r="L26" s="377"/>
    </row>
    <row r="27" spans="1:12" ht="14.25">
      <c r="A27" s="377"/>
      <c r="B27" s="383" t="s">
        <v>591</v>
      </c>
      <c r="C27" s="384"/>
      <c r="D27" s="384"/>
      <c r="E27" s="384"/>
      <c r="F27" s="384"/>
      <c r="G27" s="384"/>
      <c r="H27" s="384"/>
      <c r="I27" s="384"/>
      <c r="J27" s="384"/>
      <c r="K27" s="385"/>
      <c r="L27" s="377"/>
    </row>
    <row r="28" spans="1:12" ht="14.25">
      <c r="A28" s="377"/>
      <c r="B28" s="386">
        <f>F23</f>
        <v>312000000</v>
      </c>
      <c r="C28" s="387" t="s">
        <v>597</v>
      </c>
      <c r="D28" s="387"/>
      <c r="E28" s="387" t="s">
        <v>596</v>
      </c>
      <c r="F28" s="521">
        <v>1000</v>
      </c>
      <c r="G28" s="521" t="s">
        <v>595</v>
      </c>
      <c r="H28" s="388">
        <f>B28/F28</f>
        <v>312000</v>
      </c>
      <c r="I28" s="387" t="s">
        <v>598</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6" t="s">
        <v>587</v>
      </c>
      <c r="C30" s="906"/>
      <c r="D30" s="906"/>
      <c r="E30" s="906"/>
      <c r="F30" s="906"/>
      <c r="G30" s="906"/>
      <c r="H30" s="906"/>
      <c r="I30" s="906"/>
      <c r="J30" s="906"/>
      <c r="K30" s="906"/>
      <c r="L30" s="377"/>
    </row>
    <row r="31" spans="1:12" ht="14.25">
      <c r="A31" s="377"/>
      <c r="B31" s="918" t="s">
        <v>599</v>
      </c>
      <c r="C31" s="918"/>
      <c r="D31" s="918"/>
      <c r="E31" s="918"/>
      <c r="F31" s="918"/>
      <c r="G31" s="918"/>
      <c r="H31" s="918"/>
      <c r="I31" s="918"/>
      <c r="J31" s="918"/>
      <c r="K31" s="918"/>
      <c r="L31" s="377"/>
    </row>
    <row r="32" spans="1:12" ht="14.25">
      <c r="A32" s="377"/>
      <c r="L32" s="377"/>
    </row>
    <row r="33" spans="1:12" ht="14.25">
      <c r="A33" s="377"/>
      <c r="B33" s="918" t="s">
        <v>600</v>
      </c>
      <c r="C33" s="918"/>
      <c r="D33" s="918"/>
      <c r="E33" s="918"/>
      <c r="F33" s="918"/>
      <c r="G33" s="918"/>
      <c r="H33" s="918"/>
      <c r="I33" s="918"/>
      <c r="J33" s="918"/>
      <c r="K33" s="918"/>
      <c r="L33" s="377"/>
    </row>
    <row r="34" spans="1:12" ht="14.25">
      <c r="A34" s="377"/>
      <c r="L34" s="377"/>
    </row>
    <row r="35" spans="1:12" ht="89.25" customHeight="1">
      <c r="A35" s="377"/>
      <c r="B35" s="902" t="s">
        <v>601</v>
      </c>
      <c r="C35" s="912"/>
      <c r="D35" s="912"/>
      <c r="E35" s="912"/>
      <c r="F35" s="912"/>
      <c r="G35" s="912"/>
      <c r="H35" s="912"/>
      <c r="I35" s="912"/>
      <c r="J35" s="912"/>
      <c r="K35" s="912"/>
      <c r="L35" s="377"/>
    </row>
    <row r="36" spans="1:12" ht="14.25">
      <c r="A36" s="377"/>
      <c r="L36" s="377"/>
    </row>
    <row r="37" spans="1:12" ht="14.25">
      <c r="A37" s="377"/>
      <c r="B37" s="381" t="s">
        <v>602</v>
      </c>
      <c r="L37" s="377"/>
    </row>
    <row r="38" spans="1:12" ht="14.25">
      <c r="A38" s="377"/>
      <c r="L38" s="377"/>
    </row>
    <row r="39" spans="1:12" ht="14.25">
      <c r="A39" s="377"/>
      <c r="B39" s="379" t="s">
        <v>603</v>
      </c>
      <c r="L39" s="377"/>
    </row>
    <row r="40" spans="1:12" ht="14.25">
      <c r="A40" s="377"/>
      <c r="L40" s="377"/>
    </row>
    <row r="41" spans="1:12" ht="14.25">
      <c r="A41" s="377"/>
      <c r="C41" s="920">
        <v>312000000</v>
      </c>
      <c r="D41" s="920"/>
      <c r="E41" s="379" t="s">
        <v>596</v>
      </c>
      <c r="F41" s="382">
        <v>1000</v>
      </c>
      <c r="G41" s="382" t="s">
        <v>595</v>
      </c>
      <c r="H41" s="393">
        <f>C41/F41</f>
        <v>312000</v>
      </c>
      <c r="L41" s="377"/>
    </row>
    <row r="42" spans="1:12" ht="14.25">
      <c r="A42" s="377"/>
      <c r="L42" s="377"/>
    </row>
    <row r="43" spans="1:12" ht="14.25">
      <c r="A43" s="377"/>
      <c r="B43" s="379" t="s">
        <v>604</v>
      </c>
      <c r="L43" s="377"/>
    </row>
    <row r="44" spans="1:12" ht="14.25">
      <c r="A44" s="377"/>
      <c r="L44" s="377"/>
    </row>
    <row r="45" spans="1:12" ht="14.25">
      <c r="A45" s="377"/>
      <c r="B45" s="379" t="s">
        <v>605</v>
      </c>
      <c r="L45" s="377"/>
    </row>
    <row r="46" spans="1:12" ht="15" thickBot="1">
      <c r="A46" s="377"/>
      <c r="L46" s="377"/>
    </row>
    <row r="47" spans="1:12" ht="14.25">
      <c r="A47" s="377"/>
      <c r="B47" s="394" t="s">
        <v>591</v>
      </c>
      <c r="C47" s="384"/>
      <c r="D47" s="384"/>
      <c r="E47" s="384"/>
      <c r="F47" s="384"/>
      <c r="G47" s="384"/>
      <c r="H47" s="384"/>
      <c r="I47" s="384"/>
      <c r="J47" s="384"/>
      <c r="K47" s="385"/>
      <c r="L47" s="377"/>
    </row>
    <row r="48" spans="1:12" ht="14.25">
      <c r="A48" s="377"/>
      <c r="B48" s="913">
        <v>312000000</v>
      </c>
      <c r="C48" s="904"/>
      <c r="D48" s="387" t="s">
        <v>606</v>
      </c>
      <c r="E48" s="387" t="s">
        <v>596</v>
      </c>
      <c r="F48" s="521">
        <v>1000</v>
      </c>
      <c r="G48" s="521" t="s">
        <v>595</v>
      </c>
      <c r="H48" s="388">
        <f>B48/F48</f>
        <v>312000</v>
      </c>
      <c r="I48" s="387" t="s">
        <v>607</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608</v>
      </c>
      <c r="D50" s="387"/>
      <c r="E50" s="387" t="s">
        <v>596</v>
      </c>
      <c r="F50" s="388">
        <f>H48</f>
        <v>312000</v>
      </c>
      <c r="G50" s="914" t="s">
        <v>609</v>
      </c>
      <c r="H50" s="915"/>
      <c r="I50" s="521" t="s">
        <v>595</v>
      </c>
      <c r="J50" s="397">
        <f>B50/F50</f>
        <v>0.16025641025641027</v>
      </c>
      <c r="K50" s="389"/>
      <c r="L50" s="377"/>
    </row>
    <row r="51" spans="1:15" ht="15" thickBot="1">
      <c r="A51" s="377"/>
      <c r="B51" s="390"/>
      <c r="C51" s="391"/>
      <c r="D51" s="391"/>
      <c r="E51" s="391"/>
      <c r="F51" s="391"/>
      <c r="G51" s="391"/>
      <c r="H51" s="391"/>
      <c r="I51" s="916" t="s">
        <v>610</v>
      </c>
      <c r="J51" s="916"/>
      <c r="K51" s="917"/>
      <c r="L51" s="377"/>
      <c r="O51" s="398"/>
    </row>
    <row r="52" spans="1:12" ht="40.5" customHeight="1">
      <c r="A52" s="377"/>
      <c r="B52" s="906" t="s">
        <v>587</v>
      </c>
      <c r="C52" s="906"/>
      <c r="D52" s="906"/>
      <c r="E52" s="906"/>
      <c r="F52" s="906"/>
      <c r="G52" s="906"/>
      <c r="H52" s="906"/>
      <c r="I52" s="906"/>
      <c r="J52" s="906"/>
      <c r="K52" s="906"/>
      <c r="L52" s="377"/>
    </row>
    <row r="53" spans="1:12" ht="14.25">
      <c r="A53" s="377"/>
      <c r="B53" s="918" t="s">
        <v>611</v>
      </c>
      <c r="C53" s="918"/>
      <c r="D53" s="918"/>
      <c r="E53" s="918"/>
      <c r="F53" s="918"/>
      <c r="G53" s="918"/>
      <c r="H53" s="918"/>
      <c r="I53" s="918"/>
      <c r="J53" s="918"/>
      <c r="K53" s="918"/>
      <c r="L53" s="377"/>
    </row>
    <row r="54" spans="1:12" ht="14.25">
      <c r="A54" s="377"/>
      <c r="B54" s="516"/>
      <c r="C54" s="516"/>
      <c r="D54" s="516"/>
      <c r="E54" s="516"/>
      <c r="F54" s="516"/>
      <c r="G54" s="516"/>
      <c r="H54" s="516"/>
      <c r="I54" s="516"/>
      <c r="J54" s="516"/>
      <c r="K54" s="516"/>
      <c r="L54" s="377"/>
    </row>
    <row r="55" spans="1:12" ht="14.25">
      <c r="A55" s="377"/>
      <c r="B55" s="901" t="s">
        <v>612</v>
      </c>
      <c r="C55" s="901"/>
      <c r="D55" s="901"/>
      <c r="E55" s="901"/>
      <c r="F55" s="901"/>
      <c r="G55" s="901"/>
      <c r="H55" s="901"/>
      <c r="I55" s="901"/>
      <c r="J55" s="901"/>
      <c r="K55" s="901"/>
      <c r="L55" s="377"/>
    </row>
    <row r="56" spans="1:12" ht="15" customHeight="1">
      <c r="A56" s="377"/>
      <c r="L56" s="377"/>
    </row>
    <row r="57" spans="1:24" ht="74.25" customHeight="1">
      <c r="A57" s="377"/>
      <c r="B57" s="902" t="s">
        <v>613</v>
      </c>
      <c r="C57" s="912"/>
      <c r="D57" s="912"/>
      <c r="E57" s="912"/>
      <c r="F57" s="912"/>
      <c r="G57" s="912"/>
      <c r="H57" s="912"/>
      <c r="I57" s="912"/>
      <c r="J57" s="912"/>
      <c r="K57" s="912"/>
      <c r="L57" s="377"/>
      <c r="M57" s="399"/>
      <c r="N57" s="400"/>
      <c r="O57" s="400"/>
      <c r="P57" s="400"/>
      <c r="Q57" s="400"/>
      <c r="R57" s="400"/>
      <c r="S57" s="400"/>
      <c r="T57" s="400"/>
      <c r="U57" s="400"/>
      <c r="V57" s="400"/>
      <c r="W57" s="400"/>
      <c r="X57" s="400"/>
    </row>
    <row r="58" spans="1:24" ht="15" customHeight="1">
      <c r="A58" s="377"/>
      <c r="B58" s="902"/>
      <c r="C58" s="912"/>
      <c r="D58" s="912"/>
      <c r="E58" s="912"/>
      <c r="F58" s="912"/>
      <c r="G58" s="912"/>
      <c r="H58" s="912"/>
      <c r="I58" s="912"/>
      <c r="J58" s="912"/>
      <c r="K58" s="912"/>
      <c r="L58" s="377"/>
      <c r="M58" s="399"/>
      <c r="N58" s="400"/>
      <c r="O58" s="400"/>
      <c r="P58" s="400"/>
      <c r="Q58" s="400"/>
      <c r="R58" s="400"/>
      <c r="S58" s="400"/>
      <c r="T58" s="400"/>
      <c r="U58" s="400"/>
      <c r="V58" s="400"/>
      <c r="W58" s="400"/>
      <c r="X58" s="400"/>
    </row>
    <row r="59" spans="1:24" ht="14.25">
      <c r="A59" s="377"/>
      <c r="B59" s="381" t="s">
        <v>602</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614</v>
      </c>
      <c r="L61" s="377"/>
      <c r="M61" s="400"/>
      <c r="N61" s="400"/>
      <c r="O61" s="400"/>
      <c r="P61" s="400"/>
      <c r="Q61" s="400"/>
      <c r="R61" s="400"/>
      <c r="S61" s="400"/>
      <c r="T61" s="400"/>
      <c r="U61" s="400"/>
      <c r="V61" s="400"/>
      <c r="W61" s="400"/>
      <c r="X61" s="400"/>
    </row>
    <row r="62" spans="1:24" ht="14.25">
      <c r="A62" s="377"/>
      <c r="B62" s="379" t="s">
        <v>716</v>
      </c>
      <c r="L62" s="377"/>
      <c r="M62" s="400"/>
      <c r="N62" s="400"/>
      <c r="O62" s="400"/>
      <c r="P62" s="400"/>
      <c r="Q62" s="400"/>
      <c r="R62" s="400"/>
      <c r="S62" s="400"/>
      <c r="T62" s="400"/>
      <c r="U62" s="400"/>
      <c r="V62" s="400"/>
      <c r="W62" s="400"/>
      <c r="X62" s="400"/>
    </row>
    <row r="63" spans="1:24" ht="14.25">
      <c r="A63" s="377"/>
      <c r="B63" s="379" t="s">
        <v>717</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615</v>
      </c>
      <c r="L65" s="377"/>
      <c r="M65" s="400"/>
      <c r="N65" s="400"/>
      <c r="O65" s="400"/>
      <c r="P65" s="400"/>
      <c r="Q65" s="400"/>
      <c r="R65" s="400"/>
      <c r="S65" s="400"/>
      <c r="T65" s="400"/>
      <c r="U65" s="400"/>
      <c r="V65" s="400"/>
      <c r="W65" s="400"/>
      <c r="X65" s="400"/>
    </row>
    <row r="66" spans="1:24" ht="14.25">
      <c r="A66" s="377"/>
      <c r="B66" s="379" t="s">
        <v>616</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617</v>
      </c>
      <c r="L68" s="377"/>
      <c r="M68" s="401"/>
      <c r="N68" s="402"/>
      <c r="O68" s="402"/>
      <c r="P68" s="402"/>
      <c r="Q68" s="402"/>
      <c r="R68" s="402"/>
      <c r="S68" s="402"/>
      <c r="T68" s="402"/>
      <c r="U68" s="402"/>
      <c r="V68" s="402"/>
      <c r="W68" s="402"/>
      <c r="X68" s="400"/>
    </row>
    <row r="69" spans="1:24" ht="14.25">
      <c r="A69" s="377"/>
      <c r="B69" s="379" t="s">
        <v>718</v>
      </c>
      <c r="L69" s="377"/>
      <c r="M69" s="400"/>
      <c r="N69" s="400"/>
      <c r="O69" s="400"/>
      <c r="P69" s="400"/>
      <c r="Q69" s="400"/>
      <c r="R69" s="400"/>
      <c r="S69" s="400"/>
      <c r="T69" s="400"/>
      <c r="U69" s="400"/>
      <c r="V69" s="400"/>
      <c r="W69" s="400"/>
      <c r="X69" s="400"/>
    </row>
    <row r="70" spans="1:24" ht="14.25">
      <c r="A70" s="377"/>
      <c r="B70" s="379" t="s">
        <v>719</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591</v>
      </c>
      <c r="C72" s="384"/>
      <c r="D72" s="384"/>
      <c r="E72" s="384"/>
      <c r="F72" s="384"/>
      <c r="G72" s="384"/>
      <c r="H72" s="384"/>
      <c r="I72" s="384"/>
      <c r="J72" s="384"/>
      <c r="K72" s="385"/>
      <c r="L72" s="403"/>
    </row>
    <row r="73" spans="1:12" ht="14.25">
      <c r="A73" s="377"/>
      <c r="B73" s="395"/>
      <c r="C73" s="387" t="s">
        <v>597</v>
      </c>
      <c r="D73" s="387"/>
      <c r="E73" s="387"/>
      <c r="F73" s="387"/>
      <c r="G73" s="387"/>
      <c r="H73" s="387"/>
      <c r="I73" s="387"/>
      <c r="J73" s="387"/>
      <c r="K73" s="389"/>
      <c r="L73" s="403"/>
    </row>
    <row r="74" spans="1:12" ht="14.25">
      <c r="A74" s="377"/>
      <c r="B74" s="395" t="s">
        <v>618</v>
      </c>
      <c r="C74" s="904">
        <v>312000000</v>
      </c>
      <c r="D74" s="904"/>
      <c r="E74" s="521" t="s">
        <v>596</v>
      </c>
      <c r="F74" s="521">
        <v>1000</v>
      </c>
      <c r="G74" s="521" t="s">
        <v>595</v>
      </c>
      <c r="H74" s="522">
        <f>C74/F74</f>
        <v>312000</v>
      </c>
      <c r="I74" s="387" t="s">
        <v>619</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620</v>
      </c>
      <c r="D76" s="387"/>
      <c r="E76" s="521"/>
      <c r="F76" s="387" t="s">
        <v>619</v>
      </c>
      <c r="G76" s="387"/>
      <c r="H76" s="387"/>
      <c r="I76" s="387"/>
      <c r="J76" s="387"/>
      <c r="K76" s="389"/>
      <c r="L76" s="403"/>
    </row>
    <row r="77" spans="1:12" ht="14.25">
      <c r="A77" s="377"/>
      <c r="B77" s="395" t="s">
        <v>621</v>
      </c>
      <c r="C77" s="904">
        <v>50000</v>
      </c>
      <c r="D77" s="904"/>
      <c r="E77" s="521" t="s">
        <v>596</v>
      </c>
      <c r="F77" s="522">
        <f>H74</f>
        <v>312000</v>
      </c>
      <c r="G77" s="521" t="s">
        <v>595</v>
      </c>
      <c r="H77" s="397">
        <f>C77/F77</f>
        <v>0.16025641025641027</v>
      </c>
      <c r="I77" s="387" t="s">
        <v>622</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623</v>
      </c>
      <c r="D79" s="405"/>
      <c r="E79" s="523"/>
      <c r="F79" s="405"/>
      <c r="G79" s="405"/>
      <c r="H79" s="405"/>
      <c r="I79" s="405"/>
      <c r="J79" s="405"/>
      <c r="K79" s="406"/>
      <c r="L79" s="403"/>
    </row>
    <row r="80" spans="1:12" ht="14.25">
      <c r="A80" s="377"/>
      <c r="B80" s="395" t="s">
        <v>624</v>
      </c>
      <c r="C80" s="904">
        <v>100000</v>
      </c>
      <c r="D80" s="904"/>
      <c r="E80" s="521" t="s">
        <v>263</v>
      </c>
      <c r="F80" s="521">
        <v>0.115</v>
      </c>
      <c r="G80" s="521" t="s">
        <v>595</v>
      </c>
      <c r="H80" s="522">
        <f>C80*F80</f>
        <v>11500</v>
      </c>
      <c r="I80" s="387" t="s">
        <v>625</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626</v>
      </c>
      <c r="D82" s="405"/>
      <c r="E82" s="523"/>
      <c r="F82" s="405" t="s">
        <v>622</v>
      </c>
      <c r="G82" s="405"/>
      <c r="H82" s="405"/>
      <c r="I82" s="405"/>
      <c r="J82" s="405" t="s">
        <v>627</v>
      </c>
      <c r="K82" s="406"/>
      <c r="L82" s="403"/>
    </row>
    <row r="83" spans="1:12" ht="14.25">
      <c r="A83" s="377"/>
      <c r="B83" s="395" t="s">
        <v>628</v>
      </c>
      <c r="C83" s="905">
        <f>H80</f>
        <v>11500</v>
      </c>
      <c r="D83" s="905"/>
      <c r="E83" s="521" t="s">
        <v>263</v>
      </c>
      <c r="F83" s="397">
        <f>H77</f>
        <v>0.16025641025641027</v>
      </c>
      <c r="G83" s="521" t="s">
        <v>596</v>
      </c>
      <c r="H83" s="521">
        <v>1000</v>
      </c>
      <c r="I83" s="521" t="s">
        <v>595</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6" t="s">
        <v>587</v>
      </c>
      <c r="C85" s="906"/>
      <c r="D85" s="906"/>
      <c r="E85" s="906"/>
      <c r="F85" s="906"/>
      <c r="G85" s="906"/>
      <c r="H85" s="906"/>
      <c r="I85" s="906"/>
      <c r="J85" s="906"/>
      <c r="K85" s="906"/>
      <c r="L85" s="377"/>
    </row>
    <row r="86" spans="1:12" ht="14.25">
      <c r="A86" s="377"/>
      <c r="B86" s="901" t="s">
        <v>629</v>
      </c>
      <c r="C86" s="901"/>
      <c r="D86" s="901"/>
      <c r="E86" s="901"/>
      <c r="F86" s="901"/>
      <c r="G86" s="901"/>
      <c r="H86" s="901"/>
      <c r="I86" s="901"/>
      <c r="J86" s="901"/>
      <c r="K86" s="901"/>
      <c r="L86" s="377"/>
    </row>
    <row r="87" spans="1:12" ht="14.25">
      <c r="A87" s="377"/>
      <c r="B87" s="411"/>
      <c r="C87" s="411"/>
      <c r="D87" s="411"/>
      <c r="E87" s="411"/>
      <c r="F87" s="411"/>
      <c r="G87" s="411"/>
      <c r="H87" s="411"/>
      <c r="I87" s="411"/>
      <c r="J87" s="411"/>
      <c r="K87" s="411"/>
      <c r="L87" s="377"/>
    </row>
    <row r="88" spans="1:12" ht="14.25">
      <c r="A88" s="377"/>
      <c r="B88" s="901" t="s">
        <v>630</v>
      </c>
      <c r="C88" s="901"/>
      <c r="D88" s="901"/>
      <c r="E88" s="901"/>
      <c r="F88" s="901"/>
      <c r="G88" s="901"/>
      <c r="H88" s="901"/>
      <c r="I88" s="901"/>
      <c r="J88" s="901"/>
      <c r="K88" s="901"/>
      <c r="L88" s="377"/>
    </row>
    <row r="89" spans="1:12" ht="14.25">
      <c r="A89" s="377"/>
      <c r="B89" s="515"/>
      <c r="C89" s="515"/>
      <c r="D89" s="515"/>
      <c r="E89" s="515"/>
      <c r="F89" s="515"/>
      <c r="G89" s="515"/>
      <c r="H89" s="515"/>
      <c r="I89" s="515"/>
      <c r="J89" s="515"/>
      <c r="K89" s="515"/>
      <c r="L89" s="377"/>
    </row>
    <row r="90" spans="1:12" ht="45" customHeight="1">
      <c r="A90" s="377"/>
      <c r="B90" s="902" t="s">
        <v>631</v>
      </c>
      <c r="C90" s="902"/>
      <c r="D90" s="902"/>
      <c r="E90" s="902"/>
      <c r="F90" s="902"/>
      <c r="G90" s="902"/>
      <c r="H90" s="902"/>
      <c r="I90" s="902"/>
      <c r="J90" s="902"/>
      <c r="K90" s="902"/>
      <c r="L90" s="377"/>
    </row>
    <row r="91" spans="1:12" ht="15" customHeight="1" thickBot="1">
      <c r="A91" s="377"/>
      <c r="L91" s="377"/>
    </row>
    <row r="92" spans="1:12" ht="15" customHeight="1">
      <c r="A92" s="377"/>
      <c r="B92" s="412" t="s">
        <v>591</v>
      </c>
      <c r="C92" s="413"/>
      <c r="D92" s="413"/>
      <c r="E92" s="413"/>
      <c r="F92" s="413"/>
      <c r="G92" s="413"/>
      <c r="H92" s="413"/>
      <c r="I92" s="413"/>
      <c r="J92" s="413"/>
      <c r="K92" s="414"/>
      <c r="L92" s="377"/>
    </row>
    <row r="93" spans="1:12" ht="15" customHeight="1">
      <c r="A93" s="377"/>
      <c r="B93" s="415"/>
      <c r="C93" s="519" t="s">
        <v>597</v>
      </c>
      <c r="D93" s="519"/>
      <c r="E93" s="519"/>
      <c r="F93" s="519"/>
      <c r="G93" s="519"/>
      <c r="H93" s="519"/>
      <c r="I93" s="519"/>
      <c r="J93" s="519"/>
      <c r="K93" s="416"/>
      <c r="L93" s="377"/>
    </row>
    <row r="94" spans="1:12" ht="15" customHeight="1">
      <c r="A94" s="377"/>
      <c r="B94" s="415" t="s">
        <v>618</v>
      </c>
      <c r="C94" s="904">
        <v>312000000</v>
      </c>
      <c r="D94" s="904"/>
      <c r="E94" s="521" t="s">
        <v>596</v>
      </c>
      <c r="F94" s="521">
        <v>1000</v>
      </c>
      <c r="G94" s="521" t="s">
        <v>595</v>
      </c>
      <c r="H94" s="522">
        <f>C94/F94</f>
        <v>312000</v>
      </c>
      <c r="I94" s="519" t="s">
        <v>619</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620</v>
      </c>
      <c r="D96" s="519"/>
      <c r="E96" s="521"/>
      <c r="F96" s="519" t="s">
        <v>619</v>
      </c>
      <c r="G96" s="519"/>
      <c r="H96" s="519"/>
      <c r="I96" s="519"/>
      <c r="J96" s="519"/>
      <c r="K96" s="416"/>
      <c r="L96" s="377"/>
    </row>
    <row r="97" spans="1:12" ht="15" customHeight="1">
      <c r="A97" s="377"/>
      <c r="B97" s="415" t="s">
        <v>621</v>
      </c>
      <c r="C97" s="904">
        <v>50000</v>
      </c>
      <c r="D97" s="904"/>
      <c r="E97" s="521" t="s">
        <v>596</v>
      </c>
      <c r="F97" s="522">
        <f>H94</f>
        <v>312000</v>
      </c>
      <c r="G97" s="521" t="s">
        <v>595</v>
      </c>
      <c r="H97" s="397">
        <f>C97/F97</f>
        <v>0.16025641025641027</v>
      </c>
      <c r="I97" s="519" t="s">
        <v>622</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632</v>
      </c>
      <c r="D99" s="418"/>
      <c r="E99" s="523"/>
      <c r="F99" s="418"/>
      <c r="G99" s="418"/>
      <c r="H99" s="418"/>
      <c r="I99" s="418"/>
      <c r="J99" s="418"/>
      <c r="K99" s="419"/>
      <c r="L99" s="377"/>
    </row>
    <row r="100" spans="1:12" ht="15" customHeight="1">
      <c r="A100" s="377"/>
      <c r="B100" s="415" t="s">
        <v>624</v>
      </c>
      <c r="C100" s="904">
        <v>2500000</v>
      </c>
      <c r="D100" s="904"/>
      <c r="E100" s="521" t="s">
        <v>263</v>
      </c>
      <c r="F100" s="420">
        <v>0.3</v>
      </c>
      <c r="G100" s="521" t="s">
        <v>595</v>
      </c>
      <c r="H100" s="522">
        <f>C100*F100</f>
        <v>750000</v>
      </c>
      <c r="I100" s="519" t="s">
        <v>625</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626</v>
      </c>
      <c r="D102" s="418"/>
      <c r="E102" s="523"/>
      <c r="F102" s="418" t="s">
        <v>622</v>
      </c>
      <c r="G102" s="418"/>
      <c r="H102" s="418"/>
      <c r="I102" s="418"/>
      <c r="J102" s="418" t="s">
        <v>627</v>
      </c>
      <c r="K102" s="419"/>
      <c r="L102" s="377"/>
    </row>
    <row r="103" spans="1:12" ht="15" customHeight="1">
      <c r="A103" s="377"/>
      <c r="B103" s="415" t="s">
        <v>628</v>
      </c>
      <c r="C103" s="905">
        <f>H100</f>
        <v>750000</v>
      </c>
      <c r="D103" s="905"/>
      <c r="E103" s="521" t="s">
        <v>263</v>
      </c>
      <c r="F103" s="397">
        <f>H97</f>
        <v>0.16025641025641027</v>
      </c>
      <c r="G103" s="521" t="s">
        <v>596</v>
      </c>
      <c r="H103" s="521">
        <v>1000</v>
      </c>
      <c r="I103" s="521" t="s">
        <v>595</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6" t="s">
        <v>587</v>
      </c>
      <c r="C105" s="907"/>
      <c r="D105" s="907"/>
      <c r="E105" s="907"/>
      <c r="F105" s="907"/>
      <c r="G105" s="907"/>
      <c r="H105" s="907"/>
      <c r="I105" s="907"/>
      <c r="J105" s="907"/>
      <c r="K105" s="907"/>
      <c r="L105" s="377"/>
    </row>
    <row r="106" spans="1:12" ht="15" customHeight="1">
      <c r="A106" s="377"/>
      <c r="B106" s="908" t="s">
        <v>633</v>
      </c>
      <c r="C106" s="909"/>
      <c r="D106" s="909"/>
      <c r="E106" s="909"/>
      <c r="F106" s="909"/>
      <c r="G106" s="909"/>
      <c r="H106" s="909"/>
      <c r="I106" s="909"/>
      <c r="J106" s="909"/>
      <c r="K106" s="909"/>
      <c r="L106" s="377"/>
    </row>
    <row r="107" spans="1:12" ht="15" customHeight="1">
      <c r="A107" s="377"/>
      <c r="B107" s="519"/>
      <c r="C107" s="422"/>
      <c r="D107" s="422"/>
      <c r="E107" s="521"/>
      <c r="F107" s="397"/>
      <c r="G107" s="521"/>
      <c r="H107" s="521"/>
      <c r="I107" s="521"/>
      <c r="J107" s="524"/>
      <c r="K107" s="519"/>
      <c r="L107" s="377"/>
    </row>
    <row r="108" spans="1:12" ht="15" customHeight="1">
      <c r="A108" s="377"/>
      <c r="B108" s="908" t="s">
        <v>634</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635</v>
      </c>
      <c r="C110" s="912"/>
      <c r="D110" s="912"/>
      <c r="E110" s="912"/>
      <c r="F110" s="912"/>
      <c r="G110" s="912"/>
      <c r="H110" s="912"/>
      <c r="I110" s="912"/>
      <c r="J110" s="912"/>
      <c r="K110" s="912"/>
      <c r="L110" s="377"/>
    </row>
    <row r="111" spans="1:12" ht="15" thickBot="1">
      <c r="A111" s="377"/>
      <c r="B111" s="516"/>
      <c r="C111" s="516"/>
      <c r="D111" s="516"/>
      <c r="E111" s="516"/>
      <c r="F111" s="516"/>
      <c r="G111" s="516"/>
      <c r="H111" s="516"/>
      <c r="I111" s="516"/>
      <c r="J111" s="516"/>
      <c r="K111" s="516"/>
      <c r="L111" s="423"/>
    </row>
    <row r="112" spans="1:12" ht="14.25">
      <c r="A112" s="377"/>
      <c r="B112" s="383" t="s">
        <v>591</v>
      </c>
      <c r="C112" s="384"/>
      <c r="D112" s="384"/>
      <c r="E112" s="384"/>
      <c r="F112" s="384"/>
      <c r="G112" s="384"/>
      <c r="H112" s="384"/>
      <c r="I112" s="384"/>
      <c r="J112" s="384"/>
      <c r="K112" s="385"/>
      <c r="L112" s="377"/>
    </row>
    <row r="113" spans="1:12" ht="14.25">
      <c r="A113" s="377"/>
      <c r="B113" s="395"/>
      <c r="C113" s="387" t="s">
        <v>597</v>
      </c>
      <c r="D113" s="387"/>
      <c r="E113" s="387"/>
      <c r="F113" s="387"/>
      <c r="G113" s="387"/>
      <c r="H113" s="387"/>
      <c r="I113" s="387"/>
      <c r="J113" s="387"/>
      <c r="K113" s="389"/>
      <c r="L113" s="377"/>
    </row>
    <row r="114" spans="1:12" ht="14.25">
      <c r="A114" s="377"/>
      <c r="B114" s="395" t="s">
        <v>618</v>
      </c>
      <c r="C114" s="904">
        <v>312000000</v>
      </c>
      <c r="D114" s="904"/>
      <c r="E114" s="521" t="s">
        <v>596</v>
      </c>
      <c r="F114" s="521">
        <v>1000</v>
      </c>
      <c r="G114" s="521" t="s">
        <v>595</v>
      </c>
      <c r="H114" s="522">
        <f>C114/F114</f>
        <v>312000</v>
      </c>
      <c r="I114" s="387" t="s">
        <v>619</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620</v>
      </c>
      <c r="D116" s="387"/>
      <c r="E116" s="521"/>
      <c r="F116" s="387" t="s">
        <v>619</v>
      </c>
      <c r="G116" s="387"/>
      <c r="H116" s="387"/>
      <c r="I116" s="387"/>
      <c r="J116" s="387"/>
      <c r="K116" s="389"/>
      <c r="L116" s="377"/>
    </row>
    <row r="117" spans="1:12" ht="14.25">
      <c r="A117" s="377"/>
      <c r="B117" s="395" t="s">
        <v>621</v>
      </c>
      <c r="C117" s="904">
        <v>50000</v>
      </c>
      <c r="D117" s="904"/>
      <c r="E117" s="521" t="s">
        <v>596</v>
      </c>
      <c r="F117" s="522">
        <f>H114</f>
        <v>312000</v>
      </c>
      <c r="G117" s="521" t="s">
        <v>595</v>
      </c>
      <c r="H117" s="397">
        <f>C117/F117</f>
        <v>0.16025641025641027</v>
      </c>
      <c r="I117" s="387" t="s">
        <v>622</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632</v>
      </c>
      <c r="D119" s="405"/>
      <c r="E119" s="523"/>
      <c r="F119" s="405"/>
      <c r="G119" s="405"/>
      <c r="H119" s="405"/>
      <c r="I119" s="405"/>
      <c r="J119" s="405"/>
      <c r="K119" s="406"/>
      <c r="L119" s="377"/>
    </row>
    <row r="120" spans="1:12" ht="14.25">
      <c r="A120" s="377"/>
      <c r="B120" s="395" t="s">
        <v>624</v>
      </c>
      <c r="C120" s="904">
        <v>2500000</v>
      </c>
      <c r="D120" s="904"/>
      <c r="E120" s="521" t="s">
        <v>263</v>
      </c>
      <c r="F120" s="420">
        <v>0.25</v>
      </c>
      <c r="G120" s="521" t="s">
        <v>595</v>
      </c>
      <c r="H120" s="522">
        <f>C120*F120</f>
        <v>625000</v>
      </c>
      <c r="I120" s="387" t="s">
        <v>625</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626</v>
      </c>
      <c r="D122" s="405"/>
      <c r="E122" s="523"/>
      <c r="F122" s="405" t="s">
        <v>622</v>
      </c>
      <c r="G122" s="405"/>
      <c r="H122" s="405"/>
      <c r="I122" s="405"/>
      <c r="J122" s="405" t="s">
        <v>627</v>
      </c>
      <c r="K122" s="406"/>
      <c r="L122" s="377"/>
    </row>
    <row r="123" spans="1:12" ht="14.25">
      <c r="A123" s="377"/>
      <c r="B123" s="395" t="s">
        <v>628</v>
      </c>
      <c r="C123" s="905">
        <f>H120</f>
        <v>625000</v>
      </c>
      <c r="D123" s="905"/>
      <c r="E123" s="521" t="s">
        <v>263</v>
      </c>
      <c r="F123" s="397">
        <f>H117</f>
        <v>0.16025641025641027</v>
      </c>
      <c r="G123" s="521" t="s">
        <v>596</v>
      </c>
      <c r="H123" s="521">
        <v>1000</v>
      </c>
      <c r="I123" s="521" t="s">
        <v>595</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6" t="s">
        <v>587</v>
      </c>
      <c r="C125" s="906"/>
      <c r="D125" s="906"/>
      <c r="E125" s="906"/>
      <c r="F125" s="906"/>
      <c r="G125" s="906"/>
      <c r="H125" s="906"/>
      <c r="I125" s="906"/>
      <c r="J125" s="906"/>
      <c r="K125" s="906"/>
      <c r="L125" s="423"/>
    </row>
    <row r="126" spans="1:12" ht="14.25">
      <c r="A126" s="377"/>
      <c r="B126" s="901" t="s">
        <v>636</v>
      </c>
      <c r="C126" s="901"/>
      <c r="D126" s="901"/>
      <c r="E126" s="901"/>
      <c r="F126" s="901"/>
      <c r="G126" s="901"/>
      <c r="H126" s="901"/>
      <c r="I126" s="901"/>
      <c r="J126" s="901"/>
      <c r="K126" s="901"/>
      <c r="L126" s="423"/>
    </row>
    <row r="127" spans="1:12" ht="14.25">
      <c r="A127" s="377"/>
      <c r="B127" s="516"/>
      <c r="C127" s="516"/>
      <c r="D127" s="516"/>
      <c r="E127" s="516"/>
      <c r="F127" s="516"/>
      <c r="G127" s="516"/>
      <c r="H127" s="516"/>
      <c r="I127" s="516"/>
      <c r="J127" s="516"/>
      <c r="K127" s="516"/>
      <c r="L127" s="423"/>
    </row>
    <row r="128" spans="1:12" ht="14.25">
      <c r="A128" s="377"/>
      <c r="B128" s="901" t="s">
        <v>637</v>
      </c>
      <c r="C128" s="901"/>
      <c r="D128" s="901"/>
      <c r="E128" s="901"/>
      <c r="F128" s="901"/>
      <c r="G128" s="901"/>
      <c r="H128" s="901"/>
      <c r="I128" s="901"/>
      <c r="J128" s="901"/>
      <c r="K128" s="901"/>
      <c r="L128" s="423"/>
    </row>
    <row r="129" spans="1:12" ht="14.25">
      <c r="A129" s="377"/>
      <c r="B129" s="515"/>
      <c r="C129" s="515"/>
      <c r="D129" s="515"/>
      <c r="E129" s="515"/>
      <c r="F129" s="515"/>
      <c r="G129" s="515"/>
      <c r="H129" s="515"/>
      <c r="I129" s="515"/>
      <c r="J129" s="515"/>
      <c r="K129" s="515"/>
      <c r="L129" s="423"/>
    </row>
    <row r="130" spans="1:12" ht="74.25" customHeight="1">
      <c r="A130" s="377"/>
      <c r="B130" s="902" t="s">
        <v>638</v>
      </c>
      <c r="C130" s="902"/>
      <c r="D130" s="902"/>
      <c r="E130" s="902"/>
      <c r="F130" s="902"/>
      <c r="G130" s="902"/>
      <c r="H130" s="902"/>
      <c r="I130" s="902"/>
      <c r="J130" s="902"/>
      <c r="K130" s="902"/>
      <c r="L130" s="423"/>
    </row>
    <row r="131" spans="1:12" ht="15" thickBot="1">
      <c r="A131" s="377"/>
      <c r="L131" s="377"/>
    </row>
    <row r="132" spans="1:12" ht="14.25">
      <c r="A132" s="377"/>
      <c r="B132" s="383" t="s">
        <v>591</v>
      </c>
      <c r="C132" s="384"/>
      <c r="D132" s="384"/>
      <c r="E132" s="384"/>
      <c r="F132" s="384"/>
      <c r="G132" s="384"/>
      <c r="H132" s="384"/>
      <c r="I132" s="384"/>
      <c r="J132" s="384"/>
      <c r="K132" s="385"/>
      <c r="L132" s="377"/>
    </row>
    <row r="133" spans="1:12" ht="14.25">
      <c r="A133" s="377"/>
      <c r="B133" s="395"/>
      <c r="C133" s="903" t="s">
        <v>639</v>
      </c>
      <c r="D133" s="903"/>
      <c r="E133" s="387"/>
      <c r="F133" s="521" t="s">
        <v>640</v>
      </c>
      <c r="G133" s="387"/>
      <c r="H133" s="903" t="s">
        <v>625</v>
      </c>
      <c r="I133" s="903"/>
      <c r="J133" s="387"/>
      <c r="K133" s="389"/>
      <c r="L133" s="377"/>
    </row>
    <row r="134" spans="1:12" ht="14.25">
      <c r="A134" s="377"/>
      <c r="B134" s="395" t="s">
        <v>618</v>
      </c>
      <c r="C134" s="904">
        <v>100000</v>
      </c>
      <c r="D134" s="904"/>
      <c r="E134" s="521" t="s">
        <v>263</v>
      </c>
      <c r="F134" s="521">
        <v>0.115</v>
      </c>
      <c r="G134" s="521" t="s">
        <v>595</v>
      </c>
      <c r="H134" s="893">
        <f>C134*F134</f>
        <v>11500</v>
      </c>
      <c r="I134" s="89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2" t="s">
        <v>625</v>
      </c>
      <c r="D136" s="892"/>
      <c r="E136" s="405"/>
      <c r="F136" s="523" t="s">
        <v>641</v>
      </c>
      <c r="G136" s="523"/>
      <c r="H136" s="405"/>
      <c r="I136" s="405"/>
      <c r="J136" s="405" t="s">
        <v>642</v>
      </c>
      <c r="K136" s="406"/>
      <c r="L136" s="377"/>
    </row>
    <row r="137" spans="1:12" ht="14.25">
      <c r="A137" s="377"/>
      <c r="B137" s="395" t="s">
        <v>621</v>
      </c>
      <c r="C137" s="893">
        <f>H134</f>
        <v>11500</v>
      </c>
      <c r="D137" s="893"/>
      <c r="E137" s="521" t="s">
        <v>263</v>
      </c>
      <c r="F137" s="424">
        <v>52.869</v>
      </c>
      <c r="G137" s="521" t="s">
        <v>596</v>
      </c>
      <c r="H137" s="521">
        <v>1000</v>
      </c>
      <c r="I137" s="521" t="s">
        <v>595</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587</v>
      </c>
      <c r="C139" s="430"/>
      <c r="D139" s="430"/>
      <c r="E139" s="431"/>
      <c r="F139" s="432"/>
      <c r="G139" s="431"/>
      <c r="H139" s="431"/>
      <c r="I139" s="431"/>
      <c r="J139" s="433"/>
      <c r="K139" s="434"/>
      <c r="L139" s="377"/>
    </row>
    <row r="140" spans="1:12" ht="14.25">
      <c r="A140" s="377"/>
      <c r="B140" s="435" t="s">
        <v>643</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644</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4" t="s">
        <v>645</v>
      </c>
      <c r="C144" s="895"/>
      <c r="D144" s="895"/>
      <c r="E144" s="895"/>
      <c r="F144" s="895"/>
      <c r="G144" s="895"/>
      <c r="H144" s="895"/>
      <c r="I144" s="895"/>
      <c r="J144" s="895"/>
      <c r="K144" s="896"/>
      <c r="L144" s="377"/>
    </row>
    <row r="145" spans="1:12" ht="15" thickBot="1">
      <c r="A145" s="377"/>
      <c r="B145" s="395"/>
      <c r="C145" s="522"/>
      <c r="D145" s="522"/>
      <c r="E145" s="521"/>
      <c r="F145" s="441"/>
      <c r="G145" s="521"/>
      <c r="H145" s="521"/>
      <c r="I145" s="521"/>
      <c r="J145" s="425"/>
      <c r="K145" s="389"/>
      <c r="L145" s="377"/>
    </row>
    <row r="146" spans="1:12" ht="14.25">
      <c r="A146" s="377"/>
      <c r="B146" s="383" t="s">
        <v>591</v>
      </c>
      <c r="C146" s="442"/>
      <c r="D146" s="442"/>
      <c r="E146" s="443"/>
      <c r="F146" s="444"/>
      <c r="G146" s="443"/>
      <c r="H146" s="443"/>
      <c r="I146" s="443"/>
      <c r="J146" s="445"/>
      <c r="K146" s="385"/>
      <c r="L146" s="377"/>
    </row>
    <row r="147" spans="1:12" ht="14.25">
      <c r="A147" s="377"/>
      <c r="B147" s="395"/>
      <c r="C147" s="893" t="s">
        <v>646</v>
      </c>
      <c r="D147" s="893"/>
      <c r="E147" s="521"/>
      <c r="F147" s="441" t="s">
        <v>647</v>
      </c>
      <c r="G147" s="521"/>
      <c r="H147" s="521"/>
      <c r="I147" s="521"/>
      <c r="J147" s="897" t="s">
        <v>648</v>
      </c>
      <c r="K147" s="898"/>
      <c r="L147" s="377"/>
    </row>
    <row r="148" spans="1:12" ht="14.25">
      <c r="A148" s="377"/>
      <c r="B148" s="395"/>
      <c r="C148" s="899">
        <v>52.869</v>
      </c>
      <c r="D148" s="899"/>
      <c r="E148" s="521" t="s">
        <v>263</v>
      </c>
      <c r="F148" s="517">
        <v>312000000</v>
      </c>
      <c r="G148" s="446" t="s">
        <v>596</v>
      </c>
      <c r="H148" s="521">
        <v>1000</v>
      </c>
      <c r="I148" s="521" t="s">
        <v>595</v>
      </c>
      <c r="J148" s="897">
        <f>C148*(F148/1000)</f>
        <v>16495128</v>
      </c>
      <c r="K148" s="900"/>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649</v>
      </c>
    </row>
    <row r="3" ht="31.5">
      <c r="A3" s="450" t="s">
        <v>650</v>
      </c>
    </row>
    <row r="4" ht="15.75">
      <c r="A4" s="451" t="s">
        <v>651</v>
      </c>
    </row>
    <row r="7" ht="31.5">
      <c r="A7" s="450" t="s">
        <v>652</v>
      </c>
    </row>
    <row r="8" ht="15.75">
      <c r="A8" s="451" t="s">
        <v>653</v>
      </c>
    </row>
    <row r="11" ht="15.75">
      <c r="A11" s="449" t="s">
        <v>654</v>
      </c>
    </row>
    <row r="12" ht="15.75">
      <c r="A12" s="451" t="s">
        <v>655</v>
      </c>
    </row>
    <row r="15" ht="15.75">
      <c r="A15" s="449" t="s">
        <v>656</v>
      </c>
    </row>
    <row r="16" ht="15.75">
      <c r="A16" s="451" t="s">
        <v>657</v>
      </c>
    </row>
    <row r="19" ht="15.75">
      <c r="A19" s="449" t="s">
        <v>658</v>
      </c>
    </row>
    <row r="20" ht="15.75">
      <c r="A20" s="451" t="s">
        <v>659</v>
      </c>
    </row>
    <row r="23" ht="15.75">
      <c r="A23" s="449" t="s">
        <v>660</v>
      </c>
    </row>
    <row r="24" ht="15.75">
      <c r="A24" s="451" t="s">
        <v>661</v>
      </c>
    </row>
    <row r="27" ht="15.75">
      <c r="A27" s="449" t="s">
        <v>662</v>
      </c>
    </row>
    <row r="28" ht="15.75">
      <c r="A28" s="451" t="s">
        <v>663</v>
      </c>
    </row>
    <row r="31" ht="15.75">
      <c r="A31" s="449" t="s">
        <v>664</v>
      </c>
    </row>
    <row r="32" ht="15.75">
      <c r="A32" s="451" t="s">
        <v>665</v>
      </c>
    </row>
    <row r="35" ht="15.75">
      <c r="A35" s="449" t="s">
        <v>666</v>
      </c>
    </row>
    <row r="36" ht="15.75">
      <c r="A36" s="451" t="s">
        <v>667</v>
      </c>
    </row>
    <row r="39" ht="15.75">
      <c r="A39" s="449" t="s">
        <v>668</v>
      </c>
    </row>
    <row r="40" ht="15.75">
      <c r="A40" s="451" t="s">
        <v>669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11"/>
  <sheetViews>
    <sheetView zoomScalePageLayoutView="0" workbookViewId="0" topLeftCell="A1">
      <selection activeCell="V39" sqref="V39"/>
    </sheetView>
  </sheetViews>
  <sheetFormatPr defaultColWidth="8.796875" defaultRowHeight="15.75"/>
  <cols>
    <col min="1" max="1" width="72.09765625" style="69" customWidth="1"/>
    <col min="2" max="16384" width="8.796875" style="69" customWidth="1"/>
  </cols>
  <sheetData>
    <row r="1" ht="15.75">
      <c r="A1" s="349" t="s">
        <v>935</v>
      </c>
    </row>
    <row r="2" ht="15.75">
      <c r="A2" s="69" t="s">
        <v>936</v>
      </c>
    </row>
    <row r="4" ht="15.75">
      <c r="A4" s="349" t="s">
        <v>913</v>
      </c>
    </row>
    <row r="5" ht="15.75">
      <c r="A5" s="779" t="s">
        <v>912</v>
      </c>
    </row>
    <row r="7" ht="15.75">
      <c r="A7" s="349" t="s">
        <v>914</v>
      </c>
    </row>
    <row r="8" ht="15.75">
      <c r="A8" s="734" t="s">
        <v>886</v>
      </c>
    </row>
    <row r="10" ht="15.75">
      <c r="A10" s="349" t="s">
        <v>915</v>
      </c>
    </row>
    <row r="11" ht="15.75">
      <c r="A11" s="719" t="s">
        <v>885</v>
      </c>
    </row>
    <row r="13" ht="15.75">
      <c r="A13" s="349" t="s">
        <v>916</v>
      </c>
    </row>
    <row r="14" ht="15.75">
      <c r="A14" s="714" t="s">
        <v>882</v>
      </c>
    </row>
    <row r="16" ht="15.75">
      <c r="A16" s="349" t="s">
        <v>917</v>
      </c>
    </row>
    <row r="17" ht="15.75">
      <c r="A17" s="717" t="s">
        <v>883</v>
      </c>
    </row>
    <row r="19" ht="15.75">
      <c r="A19" s="349" t="s">
        <v>918</v>
      </c>
    </row>
    <row r="20" ht="15.75">
      <c r="A20" s="69" t="s">
        <v>881</v>
      </c>
    </row>
    <row r="22" ht="15.75">
      <c r="A22" s="349" t="s">
        <v>919</v>
      </c>
    </row>
    <row r="23" ht="15.75">
      <c r="A23" s="714" t="s">
        <v>880</v>
      </c>
    </row>
    <row r="25" ht="15.75">
      <c r="A25" s="349" t="s">
        <v>920</v>
      </c>
    </row>
    <row r="26" ht="15.75">
      <c r="A26" s="69" t="s">
        <v>847</v>
      </c>
    </row>
    <row r="27" ht="15.75">
      <c r="A27" s="69" t="s">
        <v>848</v>
      </c>
    </row>
    <row r="28" ht="15.75">
      <c r="A28" s="69" t="s">
        <v>849</v>
      </c>
    </row>
    <row r="29" ht="15.75">
      <c r="A29" s="69" t="s">
        <v>850</v>
      </c>
    </row>
    <row r="30" ht="15.75">
      <c r="A30" s="69" t="s">
        <v>851</v>
      </c>
    </row>
    <row r="31" ht="15.75">
      <c r="A31" s="69" t="s">
        <v>852</v>
      </c>
    </row>
    <row r="32" ht="15.75">
      <c r="A32" s="69" t="s">
        <v>853</v>
      </c>
    </row>
    <row r="33" ht="15.75">
      <c r="A33" s="69" t="s">
        <v>854</v>
      </c>
    </row>
    <row r="34" ht="15.75">
      <c r="A34" s="69" t="s">
        <v>855</v>
      </c>
    </row>
    <row r="35" ht="15.75">
      <c r="A35" s="69" t="s">
        <v>856</v>
      </c>
    </row>
    <row r="36" ht="15.75">
      <c r="A36" s="69" t="s">
        <v>857</v>
      </c>
    </row>
    <row r="37" ht="15.75">
      <c r="A37" s="69" t="s">
        <v>858</v>
      </c>
    </row>
    <row r="38" ht="15.75">
      <c r="A38" s="69" t="s">
        <v>859</v>
      </c>
    </row>
    <row r="39" ht="15.75">
      <c r="A39" s="69" t="s">
        <v>860</v>
      </c>
    </row>
    <row r="40" ht="15.75">
      <c r="A40" s="69" t="s">
        <v>861</v>
      </c>
    </row>
    <row r="41" ht="15.75">
      <c r="A41" s="69" t="s">
        <v>862</v>
      </c>
    </row>
    <row r="42" ht="15.75">
      <c r="A42" s="69" t="s">
        <v>863</v>
      </c>
    </row>
    <row r="43" ht="15.75">
      <c r="A43" s="69" t="s">
        <v>864</v>
      </c>
    </row>
    <row r="44" ht="15.75">
      <c r="A44" s="69" t="s">
        <v>865</v>
      </c>
    </row>
    <row r="45" ht="15.75">
      <c r="A45" s="69" t="s">
        <v>866</v>
      </c>
    </row>
    <row r="46" ht="15.75">
      <c r="A46" s="69" t="s">
        <v>867</v>
      </c>
    </row>
    <row r="47" ht="15.75">
      <c r="A47" s="69" t="s">
        <v>868</v>
      </c>
    </row>
    <row r="48" ht="15.75">
      <c r="A48" s="69" t="s">
        <v>869</v>
      </c>
    </row>
    <row r="49" ht="15.75">
      <c r="A49" s="69" t="s">
        <v>870</v>
      </c>
    </row>
    <row r="50" ht="15.75">
      <c r="A50" s="69" t="s">
        <v>871</v>
      </c>
    </row>
    <row r="51" ht="15.75">
      <c r="A51" s="69" t="s">
        <v>872</v>
      </c>
    </row>
    <row r="52" ht="15.75">
      <c r="A52" s="69" t="s">
        <v>873</v>
      </c>
    </row>
    <row r="53" ht="15.75">
      <c r="A53" s="69" t="s">
        <v>875</v>
      </c>
    </row>
    <row r="54" ht="15.75">
      <c r="A54" s="69" t="s">
        <v>874</v>
      </c>
    </row>
    <row r="56" ht="15.75">
      <c r="A56" s="349" t="s">
        <v>921</v>
      </c>
    </row>
    <row r="57" ht="15.75">
      <c r="A57" s="69" t="s">
        <v>711</v>
      </c>
    </row>
    <row r="59" ht="15.75">
      <c r="A59" s="349" t="s">
        <v>922</v>
      </c>
    </row>
    <row r="60" ht="15.75">
      <c r="A60" s="69" t="s">
        <v>710</v>
      </c>
    </row>
    <row r="62" ht="15.75">
      <c r="A62" s="349" t="s">
        <v>923</v>
      </c>
    </row>
    <row r="63" ht="15.75">
      <c r="A63" s="509" t="s">
        <v>708</v>
      </c>
    </row>
    <row r="65" ht="15.75">
      <c r="A65" s="349" t="s">
        <v>924</v>
      </c>
    </row>
    <row r="66" ht="15.75">
      <c r="A66" s="69" t="s">
        <v>706</v>
      </c>
    </row>
    <row r="67" ht="15.75">
      <c r="A67" s="69" t="s">
        <v>707</v>
      </c>
    </row>
    <row r="69" ht="15.75">
      <c r="A69" s="349" t="s">
        <v>925</v>
      </c>
    </row>
    <row r="70" ht="15.75">
      <c r="A70" s="509" t="s">
        <v>682</v>
      </c>
    </row>
    <row r="71" ht="15.75">
      <c r="A71" s="509" t="s">
        <v>683</v>
      </c>
    </row>
    <row r="72" ht="31.5">
      <c r="A72" s="508" t="s">
        <v>684</v>
      </c>
    </row>
    <row r="73" ht="15.75">
      <c r="A73" s="509" t="s">
        <v>685</v>
      </c>
    </row>
    <row r="74" ht="15.75">
      <c r="A74" s="509" t="s">
        <v>686</v>
      </c>
    </row>
    <row r="75" ht="15.75">
      <c r="A75" s="509" t="s">
        <v>687</v>
      </c>
    </row>
    <row r="76" ht="15.75">
      <c r="A76" s="509" t="s">
        <v>688</v>
      </c>
    </row>
    <row r="77" ht="15.75">
      <c r="A77" s="509" t="s">
        <v>689</v>
      </c>
    </row>
    <row r="78" ht="15.75">
      <c r="A78" s="509" t="s">
        <v>690</v>
      </c>
    </row>
    <row r="79" ht="15.75">
      <c r="A79" s="509" t="s">
        <v>691</v>
      </c>
    </row>
    <row r="80" ht="15.75">
      <c r="A80" s="509" t="s">
        <v>692</v>
      </c>
    </row>
    <row r="81" ht="15.75">
      <c r="A81" s="509" t="s">
        <v>693</v>
      </c>
    </row>
    <row r="82" ht="15.75">
      <c r="A82" s="509" t="s">
        <v>704</v>
      </c>
    </row>
    <row r="83" ht="15.75">
      <c r="A83" s="509" t="s">
        <v>694</v>
      </c>
    </row>
    <row r="84" ht="15.75">
      <c r="A84" s="509" t="s">
        <v>695</v>
      </c>
    </row>
    <row r="85" ht="15.75">
      <c r="A85" s="509" t="s">
        <v>696</v>
      </c>
    </row>
    <row r="86" ht="15.75">
      <c r="A86" s="509" t="s">
        <v>697</v>
      </c>
    </row>
    <row r="87" ht="15.75">
      <c r="A87" s="509" t="s">
        <v>698</v>
      </c>
    </row>
    <row r="88" ht="15.75">
      <c r="A88" s="509" t="s">
        <v>699</v>
      </c>
    </row>
    <row r="89" ht="15.75">
      <c r="A89" s="509" t="s">
        <v>700</v>
      </c>
    </row>
    <row r="90" ht="15.75">
      <c r="A90" s="509" t="s">
        <v>701</v>
      </c>
    </row>
    <row r="91" ht="15.75">
      <c r="A91" s="509" t="s">
        <v>702</v>
      </c>
    </row>
    <row r="92" ht="15.75">
      <c r="A92" s="509" t="s">
        <v>705</v>
      </c>
    </row>
    <row r="94" ht="15.75">
      <c r="A94" s="349" t="s">
        <v>926</v>
      </c>
    </row>
    <row r="95" ht="37.5" customHeight="1">
      <c r="A95" s="316" t="s">
        <v>580</v>
      </c>
    </row>
    <row r="96" ht="15.75" customHeight="1"/>
    <row r="97" ht="15.75">
      <c r="A97" s="349" t="s">
        <v>927</v>
      </c>
    </row>
    <row r="98" ht="15.75">
      <c r="A98" s="69" t="s">
        <v>577</v>
      </c>
    </row>
    <row r="99" ht="15.75">
      <c r="A99" s="69" t="s">
        <v>578</v>
      </c>
    </row>
    <row r="100" ht="15.75">
      <c r="A100" s="69" t="s">
        <v>579</v>
      </c>
    </row>
    <row r="102" ht="15.75">
      <c r="A102" s="352" t="s">
        <v>928</v>
      </c>
    </row>
    <row r="103" ht="15.75">
      <c r="A103" s="69" t="s">
        <v>576</v>
      </c>
    </row>
    <row r="105" ht="15.75">
      <c r="A105" s="349" t="s">
        <v>929</v>
      </c>
    </row>
    <row r="106" ht="15.75">
      <c r="A106" s="350" t="s">
        <v>556</v>
      </c>
    </row>
    <row r="107" ht="15.75">
      <c r="A107" s="350" t="s">
        <v>557</v>
      </c>
    </row>
    <row r="108" ht="15.75">
      <c r="A108" s="350" t="s">
        <v>558</v>
      </c>
    </row>
    <row r="109" ht="15.75">
      <c r="A109" s="348" t="s">
        <v>559</v>
      </c>
    </row>
    <row r="111" ht="15.75">
      <c r="A111" s="327" t="s">
        <v>930</v>
      </c>
    </row>
    <row r="112" ht="15.75">
      <c r="A112" s="69" t="s">
        <v>286</v>
      </c>
    </row>
    <row r="113" ht="15.75">
      <c r="A113" s="69" t="s">
        <v>287</v>
      </c>
    </row>
    <row r="114" ht="15.75">
      <c r="A114" s="69" t="s">
        <v>288</v>
      </c>
    </row>
    <row r="115" ht="15.75">
      <c r="A115" s="69" t="s">
        <v>289</v>
      </c>
    </row>
    <row r="116" ht="15.75">
      <c r="A116" s="69" t="s">
        <v>290</v>
      </c>
    </row>
    <row r="117" ht="15.75">
      <c r="A117" s="69" t="s">
        <v>291</v>
      </c>
    </row>
    <row r="118" ht="15.75">
      <c r="A118" s="69" t="s">
        <v>306</v>
      </c>
    </row>
    <row r="119" ht="15.75">
      <c r="A119" s="69" t="s">
        <v>307</v>
      </c>
    </row>
    <row r="120" ht="15.75">
      <c r="A120" s="69" t="s">
        <v>308</v>
      </c>
    </row>
    <row r="121" ht="15.75">
      <c r="A121" s="69" t="s">
        <v>309</v>
      </c>
    </row>
    <row r="122" ht="15.75">
      <c r="A122" s="69" t="s">
        <v>324</v>
      </c>
    </row>
    <row r="123" ht="31.5">
      <c r="A123" s="316" t="s">
        <v>325</v>
      </c>
    </row>
    <row r="124" ht="15.75">
      <c r="A124" s="316" t="s">
        <v>334</v>
      </c>
    </row>
    <row r="125" ht="15.75">
      <c r="A125" s="329" t="s">
        <v>337</v>
      </c>
    </row>
    <row r="126" ht="15.75">
      <c r="A126" s="330" t="s">
        <v>338</v>
      </c>
    </row>
    <row r="128" ht="15.75">
      <c r="A128" s="327" t="s">
        <v>931</v>
      </c>
    </row>
    <row r="129" ht="15.75">
      <c r="A129" s="69" t="s">
        <v>282</v>
      </c>
    </row>
    <row r="130" ht="15.75">
      <c r="A130" s="69" t="s">
        <v>283</v>
      </c>
    </row>
    <row r="132" ht="15.75">
      <c r="A132" s="327" t="s">
        <v>932</v>
      </c>
    </row>
    <row r="133" ht="15.75">
      <c r="A133" s="69" t="s">
        <v>281</v>
      </c>
    </row>
    <row r="135" ht="15.75">
      <c r="A135" s="327" t="s">
        <v>933</v>
      </c>
    </row>
    <row r="136" ht="15.75">
      <c r="A136" s="69" t="s">
        <v>280</v>
      </c>
    </row>
    <row r="138" ht="15.75">
      <c r="A138" s="327" t="s">
        <v>277</v>
      </c>
    </row>
    <row r="139" ht="15.75">
      <c r="A139" s="69" t="s">
        <v>278</v>
      </c>
    </row>
    <row r="140" ht="15.75">
      <c r="A140" s="69" t="s">
        <v>279</v>
      </c>
    </row>
    <row r="142" ht="15.75">
      <c r="A142" s="69" t="s">
        <v>273</v>
      </c>
    </row>
    <row r="143" ht="15.75">
      <c r="A143" s="69" t="s">
        <v>274</v>
      </c>
    </row>
    <row r="144" ht="15.75">
      <c r="A144" s="69" t="s">
        <v>275</v>
      </c>
    </row>
    <row r="145" ht="15.75">
      <c r="A145" s="69" t="s">
        <v>276</v>
      </c>
    </row>
    <row r="147" ht="15.75">
      <c r="A147" s="69" t="s">
        <v>270</v>
      </c>
    </row>
    <row r="148" ht="15.75">
      <c r="A148" s="69" t="s">
        <v>271</v>
      </c>
    </row>
    <row r="149" ht="15.75">
      <c r="A149" s="69" t="s">
        <v>272</v>
      </c>
    </row>
    <row r="151" ht="15.75">
      <c r="A151" s="69" t="s">
        <v>268</v>
      </c>
    </row>
    <row r="152" ht="34.5" customHeight="1">
      <c r="A152" s="69" t="s">
        <v>269</v>
      </c>
    </row>
    <row r="154" ht="15.75">
      <c r="A154" s="69" t="s">
        <v>223</v>
      </c>
    </row>
    <row r="155" ht="15.75">
      <c r="A155" s="69" t="s">
        <v>224</v>
      </c>
    </row>
    <row r="156" ht="31.5">
      <c r="A156" s="316" t="s">
        <v>240</v>
      </c>
    </row>
    <row r="157" ht="15.75">
      <c r="A157" s="69" t="s">
        <v>225</v>
      </c>
    </row>
    <row r="158" ht="15.75">
      <c r="A158" s="69" t="s">
        <v>226</v>
      </c>
    </row>
    <row r="159" ht="15.75">
      <c r="A159" s="69" t="s">
        <v>227</v>
      </c>
    </row>
    <row r="160" ht="15.75">
      <c r="A160" s="69" t="s">
        <v>228</v>
      </c>
    </row>
    <row r="161" ht="31.5">
      <c r="A161" s="316" t="s">
        <v>208</v>
      </c>
    </row>
    <row r="162" ht="31.5">
      <c r="A162" s="316" t="s">
        <v>236</v>
      </c>
    </row>
    <row r="163" ht="31.5">
      <c r="A163" s="316" t="s">
        <v>229</v>
      </c>
    </row>
    <row r="164" ht="15.75">
      <c r="A164" s="316" t="s">
        <v>230</v>
      </c>
    </row>
    <row r="165" ht="31.5">
      <c r="A165" s="316" t="s">
        <v>231</v>
      </c>
    </row>
    <row r="166" ht="33.75" customHeight="1">
      <c r="A166" s="69" t="s">
        <v>232</v>
      </c>
    </row>
    <row r="167" ht="26.25" customHeight="1">
      <c r="A167" s="69" t="s">
        <v>233</v>
      </c>
    </row>
    <row r="168" ht="33.75" customHeight="1">
      <c r="A168" s="69" t="s">
        <v>234</v>
      </c>
    </row>
    <row r="169" ht="30.75" customHeight="1">
      <c r="A169" s="69" t="s">
        <v>239</v>
      </c>
    </row>
    <row r="170" ht="21" customHeight="1">
      <c r="A170" s="316" t="s">
        <v>237</v>
      </c>
    </row>
    <row r="171" ht="38.25" customHeight="1">
      <c r="A171" s="316" t="s">
        <v>202</v>
      </c>
    </row>
    <row r="172" ht="33.75" customHeight="1">
      <c r="A172" s="316" t="s">
        <v>209</v>
      </c>
    </row>
    <row r="173" ht="33.75" customHeight="1">
      <c r="A173" s="316" t="s">
        <v>203</v>
      </c>
    </row>
    <row r="174" ht="33.75" customHeight="1">
      <c r="A174" s="316" t="s">
        <v>204</v>
      </c>
    </row>
    <row r="175" ht="33.75" customHeight="1">
      <c r="A175" s="316" t="s">
        <v>205</v>
      </c>
    </row>
    <row r="176" ht="31.5">
      <c r="A176" s="316" t="s">
        <v>206</v>
      </c>
    </row>
    <row r="177" ht="31.5">
      <c r="A177" s="316" t="s">
        <v>210</v>
      </c>
    </row>
    <row r="178" ht="31.5">
      <c r="A178" s="316" t="s">
        <v>207</v>
      </c>
    </row>
    <row r="179" ht="31.5">
      <c r="A179" s="316" t="s">
        <v>211</v>
      </c>
    </row>
    <row r="180" ht="15.75">
      <c r="A180" s="316" t="s">
        <v>217</v>
      </c>
    </row>
    <row r="182" ht="15.75">
      <c r="A182" s="69" t="s">
        <v>161</v>
      </c>
    </row>
    <row r="183" ht="47.25">
      <c r="A183" s="316" t="s">
        <v>212</v>
      </c>
    </row>
    <row r="184" ht="15.75">
      <c r="A184" s="69" t="s">
        <v>162</v>
      </c>
    </row>
    <row r="185" ht="15.75">
      <c r="A185" s="69" t="s">
        <v>166</v>
      </c>
    </row>
    <row r="186" ht="15.75">
      <c r="A186" s="69" t="s">
        <v>167</v>
      </c>
    </row>
    <row r="187" ht="15.75">
      <c r="A187" s="69" t="s">
        <v>163</v>
      </c>
    </row>
    <row r="188" ht="15.75">
      <c r="A188" s="69" t="s">
        <v>164</v>
      </c>
    </row>
    <row r="189" ht="15.75">
      <c r="A189" s="69" t="s">
        <v>165</v>
      </c>
    </row>
    <row r="190" ht="15.75">
      <c r="A190" s="316" t="s">
        <v>168</v>
      </c>
    </row>
    <row r="191" ht="15.75">
      <c r="A191" s="69" t="s">
        <v>169</v>
      </c>
    </row>
    <row r="192" ht="15.75">
      <c r="A192" s="69" t="s">
        <v>170</v>
      </c>
    </row>
    <row r="193" ht="15.75">
      <c r="A193" s="69" t="s">
        <v>213</v>
      </c>
    </row>
    <row r="194" ht="15.75">
      <c r="A194" s="69" t="s">
        <v>171</v>
      </c>
    </row>
    <row r="195" ht="15.75">
      <c r="A195" s="69" t="s">
        <v>214</v>
      </c>
    </row>
    <row r="196" ht="15.75">
      <c r="A196" s="69" t="s">
        <v>172</v>
      </c>
    </row>
    <row r="197" ht="15.75">
      <c r="A197" s="69" t="s">
        <v>215</v>
      </c>
    </row>
    <row r="198" ht="15.75">
      <c r="A198" s="69" t="s">
        <v>173</v>
      </c>
    </row>
    <row r="199" ht="15.75">
      <c r="A199" s="69" t="s">
        <v>177</v>
      </c>
    </row>
    <row r="200" ht="15.75">
      <c r="A200" s="69" t="s">
        <v>216</v>
      </c>
    </row>
    <row r="201" ht="15.75">
      <c r="A201" s="69" t="s">
        <v>192</v>
      </c>
    </row>
    <row r="202" ht="15.75">
      <c r="A202" s="69" t="s">
        <v>193</v>
      </c>
    </row>
    <row r="203" ht="15.75">
      <c r="A203" s="69" t="s">
        <v>194</v>
      </c>
    </row>
    <row r="204" ht="15.75">
      <c r="A204" s="69" t="s">
        <v>178</v>
      </c>
    </row>
    <row r="205" ht="15.75">
      <c r="A205" s="69" t="s">
        <v>179</v>
      </c>
    </row>
    <row r="206" ht="15.75">
      <c r="A206" s="69" t="s">
        <v>180</v>
      </c>
    </row>
    <row r="207" ht="15.75">
      <c r="A207" s="69" t="s">
        <v>189</v>
      </c>
    </row>
    <row r="208" ht="15.75">
      <c r="A208" s="69" t="s">
        <v>190</v>
      </c>
    </row>
    <row r="209" ht="15.75">
      <c r="A209" s="69" t="s">
        <v>191</v>
      </c>
    </row>
    <row r="210" ht="15.75">
      <c r="A210" s="69" t="s">
        <v>201</v>
      </c>
    </row>
    <row r="211" ht="15.75">
      <c r="A211" s="69" t="s">
        <v>218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75">
      <c r="J1" s="684" t="s">
        <v>793</v>
      </c>
    </row>
    <row r="2" spans="1:10" ht="54" customHeight="1">
      <c r="A2" s="794" t="s">
        <v>339</v>
      </c>
      <c r="B2" s="795"/>
      <c r="C2" s="795"/>
      <c r="D2" s="795"/>
      <c r="E2" s="795"/>
      <c r="F2" s="795"/>
      <c r="J2" s="684" t="s">
        <v>794</v>
      </c>
    </row>
    <row r="3" ht="15.75">
      <c r="J3" s="684" t="s">
        <v>795</v>
      </c>
    </row>
    <row r="4" spans="1:10" ht="15.75">
      <c r="A4" s="449" t="s">
        <v>791</v>
      </c>
      <c r="B4" s="724"/>
      <c r="C4" s="683"/>
      <c r="J4" s="684" t="s">
        <v>796</v>
      </c>
    </row>
    <row r="5" spans="1:10" ht="15.75">
      <c r="A5" s="449"/>
      <c r="B5" s="683"/>
      <c r="J5" s="684" t="s">
        <v>797</v>
      </c>
    </row>
    <row r="6" spans="1:10" ht="15.75">
      <c r="A6" s="449" t="s">
        <v>792</v>
      </c>
      <c r="B6" s="724" t="s">
        <v>951</v>
      </c>
      <c r="J6" s="684" t="s">
        <v>798</v>
      </c>
    </row>
    <row r="7" spans="1:10" ht="15.75">
      <c r="A7" s="335"/>
      <c r="B7" s="335"/>
      <c r="C7" s="335"/>
      <c r="D7" s="337"/>
      <c r="E7" s="335"/>
      <c r="F7" s="335"/>
      <c r="J7" s="684" t="s">
        <v>799</v>
      </c>
    </row>
    <row r="8" spans="1:10" ht="15.75">
      <c r="A8" s="336" t="s">
        <v>340</v>
      </c>
      <c r="B8" s="724" t="s">
        <v>947</v>
      </c>
      <c r="C8" s="338"/>
      <c r="D8" s="336" t="s">
        <v>790</v>
      </c>
      <c r="E8" s="335"/>
      <c r="F8" s="335"/>
      <c r="J8" s="684" t="s">
        <v>800</v>
      </c>
    </row>
    <row r="9" spans="1:10" ht="15.75">
      <c r="A9" s="336"/>
      <c r="B9" s="339"/>
      <c r="C9" s="340"/>
      <c r="D9" s="336" t="str">
        <f>IF(B8="","",CONCATENATE("Latest date for notice to be published in your newspaper: ",G19," ",G23,", ",G24))</f>
        <v>Latest date for notice to be published in your newspaper: August 5, 2014</v>
      </c>
      <c r="E9" s="335"/>
      <c r="F9" s="335"/>
      <c r="J9" s="684" t="s">
        <v>801</v>
      </c>
    </row>
    <row r="10" spans="1:10" ht="15.75">
      <c r="A10" s="336" t="s">
        <v>341</v>
      </c>
      <c r="B10" s="724" t="s">
        <v>949</v>
      </c>
      <c r="C10" s="341"/>
      <c r="D10" s="336"/>
      <c r="E10" s="335"/>
      <c r="F10" s="335"/>
      <c r="J10" s="684" t="s">
        <v>802</v>
      </c>
    </row>
    <row r="11" spans="1:10" ht="15.75">
      <c r="A11" s="336"/>
      <c r="B11" s="336"/>
      <c r="C11" s="336"/>
      <c r="D11" s="336"/>
      <c r="E11" s="335"/>
      <c r="F11" s="335"/>
      <c r="J11" s="684" t="s">
        <v>803</v>
      </c>
    </row>
    <row r="12" spans="1:10" ht="15.75">
      <c r="A12" s="336" t="s">
        <v>342</v>
      </c>
      <c r="B12" s="725" t="s">
        <v>948</v>
      </c>
      <c r="C12" s="726"/>
      <c r="D12" s="726"/>
      <c r="E12" s="727"/>
      <c r="F12" s="335"/>
      <c r="J12" s="684" t="s">
        <v>804</v>
      </c>
    </row>
    <row r="13" spans="1:6" ht="15.75">
      <c r="A13" s="336"/>
      <c r="B13" s="336"/>
      <c r="C13" s="336"/>
      <c r="D13" s="336"/>
      <c r="E13" s="335"/>
      <c r="F13" s="335"/>
    </row>
    <row r="14" spans="1:6" ht="15.75">
      <c r="A14" s="336"/>
      <c r="B14" s="336"/>
      <c r="C14" s="336"/>
      <c r="D14" s="336"/>
      <c r="E14" s="335"/>
      <c r="F14" s="335"/>
    </row>
    <row r="15" spans="1:6" ht="15.75">
      <c r="A15" s="336" t="s">
        <v>343</v>
      </c>
      <c r="B15" s="725" t="s">
        <v>950</v>
      </c>
      <c r="C15" s="726"/>
      <c r="D15" s="726"/>
      <c r="E15" s="727"/>
      <c r="F15" s="335"/>
    </row>
    <row r="18" spans="1:6" ht="15.75">
      <c r="A18" s="796" t="s">
        <v>344</v>
      </c>
      <c r="B18" s="796"/>
      <c r="C18" s="336"/>
      <c r="D18" s="336"/>
      <c r="E18" s="336"/>
      <c r="F18" s="335"/>
    </row>
    <row r="19" spans="1:7" ht="15.75">
      <c r="A19" s="336"/>
      <c r="B19" s="336"/>
      <c r="C19" s="336"/>
      <c r="D19" s="336"/>
      <c r="E19" s="336"/>
      <c r="F19" s="335"/>
      <c r="G19" s="684" t="str">
        <f ca="1">IF(B8="","",INDIRECT(G20))</f>
        <v>August</v>
      </c>
    </row>
    <row r="20" spans="1:7" ht="15.75">
      <c r="A20" s="336" t="s">
        <v>340</v>
      </c>
      <c r="B20" s="339" t="s">
        <v>345</v>
      </c>
      <c r="C20" s="336"/>
      <c r="D20" s="336"/>
      <c r="E20" s="336"/>
      <c r="G20" s="685" t="str">
        <f>IF(B8="","",CONCATENATE("J",G22))</f>
        <v>J8</v>
      </c>
    </row>
    <row r="21" spans="1:7" ht="15.75">
      <c r="A21" s="336"/>
      <c r="B21" s="336"/>
      <c r="C21" s="336"/>
      <c r="D21" s="336"/>
      <c r="E21" s="336"/>
      <c r="G21" s="686">
        <f>B8-10</f>
        <v>41856</v>
      </c>
    </row>
    <row r="22" spans="1:7" ht="15.75">
      <c r="A22" s="336" t="s">
        <v>341</v>
      </c>
      <c r="B22" s="336" t="s">
        <v>346</v>
      </c>
      <c r="C22" s="336"/>
      <c r="D22" s="336"/>
      <c r="E22" s="336"/>
      <c r="G22" s="687">
        <f>IF(B8="","",MONTH(G21))</f>
        <v>8</v>
      </c>
    </row>
    <row r="23" spans="1:7" ht="15.75">
      <c r="A23" s="336"/>
      <c r="B23" s="336"/>
      <c r="C23" s="336"/>
      <c r="D23" s="336"/>
      <c r="E23" s="336"/>
      <c r="G23" s="688">
        <f>IF(B8="","",DAY(G21))</f>
        <v>5</v>
      </c>
    </row>
    <row r="24" spans="1:7" ht="15.75">
      <c r="A24" s="336" t="s">
        <v>342</v>
      </c>
      <c r="B24" s="336" t="s">
        <v>348</v>
      </c>
      <c r="C24" s="336"/>
      <c r="D24" s="336"/>
      <c r="E24" s="336"/>
      <c r="G24" s="689">
        <f>IF(B8="","",YEAR(G21))</f>
        <v>2014</v>
      </c>
    </row>
    <row r="25" spans="1:5" ht="15.75">
      <c r="A25" s="336"/>
      <c r="B25" s="336"/>
      <c r="C25" s="336"/>
      <c r="D25" s="336"/>
      <c r="E25" s="336"/>
    </row>
    <row r="26" spans="1:5" ht="15.75">
      <c r="A26" s="336" t="s">
        <v>343</v>
      </c>
      <c r="B26" s="336" t="s">
        <v>347</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A6" sqref="A6"/>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9" t="s">
        <v>69</v>
      </c>
      <c r="C1" s="809"/>
      <c r="D1" s="809"/>
      <c r="E1" s="809"/>
      <c r="F1" s="809"/>
      <c r="G1" s="809"/>
      <c r="H1" s="3">
        <f>inputPrYr!D5</f>
        <v>2015</v>
      </c>
    </row>
    <row r="2" spans="3:7" s="3" customFormat="1" ht="15.75">
      <c r="C2" s="134"/>
      <c r="D2" s="134"/>
      <c r="E2" s="134"/>
      <c r="F2" s="134"/>
      <c r="G2" s="51"/>
    </row>
    <row r="3" spans="2:8" s="3" customFormat="1" ht="15.75">
      <c r="B3" s="797" t="str">
        <f>CONCATENATE("To the Clerk of ",inputPrYr!D3,", State of Kansas")</f>
        <v>To the Clerk of Wilson County, State of Kansas</v>
      </c>
      <c r="C3" s="798"/>
      <c r="D3" s="798"/>
      <c r="E3" s="798"/>
      <c r="F3" s="798"/>
      <c r="G3" s="798"/>
      <c r="H3" s="798"/>
    </row>
    <row r="4" spans="2:7" s="3" customFormat="1" ht="15.75">
      <c r="B4" s="797" t="s">
        <v>129</v>
      </c>
      <c r="C4" s="805"/>
      <c r="D4" s="805"/>
      <c r="E4" s="805"/>
      <c r="F4" s="805"/>
      <c r="G4" s="805"/>
    </row>
    <row r="5" spans="2:7" s="3" customFormat="1" ht="15.75">
      <c r="B5" s="806" t="str">
        <f>inputPrYr!D2</f>
        <v>Guilford Township</v>
      </c>
      <c r="C5" s="805"/>
      <c r="D5" s="805"/>
      <c r="E5" s="805"/>
      <c r="F5" s="805"/>
      <c r="G5" s="805"/>
    </row>
    <row r="6" spans="2:7" s="3" customFormat="1" ht="15.75">
      <c r="B6" s="816" t="s">
        <v>127</v>
      </c>
      <c r="C6" s="798"/>
      <c r="D6" s="798"/>
      <c r="E6" s="798"/>
      <c r="F6" s="798"/>
      <c r="G6" s="798"/>
    </row>
    <row r="7" spans="2:7" s="3" customFormat="1" ht="15.75" customHeight="1">
      <c r="B7" s="797" t="s">
        <v>128</v>
      </c>
      <c r="C7" s="817"/>
      <c r="D7" s="817"/>
      <c r="E7" s="817"/>
      <c r="F7" s="817"/>
      <c r="G7" s="817"/>
    </row>
    <row r="8" spans="2:7" s="3" customFormat="1" ht="15.75" customHeight="1">
      <c r="B8" s="797" t="str">
        <f>CONCATENATE("maximum expenditures for the various funds for the year ",H1,"; and (3) the")</f>
        <v>maximum expenditures for the various funds for the year 2015; and (3) the</v>
      </c>
      <c r="C8" s="805"/>
      <c r="D8" s="805"/>
      <c r="E8" s="805"/>
      <c r="F8" s="805"/>
      <c r="G8" s="805"/>
    </row>
    <row r="9" spans="2:7" s="3" customFormat="1" ht="15.75" customHeight="1">
      <c r="B9" s="797" t="str">
        <f>CONCATENATE("Amount(s) of ",H1-1," Ad Valorem Tax are within statutory limitations for the ",H1," Budget.")</f>
        <v>Amount(s) of 2014 Ad Valorem Tax are within statutory limitations for the 2015 Budget.</v>
      </c>
      <c r="C9" s="805"/>
      <c r="D9" s="805"/>
      <c r="E9" s="805"/>
      <c r="F9" s="805"/>
      <c r="G9" s="805"/>
    </row>
    <row r="10" spans="5:7" s="3" customFormat="1" ht="15.75" customHeight="1">
      <c r="E10" s="55"/>
      <c r="F10" s="55"/>
      <c r="G10" s="55"/>
    </row>
    <row r="11" spans="4:7" s="3" customFormat="1" ht="15.75">
      <c r="D11" s="8"/>
      <c r="E11" s="813" t="str">
        <f>CONCATENATE("",H1," Adopted Budget")</f>
        <v>2015 Adopted Budget</v>
      </c>
      <c r="F11" s="814"/>
      <c r="G11" s="815"/>
    </row>
    <row r="12" spans="2:7" s="3" customFormat="1" ht="15.75">
      <c r="B12" s="11"/>
      <c r="D12" s="55"/>
      <c r="E12" s="243" t="s">
        <v>251</v>
      </c>
      <c r="F12" s="810" t="str">
        <f>CONCATENATE("Amount of ",H1-1," Ad Valorem Tax")</f>
        <v>Amount of 2014 Ad Valorem Tax</v>
      </c>
      <c r="G12" s="12" t="s">
        <v>252</v>
      </c>
    </row>
    <row r="13" spans="4:7" s="3" customFormat="1" ht="15.75">
      <c r="D13" s="12" t="s">
        <v>253</v>
      </c>
      <c r="E13" s="497" t="s">
        <v>182</v>
      </c>
      <c r="F13" s="811"/>
      <c r="G13" s="145" t="s">
        <v>254</v>
      </c>
    </row>
    <row r="14" spans="2:7" s="3" customFormat="1" ht="15.75">
      <c r="B14" s="60" t="s">
        <v>255</v>
      </c>
      <c r="C14" s="9"/>
      <c r="D14" s="15" t="s">
        <v>256</v>
      </c>
      <c r="E14" s="498" t="s">
        <v>679</v>
      </c>
      <c r="F14" s="812"/>
      <c r="G14" s="15" t="s">
        <v>258</v>
      </c>
    </row>
    <row r="15" spans="2:7" s="3" customFormat="1" ht="15.75">
      <c r="B15" s="16" t="str">
        <f>CONCATENATE("Computation to Determine Limit for ",H1,"")</f>
        <v>Computation to Determine Limit for 2015</v>
      </c>
      <c r="C15" s="17"/>
      <c r="D15" s="12">
        <v>2</v>
      </c>
      <c r="E15" s="8"/>
      <c r="F15" s="8"/>
      <c r="G15" s="244"/>
    </row>
    <row r="16" spans="2:7" s="3" customFormat="1" ht="15.75">
      <c r="B16" s="16" t="s">
        <v>788</v>
      </c>
      <c r="C16" s="17"/>
      <c r="D16" s="150">
        <v>3</v>
      </c>
      <c r="E16" s="8"/>
      <c r="F16" s="8"/>
      <c r="G16" s="245"/>
    </row>
    <row r="17" spans="2:7" s="3" customFormat="1" ht="15.75">
      <c r="B17" s="53" t="s">
        <v>143</v>
      </c>
      <c r="C17" s="17"/>
      <c r="D17" s="150">
        <v>4</v>
      </c>
      <c r="E17" s="8"/>
      <c r="F17" s="8"/>
      <c r="G17" s="245"/>
    </row>
    <row r="18" spans="2:7" s="3" customFormat="1" ht="15.75">
      <c r="B18" s="53" t="s">
        <v>118</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259</v>
      </c>
      <c r="C20" s="135" t="s">
        <v>260</v>
      </c>
      <c r="D20" s="168"/>
      <c r="G20" s="247"/>
    </row>
    <row r="21" spans="2:7" s="3" customFormat="1" ht="15.75">
      <c r="B21" s="74" t="str">
        <f>inputPrYr!B16</f>
        <v>General</v>
      </c>
      <c r="C21" s="248" t="str">
        <f>inputPrYr!C16</f>
        <v>79-1962</v>
      </c>
      <c r="D21" s="249">
        <f>IF(gen!C61&gt;0,gen!C61,"  ")</f>
        <v>6</v>
      </c>
      <c r="E21" s="695">
        <f>IF(gen!$E$50&lt;&gt;0,gen!$E$50,"  ")</f>
        <v>3300</v>
      </c>
      <c r="F21" s="695">
        <f>IF(gen!$E$57&lt;&gt;0,gen!$E$57,0)</f>
        <v>1003</v>
      </c>
      <c r="G21" s="696" t="str">
        <f>IF(AND(gen!E57=0,$C$40&gt;=0)," ",IF(AND(F21&gt;0,$C$40=0)," ",IF(AND(F21&gt;0,$C$40&gt;0),ROUND(F21/$C$40*1000,3))))</f>
        <v> </v>
      </c>
    </row>
    <row r="22" spans="2:7" s="3" customFormat="1" ht="15.75">
      <c r="B22" s="74"/>
      <c r="C22" s="248"/>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c r="C23" s="248"/>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  </v>
      </c>
      <c r="C24" s="248" t="str">
        <f>IF(inputPrYr!C19&gt;0,inputPrYr!C19,"  ")</f>
        <v>  </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75">
      <c r="B25" s="74" t="str">
        <f>IF(inputPrYr!$B20&gt;"  ",inputPrYr!$B20,"  ")</f>
        <v>Fire</v>
      </c>
      <c r="C25" s="248" t="str">
        <f>IF(inputPrYr!C20&gt;0,inputPrYr!C20,"  ")</f>
        <v>68-518c</v>
      </c>
      <c r="D25" s="249">
        <f>IF(fire!C81&gt;0,fire!C81,"  ")</f>
        <v>7</v>
      </c>
      <c r="E25" s="695">
        <f>IF(fire!$E$33&lt;&gt;0,fire!$E$33,"  ")</f>
        <v>3375</v>
      </c>
      <c r="F25" s="695">
        <f>IF(fire!$E$40&lt;&gt;0,fire!$E$40,"  ")</f>
        <v>2050</v>
      </c>
      <c r="G25" s="696" t="str">
        <f>IF(AND(fire!E40=0,$C$40&gt;=0)," ",IF(AND(F25&gt;0,$C$40=0)," ",IF(AND(F25&gt;0,$C$40&gt;0),ROUND(F25/$C$40*1000,3))))</f>
        <v> </v>
      </c>
    </row>
    <row r="26" spans="2:7" s="3" customFormat="1" ht="15.75">
      <c r="B26" s="74" t="str">
        <f>IF(inputPrYr!$B21&gt;"  ",inputPrYr!$B21,"  ")</f>
        <v>  </v>
      </c>
      <c r="C26" s="248" t="str">
        <f>IF(inputPrYr!C21&gt;0,inputPrYr!C21,"  ")</f>
        <v>  </v>
      </c>
      <c r="D26" s="249"/>
      <c r="E26" s="695" t="str">
        <f>IF(fire!$E$73&lt;&gt;0,fire!$E$73,"  ")</f>
        <v>  </v>
      </c>
      <c r="F26" s="695" t="str">
        <f>IF(fire!$E$80&lt;&gt;0,fire!$E$80,"  ")</f>
        <v>  </v>
      </c>
      <c r="G26" s="696" t="str">
        <f>IF(AND(fire!E80=0,$C$40&gt;=0),"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261</v>
      </c>
      <c r="C34" s="251"/>
      <c r="D34" s="252" t="str">
        <f>IF(road!C67&gt;0,road!C67,"  ")</f>
        <v>  </v>
      </c>
      <c r="E34" s="225"/>
      <c r="F34" s="225"/>
      <c r="G34" s="696"/>
    </row>
    <row r="35" spans="2:7" s="3" customFormat="1" ht="16.5" thickBot="1">
      <c r="B35" s="254" t="s">
        <v>262</v>
      </c>
      <c r="C35" s="255"/>
      <c r="D35" s="148" t="s">
        <v>263</v>
      </c>
      <c r="E35" s="697">
        <f>SUM(E21:E30)</f>
        <v>6675</v>
      </c>
      <c r="F35" s="697">
        <f>SUM(F21:F30)</f>
        <v>3053</v>
      </c>
      <c r="G35" s="698">
        <f>IF(SUM(G21:G30)&gt;0,SUM(G21:G30),"")</f>
      </c>
    </row>
    <row r="36" spans="2:4" s="3" customFormat="1" ht="16.5" thickTop="1">
      <c r="B36" s="16" t="s">
        <v>142</v>
      </c>
      <c r="C36" s="247"/>
      <c r="D36" s="252">
        <f>summ!D49</f>
        <v>8</v>
      </c>
    </row>
    <row r="37" spans="2:6" s="3" customFormat="1" ht="15.75">
      <c r="B37" s="737" t="s">
        <v>188</v>
      </c>
      <c r="C37" s="244"/>
      <c r="D37" s="736">
        <f>IF(nhood!C38&gt;0,nhood!C38,"")</f>
      </c>
      <c r="E37" s="738" t="s">
        <v>891</v>
      </c>
      <c r="F37" s="256" t="str">
        <f>IF(F35&gt;1000,IF(F35&gt;computation!J41,"Yes","No"),"No")</f>
        <v>No</v>
      </c>
    </row>
    <row r="38" spans="2:6" s="3" customFormat="1" ht="15.75">
      <c r="B38" s="278"/>
      <c r="C38" s="255"/>
      <c r="D38" s="735"/>
      <c r="E38" s="257"/>
      <c r="F38" s="258"/>
    </row>
    <row r="39" spans="2:7" s="3" customFormat="1" ht="15.75">
      <c r="B39" s="53" t="s">
        <v>96</v>
      </c>
      <c r="C39" s="799" t="s">
        <v>114</v>
      </c>
      <c r="D39" s="800"/>
      <c r="E39" s="259"/>
      <c r="G39" s="11" t="s">
        <v>264</v>
      </c>
    </row>
    <row r="40" spans="2:7" s="3" customFormat="1" ht="15.75">
      <c r="B40" s="16" t="s">
        <v>97</v>
      </c>
      <c r="C40" s="801"/>
      <c r="D40" s="802"/>
      <c r="E40" s="260"/>
      <c r="G40" s="11"/>
    </row>
    <row r="41" spans="2:7" s="3" customFormat="1" ht="15.75">
      <c r="B41" s="261"/>
      <c r="C41" s="803" t="str">
        <f>CONCATENATE("Nov. 1, ",H1-1," Valuation")</f>
        <v>Nov. 1, 2014 Valuation</v>
      </c>
      <c r="D41" s="804"/>
      <c r="E41" s="259"/>
      <c r="G41" s="11"/>
    </row>
    <row r="42" spans="2:7" s="3" customFormat="1" ht="15.75">
      <c r="B42" s="261" t="s">
        <v>265</v>
      </c>
      <c r="E42" s="8"/>
      <c r="G42" s="11"/>
    </row>
    <row r="43" spans="2:7" s="3" customFormat="1" ht="15.75">
      <c r="B43" s="262" t="s">
        <v>952</v>
      </c>
      <c r="C43" s="262"/>
      <c r="E43" s="699" t="s">
        <v>805</v>
      </c>
      <c r="F43" s="699"/>
      <c r="G43" s="699"/>
    </row>
    <row r="44" spans="2:7" s="3" customFormat="1" ht="15.75">
      <c r="B44" s="263"/>
      <c r="C44" s="263"/>
      <c r="E44" s="700"/>
      <c r="F44" s="700"/>
      <c r="G44" s="700"/>
    </row>
    <row r="45" spans="2:7" s="3" customFormat="1" ht="15.75">
      <c r="B45" s="261" t="s">
        <v>122</v>
      </c>
      <c r="E45" s="699" t="s">
        <v>805</v>
      </c>
      <c r="F45" s="699"/>
      <c r="G45" s="699"/>
    </row>
    <row r="46" spans="2:7" s="3" customFormat="1" ht="15.75">
      <c r="B46" s="262" t="s">
        <v>953</v>
      </c>
      <c r="C46" s="262"/>
      <c r="D46" s="11"/>
      <c r="E46" s="699"/>
      <c r="F46" s="699"/>
      <c r="G46" s="699"/>
    </row>
    <row r="47" spans="2:7" s="3" customFormat="1" ht="15.75">
      <c r="B47" s="263" t="s">
        <v>954</v>
      </c>
      <c r="C47" s="263"/>
      <c r="D47" s="11"/>
      <c r="E47" s="699" t="s">
        <v>805</v>
      </c>
      <c r="F47" s="701"/>
      <c r="G47" s="701"/>
    </row>
    <row r="48" spans="2:8" ht="15.75">
      <c r="B48" s="261" t="s">
        <v>789</v>
      </c>
      <c r="C48" s="3"/>
      <c r="D48" s="11"/>
      <c r="E48" s="702"/>
      <c r="F48" s="699"/>
      <c r="G48" s="699"/>
      <c r="H48" s="79"/>
    </row>
    <row r="49" spans="2:8" ht="15.75">
      <c r="B49" s="780" t="s">
        <v>955</v>
      </c>
      <c r="C49" s="262"/>
      <c r="D49" s="11"/>
      <c r="E49" s="699" t="s">
        <v>805</v>
      </c>
      <c r="F49" s="701"/>
      <c r="G49" s="701"/>
      <c r="H49" s="79"/>
    </row>
    <row r="50" spans="2:8" ht="15.75">
      <c r="B50" s="55"/>
      <c r="C50" s="3"/>
      <c r="D50" s="11"/>
      <c r="E50" s="702"/>
      <c r="F50" s="699"/>
      <c r="G50" s="699"/>
      <c r="H50" s="79"/>
    </row>
    <row r="51" spans="2:8" ht="15.75">
      <c r="B51" s="506" t="s">
        <v>126</v>
      </c>
      <c r="C51" s="266">
        <f>H1-1</f>
        <v>2014</v>
      </c>
      <c r="D51" s="11"/>
      <c r="E51" s="699" t="s">
        <v>805</v>
      </c>
      <c r="F51" s="701"/>
      <c r="G51" s="701"/>
      <c r="H51" s="79"/>
    </row>
    <row r="52" spans="2:8" ht="15.75">
      <c r="B52" s="3"/>
      <c r="C52" s="3"/>
      <c r="D52" s="3"/>
      <c r="E52" s="699"/>
      <c r="F52" s="702"/>
      <c r="G52" s="699"/>
      <c r="H52" s="79"/>
    </row>
    <row r="53" spans="2:8" ht="15.75">
      <c r="B53" s="496"/>
      <c r="C53" s="3"/>
      <c r="D53" s="3"/>
      <c r="E53" s="699" t="s">
        <v>805</v>
      </c>
      <c r="F53" s="699"/>
      <c r="G53" s="699"/>
      <c r="H53" s="79"/>
    </row>
    <row r="54" spans="2:7" ht="15.75">
      <c r="B54" s="38" t="s">
        <v>267</v>
      </c>
      <c r="C54" s="3"/>
      <c r="D54" s="3"/>
      <c r="E54" s="807" t="s">
        <v>266</v>
      </c>
      <c r="F54" s="808"/>
      <c r="G54" s="808"/>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hyperlinks>
    <hyperlink ref="B49" r:id="rId1" display="joebambick@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7">
      <selection activeCell="AL46" sqref="AL46"/>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Guilford Township</v>
      </c>
      <c r="D1" s="3"/>
      <c r="E1" s="3"/>
      <c r="F1" s="3"/>
      <c r="G1" s="3"/>
      <c r="H1" s="3"/>
      <c r="I1" s="3"/>
      <c r="J1" s="3">
        <f>inputPrYr!D5</f>
        <v>2015</v>
      </c>
    </row>
    <row r="2" spans="1:10" ht="15.75">
      <c r="A2" s="3"/>
      <c r="B2" s="3"/>
      <c r="C2" s="3"/>
      <c r="D2" s="3"/>
      <c r="E2" s="3"/>
      <c r="F2" s="3"/>
      <c r="G2" s="3"/>
      <c r="H2" s="3"/>
      <c r="I2" s="3"/>
      <c r="J2" s="3"/>
    </row>
    <row r="3" spans="1:10" ht="15.75">
      <c r="A3" s="818" t="str">
        <f>CONCATENATE("Computation to Determine Limit for ",J1,"")</f>
        <v>Computation to Determine Limit for 2015</v>
      </c>
      <c r="B3" s="809"/>
      <c r="C3" s="809"/>
      <c r="D3" s="809"/>
      <c r="E3" s="809"/>
      <c r="F3" s="809"/>
      <c r="G3" s="809"/>
      <c r="H3" s="809"/>
      <c r="I3" s="809"/>
      <c r="J3" s="809"/>
    </row>
    <row r="4" spans="1:10" ht="15.75">
      <c r="A4" s="3"/>
      <c r="B4" s="3"/>
      <c r="C4" s="3"/>
      <c r="D4" s="3"/>
      <c r="E4" s="809"/>
      <c r="F4" s="809"/>
      <c r="G4" s="809"/>
      <c r="H4" s="114"/>
      <c r="I4" s="3"/>
      <c r="J4" s="233" t="s">
        <v>78</v>
      </c>
    </row>
    <row r="5" spans="1:10" ht="15.75">
      <c r="A5" s="234" t="s">
        <v>79</v>
      </c>
      <c r="B5" s="3" t="str">
        <f>CONCATENATE("Total tax levy amount in ",J1-1,"")</f>
        <v>Total tax levy amount in 2014</v>
      </c>
      <c r="C5" s="3"/>
      <c r="D5" s="3"/>
      <c r="E5" s="44"/>
      <c r="F5" s="44"/>
      <c r="G5" s="44"/>
      <c r="H5" s="235" t="s">
        <v>15</v>
      </c>
      <c r="I5" s="44" t="s">
        <v>2</v>
      </c>
      <c r="J5" s="236">
        <f>inputPrYr!E26</f>
        <v>3005</v>
      </c>
    </row>
    <row r="6" spans="1:10" ht="15.75">
      <c r="A6" s="234" t="s">
        <v>80</v>
      </c>
      <c r="B6" s="3" t="str">
        <f>CONCATENATE("Debt service levy in ",J1-1,"")</f>
        <v>Debt service levy in 2014</v>
      </c>
      <c r="C6" s="3"/>
      <c r="D6" s="3"/>
      <c r="E6" s="44"/>
      <c r="F6" s="44"/>
      <c r="G6" s="44"/>
      <c r="H6" s="235" t="s">
        <v>81</v>
      </c>
      <c r="I6" s="44" t="s">
        <v>2</v>
      </c>
      <c r="J6" s="237">
        <f>inputPrYr!E17</f>
        <v>0</v>
      </c>
    </row>
    <row r="7" spans="1:10" ht="15.75">
      <c r="A7" s="234" t="s">
        <v>82</v>
      </c>
      <c r="B7" s="3" t="s">
        <v>900</v>
      </c>
      <c r="C7" s="3"/>
      <c r="D7" s="3"/>
      <c r="E7" s="44"/>
      <c r="F7" s="44"/>
      <c r="G7" s="44"/>
      <c r="H7" s="44"/>
      <c r="I7" s="44" t="s">
        <v>2</v>
      </c>
      <c r="J7" s="238">
        <f>J5-J6</f>
        <v>3005</v>
      </c>
    </row>
    <row r="8" spans="1:10" ht="15.75">
      <c r="A8" s="3"/>
      <c r="B8" s="3"/>
      <c r="C8" s="3"/>
      <c r="D8" s="3"/>
      <c r="E8" s="44"/>
      <c r="F8" s="44"/>
      <c r="G8" s="44"/>
      <c r="H8" s="44"/>
      <c r="I8" s="44"/>
      <c r="J8" s="44"/>
    </row>
    <row r="9" spans="1:10" ht="15.75">
      <c r="A9" s="809" t="str">
        <f>CONCATENATE("",J1-1," Valuation Information for Valuation Adjustments")</f>
        <v>2014 Valuation Information for Valuation Adjustments</v>
      </c>
      <c r="B9" s="805"/>
      <c r="C9" s="805"/>
      <c r="D9" s="805"/>
      <c r="E9" s="805"/>
      <c r="F9" s="805"/>
      <c r="G9" s="805"/>
      <c r="H9" s="805"/>
      <c r="I9" s="805"/>
      <c r="J9" s="805"/>
    </row>
    <row r="10" spans="1:10" ht="15.75">
      <c r="A10" s="3"/>
      <c r="B10" s="3"/>
      <c r="C10" s="3"/>
      <c r="D10" s="3"/>
      <c r="E10" s="44"/>
      <c r="F10" s="44"/>
      <c r="G10" s="44"/>
      <c r="H10" s="44"/>
      <c r="I10" s="44"/>
      <c r="J10" s="44"/>
    </row>
    <row r="11" spans="1:10" ht="15.75">
      <c r="A11" s="234" t="s">
        <v>83</v>
      </c>
      <c r="B11" s="3" t="str">
        <f>CONCATENATE("New improvements for ",J1-1,":")</f>
        <v>New improvements for 2014:</v>
      </c>
      <c r="C11" s="3"/>
      <c r="D11" s="3"/>
      <c r="E11" s="235"/>
      <c r="F11" s="235" t="s">
        <v>15</v>
      </c>
      <c r="G11" s="236">
        <f>inputOth!E8</f>
        <v>460</v>
      </c>
      <c r="H11" s="42"/>
      <c r="I11" s="44"/>
      <c r="J11" s="44"/>
    </row>
    <row r="12" spans="1:10" ht="15.75">
      <c r="A12" s="234"/>
      <c r="B12" s="234"/>
      <c r="C12" s="3"/>
      <c r="D12" s="3"/>
      <c r="E12" s="235"/>
      <c r="F12" s="235"/>
      <c r="G12" s="42"/>
      <c r="H12" s="42"/>
      <c r="I12" s="44"/>
      <c r="J12" s="44"/>
    </row>
    <row r="13" spans="1:10" ht="15.75">
      <c r="A13" s="234" t="s">
        <v>84</v>
      </c>
      <c r="B13" s="3" t="str">
        <f>CONCATENATE("Increase in personal property for ",J1-1,":")</f>
        <v>Increase in personal property for 2014:</v>
      </c>
      <c r="C13" s="3"/>
      <c r="D13" s="3"/>
      <c r="E13" s="235"/>
      <c r="F13" s="235"/>
      <c r="G13" s="42"/>
      <c r="H13" s="42"/>
      <c r="I13" s="44"/>
      <c r="J13" s="44"/>
    </row>
    <row r="14" spans="1:10" ht="15.75">
      <c r="A14" s="3"/>
      <c r="B14" s="3" t="s">
        <v>85</v>
      </c>
      <c r="C14" s="3" t="str">
        <f>CONCATENATE("Personal property ",J1-1,"")</f>
        <v>Personal property 2014</v>
      </c>
      <c r="D14" s="234" t="s">
        <v>15</v>
      </c>
      <c r="E14" s="236">
        <f>inputOth!E9</f>
        <v>105636</v>
      </c>
      <c r="F14" s="235"/>
      <c r="G14" s="44"/>
      <c r="H14" s="44"/>
      <c r="I14" s="42"/>
      <c r="J14" s="44"/>
    </row>
    <row r="15" spans="1:10" ht="15.75">
      <c r="A15" s="234"/>
      <c r="B15" s="3" t="s">
        <v>86</v>
      </c>
      <c r="C15" s="3" t="str">
        <f>CONCATENATE("Personal property ",J1-2,"")</f>
        <v>Personal property 2013</v>
      </c>
      <c r="D15" s="234" t="s">
        <v>81</v>
      </c>
      <c r="E15" s="238">
        <f>inputOth!E11</f>
        <v>120868</v>
      </c>
      <c r="F15" s="235"/>
      <c r="G15" s="42"/>
      <c r="H15" s="42"/>
      <c r="I15" s="44"/>
      <c r="J15" s="44"/>
    </row>
    <row r="16" spans="1:10" ht="15.75">
      <c r="A16" s="234"/>
      <c r="B16" s="3" t="s">
        <v>87</v>
      </c>
      <c r="C16" s="3" t="s">
        <v>901</v>
      </c>
      <c r="D16" s="3"/>
      <c r="E16" s="44"/>
      <c r="F16" s="44" t="s">
        <v>15</v>
      </c>
      <c r="G16" s="236">
        <f>IF(E14&gt;E15,E14-E15,0)</f>
        <v>0</v>
      </c>
      <c r="H16" s="42"/>
      <c r="I16" s="44"/>
      <c r="J16" s="44"/>
    </row>
    <row r="17" spans="1:10" ht="15.75">
      <c r="A17" s="234"/>
      <c r="B17" s="234"/>
      <c r="C17" s="3"/>
      <c r="D17" s="3"/>
      <c r="E17" s="44"/>
      <c r="F17" s="44"/>
      <c r="G17" s="42" t="s">
        <v>95</v>
      </c>
      <c r="H17" s="42"/>
      <c r="I17" s="44"/>
      <c r="J17" s="44"/>
    </row>
    <row r="18" spans="1:10" ht="15.75">
      <c r="A18" s="234" t="s">
        <v>88</v>
      </c>
      <c r="B18" s="3" t="str">
        <f>CONCATENATE("Valuation of property that changed in use during ",J1-1,":")</f>
        <v>Valuation of property that changed in use during 2014:</v>
      </c>
      <c r="C18" s="3"/>
      <c r="D18" s="3"/>
      <c r="E18" s="44"/>
      <c r="F18" s="235" t="s">
        <v>15</v>
      </c>
      <c r="G18" s="236">
        <f>inputOth!E10</f>
        <v>3386</v>
      </c>
      <c r="H18" s="44"/>
      <c r="I18" s="44"/>
      <c r="J18" s="44"/>
    </row>
    <row r="19" spans="1:10" ht="15.75">
      <c r="A19" s="3" t="s">
        <v>251</v>
      </c>
      <c r="B19" s="3"/>
      <c r="C19" s="3"/>
      <c r="D19" s="234"/>
      <c r="E19" s="42"/>
      <c r="F19" s="42"/>
      <c r="G19" s="42"/>
      <c r="H19" s="44"/>
      <c r="I19" s="44"/>
      <c r="J19" s="44"/>
    </row>
    <row r="20" spans="1:10" ht="15.75">
      <c r="A20" s="234" t="s">
        <v>89</v>
      </c>
      <c r="B20" s="3" t="s">
        <v>902</v>
      </c>
      <c r="C20" s="3"/>
      <c r="D20" s="3"/>
      <c r="E20" s="44"/>
      <c r="F20" s="44"/>
      <c r="G20" s="236">
        <f>G11+G16+G18</f>
        <v>3846</v>
      </c>
      <c r="H20" s="42"/>
      <c r="I20" s="44"/>
      <c r="J20" s="44"/>
    </row>
    <row r="21" spans="1:10" ht="15.75">
      <c r="A21" s="234"/>
      <c r="B21" s="234"/>
      <c r="C21" s="3"/>
      <c r="D21" s="3"/>
      <c r="E21" s="44"/>
      <c r="F21" s="44"/>
      <c r="G21" s="42"/>
      <c r="H21" s="42"/>
      <c r="I21" s="44"/>
      <c r="J21" s="44"/>
    </row>
    <row r="22" spans="1:10" ht="15.75">
      <c r="A22" s="234" t="s">
        <v>90</v>
      </c>
      <c r="B22" s="3" t="str">
        <f>CONCATENATE("Total estimated valuation July 1,",J1-1,"")</f>
        <v>Total estimated valuation July 1,2014</v>
      </c>
      <c r="C22" s="3"/>
      <c r="D22" s="3"/>
      <c r="E22" s="236">
        <f>inputOth!E7</f>
        <v>3606585</v>
      </c>
      <c r="F22" s="44"/>
      <c r="G22" s="44"/>
      <c r="H22" s="44"/>
      <c r="I22" s="235"/>
      <c r="J22" s="44"/>
    </row>
    <row r="23" spans="1:10" ht="15.75">
      <c r="A23" s="234"/>
      <c r="B23" s="234"/>
      <c r="C23" s="3"/>
      <c r="D23" s="3"/>
      <c r="E23" s="42"/>
      <c r="F23" s="44"/>
      <c r="G23" s="44"/>
      <c r="H23" s="44"/>
      <c r="I23" s="235"/>
      <c r="J23" s="44"/>
    </row>
    <row r="24" spans="1:10" ht="15.75">
      <c r="A24" s="234" t="s">
        <v>91</v>
      </c>
      <c r="B24" s="3" t="s">
        <v>903</v>
      </c>
      <c r="C24" s="3"/>
      <c r="D24" s="3"/>
      <c r="E24" s="44"/>
      <c r="F24" s="44"/>
      <c r="G24" s="236">
        <f>E22-G20</f>
        <v>3602739</v>
      </c>
      <c r="H24" s="42"/>
      <c r="I24" s="235"/>
      <c r="J24" s="44"/>
    </row>
    <row r="25" spans="1:10" ht="15.75">
      <c r="A25" s="234"/>
      <c r="B25" s="234"/>
      <c r="C25" s="3"/>
      <c r="D25" s="3"/>
      <c r="E25" s="3"/>
      <c r="F25" s="3"/>
      <c r="G25" s="239"/>
      <c r="H25" s="8"/>
      <c r="I25" s="234"/>
      <c r="J25" s="3"/>
    </row>
    <row r="26" spans="1:10" ht="15.75">
      <c r="A26" s="234" t="s">
        <v>92</v>
      </c>
      <c r="B26" s="3" t="s">
        <v>904</v>
      </c>
      <c r="C26" s="3"/>
      <c r="D26" s="3"/>
      <c r="E26" s="3"/>
      <c r="F26" s="3"/>
      <c r="G26" s="240">
        <f>IF(G20&gt;0,G20/G24,0)</f>
        <v>0.0010675211276753604</v>
      </c>
      <c r="H26" s="8"/>
      <c r="I26" s="3"/>
      <c r="J26" s="3"/>
    </row>
    <row r="27" spans="1:10" ht="15.75">
      <c r="A27" s="234"/>
      <c r="B27" s="234"/>
      <c r="C27" s="3"/>
      <c r="D27" s="3"/>
      <c r="E27" s="3"/>
      <c r="F27" s="3"/>
      <c r="G27" s="8"/>
      <c r="H27" s="8"/>
      <c r="I27" s="3"/>
      <c r="J27" s="3"/>
    </row>
    <row r="28" spans="1:10" ht="15.75">
      <c r="A28" s="234" t="s">
        <v>93</v>
      </c>
      <c r="B28" s="3" t="s">
        <v>905</v>
      </c>
      <c r="C28" s="3"/>
      <c r="D28" s="3"/>
      <c r="E28" s="3"/>
      <c r="F28" s="3"/>
      <c r="G28" s="8"/>
      <c r="H28" s="241" t="s">
        <v>15</v>
      </c>
      <c r="I28" s="3" t="s">
        <v>2</v>
      </c>
      <c r="J28" s="236">
        <f>ROUND(G26*J7,0)</f>
        <v>3</v>
      </c>
    </row>
    <row r="29" spans="1:10" ht="15.75">
      <c r="A29" s="234"/>
      <c r="B29" s="234"/>
      <c r="C29" s="3"/>
      <c r="D29" s="3"/>
      <c r="E29" s="3"/>
      <c r="F29" s="3"/>
      <c r="G29" s="8"/>
      <c r="H29" s="241"/>
      <c r="I29" s="3"/>
      <c r="J29" s="42"/>
    </row>
    <row r="30" spans="1:10" ht="16.5" thickBot="1">
      <c r="A30" s="234" t="s">
        <v>94</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3008</v>
      </c>
    </row>
    <row r="31" spans="1:10" ht="16.5" thickTop="1">
      <c r="A31" s="3"/>
      <c r="B31" s="3"/>
      <c r="C31" s="3"/>
      <c r="D31" s="3"/>
      <c r="E31" s="3"/>
      <c r="F31" s="3"/>
      <c r="G31" s="3"/>
      <c r="H31" s="3"/>
      <c r="I31" s="3"/>
      <c r="J31" s="3"/>
    </row>
    <row r="32" spans="1:10" ht="15.75">
      <c r="A32" s="234" t="s">
        <v>106</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3008</v>
      </c>
    </row>
    <row r="35" spans="1:10" ht="16.5" thickTop="1">
      <c r="A35" s="745"/>
      <c r="B35" s="744"/>
      <c r="C35" s="744"/>
      <c r="D35" s="744"/>
      <c r="E35" s="744"/>
      <c r="F35" s="744"/>
      <c r="G35" s="744"/>
      <c r="H35" s="744"/>
      <c r="I35" s="744"/>
      <c r="J35" s="742"/>
    </row>
    <row r="36" spans="1:10" ht="15.75">
      <c r="A36" s="747" t="s">
        <v>892</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893</v>
      </c>
      <c r="B38" s="744" t="s">
        <v>894</v>
      </c>
      <c r="C38" s="744"/>
      <c r="D38" s="744"/>
      <c r="E38" s="744"/>
      <c r="F38" s="744"/>
      <c r="G38" s="744"/>
      <c r="H38" s="744"/>
      <c r="I38" s="743" t="s">
        <v>2</v>
      </c>
      <c r="J38" s="741">
        <f>ROUND(J7*J36,0)</f>
        <v>45</v>
      </c>
    </row>
    <row r="39" spans="1:10" ht="15.75">
      <c r="A39" s="745"/>
      <c r="B39" s="744"/>
      <c r="C39" s="744"/>
      <c r="D39" s="744"/>
      <c r="E39" s="744"/>
      <c r="F39" s="744"/>
      <c r="G39" s="744"/>
      <c r="H39" s="744"/>
      <c r="I39" s="744"/>
      <c r="J39" s="742"/>
    </row>
    <row r="40" spans="1:10" ht="15.75">
      <c r="A40" s="745" t="s">
        <v>895</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896</v>
      </c>
      <c r="C41" s="739"/>
      <c r="D41" s="739"/>
      <c r="E41" s="739"/>
      <c r="F41" s="739"/>
      <c r="G41" s="739"/>
      <c r="H41" s="739"/>
      <c r="I41" s="743" t="s">
        <v>2</v>
      </c>
      <c r="J41" s="746">
        <f>J34+J38</f>
        <v>3053</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20" t="str">
        <f>CONCATENATE("If the ",J1," adopted budget includes a total property tax levy exceeding the dollar amount in line 17")</f>
        <v>If the 2015 adopted budget includes a total property tax levy exceeding the dollar amount in line 17</v>
      </c>
      <c r="B44" s="820"/>
      <c r="C44" s="820"/>
      <c r="D44" s="820"/>
      <c r="E44" s="820"/>
      <c r="F44" s="820"/>
      <c r="G44" s="820"/>
      <c r="H44" s="820"/>
      <c r="I44" s="820"/>
      <c r="J44" s="820"/>
    </row>
    <row r="45" spans="1:10" ht="15.75">
      <c r="A45" s="820" t="s">
        <v>897</v>
      </c>
      <c r="B45" s="820"/>
      <c r="C45" s="820"/>
      <c r="D45" s="820"/>
      <c r="E45" s="820"/>
      <c r="F45" s="820"/>
      <c r="G45" s="820"/>
      <c r="H45" s="820"/>
      <c r="I45" s="820"/>
      <c r="J45" s="820"/>
    </row>
    <row r="46" spans="1:10" ht="15.75">
      <c r="A46" s="819" t="s">
        <v>898</v>
      </c>
      <c r="B46" s="819"/>
      <c r="C46" s="819"/>
      <c r="D46" s="819"/>
      <c r="E46" s="819"/>
      <c r="F46" s="819"/>
      <c r="G46" s="819"/>
      <c r="H46" s="819"/>
      <c r="I46" s="819"/>
      <c r="J46" s="819"/>
    </row>
    <row r="47" spans="1:10" ht="15.75">
      <c r="A47" s="819" t="s">
        <v>899</v>
      </c>
      <c r="B47" s="819"/>
      <c r="C47" s="819"/>
      <c r="D47" s="819"/>
      <c r="E47" s="819"/>
      <c r="F47" s="819"/>
      <c r="G47" s="819"/>
      <c r="H47" s="819"/>
      <c r="I47" s="819"/>
      <c r="J47" s="81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B15" sqref="B15"/>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Guilford Township</v>
      </c>
      <c r="C1" s="3"/>
      <c r="D1" s="3"/>
      <c r="E1" s="3"/>
      <c r="F1" s="3"/>
      <c r="G1" s="3"/>
      <c r="H1" s="3"/>
      <c r="I1" s="3"/>
      <c r="J1" s="4">
        <f>inputPrYr!D5</f>
        <v>2015</v>
      </c>
      <c r="K1" s="4"/>
      <c r="L1" s="79"/>
    </row>
    <row r="2" spans="2:12" ht="15.75">
      <c r="B2" s="2" t="str">
        <f>inputPrYr!D3</f>
        <v>Wilson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6" t="s">
        <v>723</v>
      </c>
      <c r="C6" s="808"/>
      <c r="D6" s="808"/>
      <c r="E6" s="808"/>
      <c r="F6" s="808"/>
      <c r="G6" s="808"/>
      <c r="H6" s="808"/>
      <c r="I6" s="808"/>
      <c r="J6" s="808"/>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721</v>
      </c>
      <c r="C9" s="160"/>
      <c r="D9" s="528" t="s">
        <v>722</v>
      </c>
      <c r="E9" s="821" t="str">
        <f>CONCATENATE("Budget Tax Levy Rate for ",J1-1,"")</f>
        <v>Budget Tax Levy Rate for 2014</v>
      </c>
      <c r="F9" s="222"/>
      <c r="G9" s="823" t="str">
        <f>CONCATENATE("Allocation for Proposed Year ",J1,"")</f>
        <v>Allocation for Proposed Year 2015</v>
      </c>
      <c r="H9" s="824"/>
      <c r="I9" s="824"/>
      <c r="J9" s="825"/>
      <c r="K9" s="79"/>
      <c r="L9" s="79"/>
      <c r="M9" s="525"/>
    </row>
    <row r="10" spans="2:13" ht="15.75" customHeight="1">
      <c r="B10" s="527" t="str">
        <f>CONCATENATE("for ",J1-1,"")</f>
        <v>for 2014</v>
      </c>
      <c r="C10" s="166"/>
      <c r="D10" s="80" t="str">
        <f>CONCATENATE("Amount for ",J1,"")</f>
        <v>Amount for 2015</v>
      </c>
      <c r="E10" s="822"/>
      <c r="F10" s="14"/>
      <c r="G10" s="15" t="s">
        <v>76</v>
      </c>
      <c r="H10" s="15"/>
      <c r="I10" s="15" t="s">
        <v>77</v>
      </c>
      <c r="J10" s="150" t="s">
        <v>111</v>
      </c>
      <c r="K10" s="79"/>
      <c r="L10" s="79"/>
      <c r="M10" s="525"/>
    </row>
    <row r="11" spans="2:13" ht="15.75">
      <c r="B11" s="74" t="str">
        <f>inputPrYr!B16</f>
        <v>General</v>
      </c>
      <c r="C11" s="223"/>
      <c r="D11" s="150">
        <f>IF(inputPrYr!E16&gt;0,inputPrYr!E16,"  ")</f>
        <v>1013</v>
      </c>
      <c r="E11" s="120">
        <f>IF(inputOth!D17&gt;0,inputOth!D17,"  ")</f>
        <v>0.299</v>
      </c>
      <c r="F11" s="690"/>
      <c r="G11" s="150">
        <f>IF(inputPrYr!E16=0,0,G23-SUM(G12:G20))</f>
        <v>62</v>
      </c>
      <c r="H11" s="691"/>
      <c r="I11" s="150">
        <f>IF(inputPrYr!E16=0,0,I25-SUM(I12:I20))</f>
        <v>1</v>
      </c>
      <c r="J11" s="150">
        <f>IF(inputPrYr!E16=0,0,J27-SUM(J12:J20))</f>
        <v>6</v>
      </c>
      <c r="K11" s="79"/>
      <c r="L11" s="79"/>
      <c r="M11" s="525"/>
    </row>
    <row r="12" spans="2:13" ht="15.75">
      <c r="B12" s="74"/>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  </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75">
      <c r="B15" s="74" t="str">
        <f>IF(inputPrYr!$B20&gt;"  ",inputPrYr!$B20,"  ")</f>
        <v>Fire</v>
      </c>
      <c r="C15" s="223"/>
      <c r="D15" s="150">
        <f>IF(inputPrYr!E20&gt;=0,inputPrYr!E20,"  ")</f>
        <v>1992</v>
      </c>
      <c r="E15" s="120">
        <f>IF(inputOth!D21&gt;0,inputOth!D21,"  ")</f>
        <v>0.588</v>
      </c>
      <c r="F15" s="690"/>
      <c r="G15" s="150">
        <f>IF(inputPrYr!E20=0,0,ROUND(D15*$G$30,0))</f>
        <v>122</v>
      </c>
      <c r="H15" s="691"/>
      <c r="I15" s="150">
        <f>IF(inputPrYr!$E$20=0,0,ROUND($D$15*$I$32,0))</f>
        <v>2</v>
      </c>
      <c r="J15" s="150">
        <f>IF(inputPrYr!E20=0,0,ROUND($D15*$J$34,0))</f>
        <v>13</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249</v>
      </c>
      <c r="C21" s="226"/>
      <c r="D21" s="692">
        <f>SUM(D11:D20)</f>
        <v>3005</v>
      </c>
      <c r="E21" s="693">
        <f>SUM(E11:E20)</f>
        <v>0.887</v>
      </c>
      <c r="F21" s="694"/>
      <c r="G21" s="692">
        <f>SUM(G11:G20)</f>
        <v>184</v>
      </c>
      <c r="H21" s="692"/>
      <c r="I21" s="692">
        <f>SUM(I11:I20)</f>
        <v>3</v>
      </c>
      <c r="J21" s="692">
        <f>SUM(J11:J20)</f>
        <v>19</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184</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3</v>
      </c>
      <c r="J25" s="3"/>
      <c r="K25" s="3"/>
      <c r="L25" s="79"/>
    </row>
    <row r="26" spans="2:12" ht="15.75">
      <c r="B26" s="3"/>
      <c r="C26" s="3"/>
      <c r="D26" s="3"/>
      <c r="E26" s="3"/>
      <c r="F26" s="3"/>
      <c r="G26" s="3"/>
      <c r="H26" s="3"/>
      <c r="I26" s="3"/>
      <c r="J26" s="3"/>
      <c r="K26" s="3"/>
      <c r="L26" s="79"/>
    </row>
    <row r="27" spans="2:12" ht="15.75">
      <c r="B27" s="11" t="s">
        <v>74</v>
      </c>
      <c r="C27" s="3"/>
      <c r="D27" s="3"/>
      <c r="E27" s="3"/>
      <c r="F27" s="3"/>
      <c r="G27" s="3"/>
      <c r="H27" s="3"/>
      <c r="I27" s="3"/>
      <c r="J27" s="68">
        <f>inputOth!E34</f>
        <v>19</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0.06123128119800333</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0.0009983361064891847</v>
      </c>
      <c r="J32" s="3"/>
      <c r="K32" s="3"/>
      <c r="L32" s="79"/>
    </row>
    <row r="33" spans="2:12" ht="15.75">
      <c r="B33" s="3"/>
      <c r="C33" s="3"/>
      <c r="D33" s="3"/>
      <c r="E33" s="3"/>
      <c r="F33" s="3"/>
      <c r="G33" s="3"/>
      <c r="H33" s="3"/>
      <c r="I33" s="3"/>
      <c r="J33" s="3"/>
      <c r="K33" s="3"/>
      <c r="L33" s="79"/>
    </row>
    <row r="34" spans="2:12" ht="15.75">
      <c r="B34" s="11"/>
      <c r="C34" s="3"/>
      <c r="D34" s="3"/>
      <c r="E34" s="3"/>
      <c r="F34" s="3"/>
      <c r="G34" s="11" t="s">
        <v>75</v>
      </c>
      <c r="H34" s="3"/>
      <c r="I34" s="3"/>
      <c r="J34" s="227">
        <f>IF(D21=0,0,J27/D21)</f>
        <v>0.00632279534109817</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8" sqref="A18"/>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Guilford Township</v>
      </c>
      <c r="B2" s="77"/>
      <c r="C2" s="3"/>
      <c r="D2" s="3"/>
      <c r="E2" s="41"/>
      <c r="F2" s="3"/>
    </row>
    <row r="3" spans="1:6" ht="15.75">
      <c r="A3" s="2"/>
      <c r="B3" s="77"/>
      <c r="C3" s="3"/>
      <c r="D3" s="3"/>
      <c r="E3" s="41"/>
      <c r="F3" s="3"/>
    </row>
    <row r="4" spans="1:6" ht="15.75">
      <c r="A4" s="2"/>
      <c r="B4" s="3"/>
      <c r="C4" s="3"/>
      <c r="D4" s="3"/>
      <c r="E4" s="41"/>
      <c r="F4" s="3"/>
    </row>
    <row r="5" spans="1:6" ht="15" customHeight="1">
      <c r="A5" s="809" t="s">
        <v>143</v>
      </c>
      <c r="B5" s="809"/>
      <c r="C5" s="809"/>
      <c r="D5" s="809"/>
      <c r="E5" s="809"/>
      <c r="F5" s="809"/>
    </row>
    <row r="6" spans="1:6" ht="14.25" customHeight="1">
      <c r="A6" s="114"/>
      <c r="B6" s="202"/>
      <c r="C6" s="202"/>
      <c r="D6" s="202"/>
      <c r="E6" s="202"/>
      <c r="F6" s="202"/>
    </row>
    <row r="7" spans="1:6" ht="15" customHeight="1">
      <c r="A7" s="203" t="s">
        <v>257</v>
      </c>
      <c r="B7" s="203" t="s">
        <v>572</v>
      </c>
      <c r="C7" s="204" t="s">
        <v>32</v>
      </c>
      <c r="D7" s="204" t="s">
        <v>144</v>
      </c>
      <c r="E7" s="203" t="s">
        <v>145</v>
      </c>
      <c r="F7" s="203" t="s">
        <v>146</v>
      </c>
    </row>
    <row r="8" spans="1:6" ht="15" customHeight="1">
      <c r="A8" s="205" t="s">
        <v>573</v>
      </c>
      <c r="B8" s="205" t="s">
        <v>574</v>
      </c>
      <c r="C8" s="206" t="s">
        <v>147</v>
      </c>
      <c r="D8" s="206" t="s">
        <v>147</v>
      </c>
      <c r="E8" s="206" t="s">
        <v>147</v>
      </c>
      <c r="F8" s="206" t="s">
        <v>148</v>
      </c>
    </row>
    <row r="9" spans="1:6" s="209" customFormat="1" ht="15" customHeight="1" thickBot="1">
      <c r="A9" s="207" t="s">
        <v>149</v>
      </c>
      <c r="B9" s="208" t="s">
        <v>150</v>
      </c>
      <c r="C9" s="208">
        <f>F1-2</f>
        <v>2013</v>
      </c>
      <c r="D9" s="208">
        <f>F1-1</f>
        <v>2014</v>
      </c>
      <c r="E9" s="208">
        <f>F1</f>
        <v>2015</v>
      </c>
      <c r="F9" s="208" t="s">
        <v>244</v>
      </c>
    </row>
    <row r="10" spans="1:6" ht="15" customHeight="1" thickTop="1">
      <c r="A10" s="210" t="s">
        <v>938</v>
      </c>
      <c r="B10" s="210"/>
      <c r="C10" s="211"/>
      <c r="D10" s="211"/>
      <c r="E10" s="211"/>
      <c r="F10" s="210"/>
    </row>
    <row r="11" spans="1:6" ht="15" customHeight="1">
      <c r="A11" s="62" t="s">
        <v>222</v>
      </c>
      <c r="B11" s="62" t="s">
        <v>261</v>
      </c>
      <c r="C11" s="212">
        <f>gen!$C$43</f>
        <v>0</v>
      </c>
      <c r="D11" s="212">
        <f>gen!$D$43</f>
        <v>0</v>
      </c>
      <c r="E11" s="212">
        <f>gen!$E$43</f>
        <v>0</v>
      </c>
      <c r="F11" s="62">
        <f>IF(C11+D11+E11&gt;0,"80-1406b","")</f>
      </c>
    </row>
    <row r="12" spans="1:6" ht="15" customHeight="1">
      <c r="A12" s="62" t="s">
        <v>222</v>
      </c>
      <c r="B12" s="62" t="s">
        <v>261</v>
      </c>
      <c r="C12" s="212">
        <f>gen!$C$45</f>
        <v>0</v>
      </c>
      <c r="D12" s="212">
        <f>gen!$D$45</f>
        <v>0</v>
      </c>
      <c r="E12" s="212">
        <f>gen!$E$45</f>
        <v>0</v>
      </c>
      <c r="F12" s="62">
        <f>IF(C12+D12+E12&gt;0,"80-122","")</f>
      </c>
    </row>
    <row r="13" spans="1:6" ht="15" customHeight="1">
      <c r="A13" s="62" t="s">
        <v>248</v>
      </c>
      <c r="B13" s="62" t="s">
        <v>261</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249</v>
      </c>
      <c r="C27" s="217">
        <f>SUM(C10:C26)</f>
        <v>0</v>
      </c>
      <c r="D27" s="217">
        <f>SUM(D10:D26)</f>
        <v>0</v>
      </c>
      <c r="E27" s="217">
        <f>SUM(E10:E26)</f>
        <v>0</v>
      </c>
      <c r="F27" s="118"/>
    </row>
    <row r="28" spans="1:6" ht="15.75">
      <c r="A28" s="118"/>
      <c r="B28" s="216" t="s">
        <v>571</v>
      </c>
      <c r="C28" s="118"/>
      <c r="D28" s="213"/>
      <c r="E28" s="213"/>
      <c r="F28" s="118"/>
    </row>
    <row r="29" spans="1:6" ht="15.75">
      <c r="A29" s="118"/>
      <c r="B29" s="168" t="s">
        <v>151</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575</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285</v>
      </c>
    </row>
    <row r="2" ht="15.75">
      <c r="A2" s="69"/>
    </row>
    <row r="3" ht="51" customHeight="1">
      <c r="A3" s="369" t="s">
        <v>670</v>
      </c>
    </row>
    <row r="4" ht="17.25" customHeight="1">
      <c r="A4" s="369"/>
    </row>
    <row r="5" ht="15.75">
      <c r="A5" s="69"/>
    </row>
    <row r="6" ht="52.5" customHeight="1">
      <c r="A6" s="153" t="s">
        <v>326</v>
      </c>
    </row>
    <row r="7" ht="15.75">
      <c r="A7" s="69"/>
    </row>
    <row r="8" ht="15.75">
      <c r="A8" s="69"/>
    </row>
    <row r="9" ht="70.5" customHeight="1">
      <c r="A9" s="153" t="s">
        <v>327</v>
      </c>
    </row>
    <row r="10" ht="15.75">
      <c r="A10" s="154"/>
    </row>
    <row r="11" ht="15.75">
      <c r="A11" s="154"/>
    </row>
    <row r="12" ht="63">
      <c r="A12" s="456" t="s">
        <v>671</v>
      </c>
    </row>
    <row r="13" ht="15.75">
      <c r="A13" s="154"/>
    </row>
    <row r="14" ht="15.75">
      <c r="A14" s="154"/>
    </row>
    <row r="15" ht="63">
      <c r="A15" s="456" t="s">
        <v>672</v>
      </c>
    </row>
    <row r="16" ht="15.75">
      <c r="A16" s="154"/>
    </row>
    <row r="17" ht="15.75">
      <c r="A17" s="69"/>
    </row>
    <row r="18" ht="56.25" customHeight="1">
      <c r="A18" s="153" t="s">
        <v>328</v>
      </c>
    </row>
    <row r="19" ht="15.75">
      <c r="A19" s="154"/>
    </row>
    <row r="20" ht="15.75">
      <c r="A20" s="154"/>
    </row>
    <row r="21" ht="87.75" customHeight="1">
      <c r="A21" s="153" t="s">
        <v>329</v>
      </c>
    </row>
    <row r="22" ht="15.75">
      <c r="A22" s="154"/>
    </row>
    <row r="23" ht="15.75">
      <c r="A23" s="69"/>
    </row>
    <row r="24" ht="54.75" customHeight="1">
      <c r="A24" s="153" t="s">
        <v>330</v>
      </c>
    </row>
    <row r="25" ht="15.75">
      <c r="A25" s="69"/>
    </row>
    <row r="26" ht="15.75" customHeight="1">
      <c r="A26" s="69"/>
    </row>
    <row r="27" ht="69" customHeight="1">
      <c r="A27" s="153" t="s">
        <v>331</v>
      </c>
    </row>
    <row r="28" ht="15.75" customHeight="1">
      <c r="A28" s="153"/>
    </row>
    <row r="29" ht="15.75" customHeight="1">
      <c r="A29" s="153"/>
    </row>
    <row r="30" ht="87" customHeight="1">
      <c r="A30" s="153" t="s">
        <v>720</v>
      </c>
    </row>
    <row r="31" ht="15.75">
      <c r="A31" s="69"/>
    </row>
    <row r="32" ht="15.75">
      <c r="A32" s="198"/>
    </row>
    <row r="33" ht="47.25" customHeight="1">
      <c r="A33" s="199" t="s">
        <v>332</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DeeAnn</cp:lastModifiedBy>
  <cp:lastPrinted>2014-07-29T16:16:38Z</cp:lastPrinted>
  <dcterms:created xsi:type="dcterms:W3CDTF">1998-08-26T16:30:41Z</dcterms:created>
  <dcterms:modified xsi:type="dcterms:W3CDTF">2014-10-01T14:05:56Z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