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4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Library Grant" sheetId="12" r:id="rId12"/>
    <sheet name="road" sheetId="13" r:id="rId13"/>
    <sheet name="DebtSvs-Library" sheetId="14" r:id="rId14"/>
    <sheet name="Fire" sheetId="15" r:id="rId15"/>
    <sheet name="summ" sheetId="16" r:id="rId16"/>
    <sheet name="SpecRoad&amp;Noxious" sheetId="17" r:id="rId17"/>
    <sheet name="levypage11" sheetId="18" r:id="rId18"/>
    <sheet name="levypage12" sheetId="19" r:id="rId19"/>
    <sheet name="nolevypage13" sheetId="20" r:id="rId20"/>
    <sheet name="nolevypage14" sheetId="21" r:id="rId21"/>
    <sheet name="nonbud" sheetId="22" r:id="rId22"/>
    <sheet name="NonBudFunds"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3">'DebtSvs-Library'!$B$1:$E$83</definedName>
    <definedName name="_xlnm.Print_Area" localSheetId="14">'Fire'!$A$1:$E$90</definedName>
    <definedName name="_xlnm.Print_Area" localSheetId="10">'gen'!$B$1:$E$61</definedName>
    <definedName name="_xlnm.Print_Area" localSheetId="1">'inputPrYr'!$A$1:$E$93</definedName>
    <definedName name="_xlnm.Print_Area" localSheetId="17">'levypage11'!$A$1:$E$90</definedName>
    <definedName name="_xlnm.Print_Area" localSheetId="18">'levypage12'!$A$1:$E$90</definedName>
    <definedName name="_xlnm.Print_Area" localSheetId="11">'Library Grant'!$A$1:$J$40</definedName>
    <definedName name="_xlnm.Print_Area" localSheetId="12">'road'!$B$1:$E$67</definedName>
    <definedName name="_xlnm.Print_Area" localSheetId="16">'SpecRoad&amp;Noxious'!$A$1:$E$90</definedName>
    <definedName name="_xlnm.Print_Area" localSheetId="15">'summ'!$A$2:$H$54</definedName>
  </definedNames>
  <calcPr fullCalcOnLoad="1"/>
</workbook>
</file>

<file path=xl/sharedStrings.xml><?xml version="1.0" encoding="utf-8"?>
<sst xmlns="http://schemas.openxmlformats.org/spreadsheetml/2006/main" count="1711" uniqueCount="973">
  <si>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</si>
  <si>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</si>
  <si>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</si>
  <si>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</si>
  <si>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</si>
  <si>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</si>
  <si>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</si>
  <si>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</si>
  <si>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</si>
  <si>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</si>
  <si>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</si>
  <si>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</si>
  <si>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</si>
  <si>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</si>
  <si>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</si>
  <si>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</si>
  <si>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</si>
  <si>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</si>
  <si>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</si>
  <si>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</si>
  <si>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</si>
  <si>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</si>
  <si>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</si>
  <si>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</si>
  <si>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</si>
  <si>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</si>
  <si>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</si>
  <si>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</si>
  <si>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</si>
  <si>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</si>
  <si>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</si>
  <si>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</si>
  <si>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</si>
  <si>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</si>
  <si>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</si>
  <si>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</si>
  <si>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</si>
  <si>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</si>
  <si>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</si>
  <si>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</si>
  <si>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</si>
  <si>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</si>
  <si>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</si>
  <si>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</si>
  <si>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</si>
  <si>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</si>
  <si>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</si>
  <si>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</si>
  <si>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</si>
  <si>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</si>
  <si>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</si>
  <si>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</si>
  <si>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</si>
  <si>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</si>
  <si>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</si>
  <si>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</si>
  <si>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</si>
  <si>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</si>
  <si>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13.</t>
  </si>
  <si>
    <t>14.</t>
  </si>
  <si>
    <t>Unencumbered Cash Balance January 1</t>
  </si>
  <si>
    <t>Unencumbered Cash Balance Dec 31</t>
  </si>
  <si>
    <t>Receipts:</t>
  </si>
  <si>
    <t>16/20M Veh</t>
  </si>
  <si>
    <t>Outstanding</t>
  </si>
  <si>
    <t>(Beginning Principal)</t>
  </si>
  <si>
    <t>County Clerk's Use Only</t>
  </si>
  <si>
    <t>Buildings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</si>
  <si>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</si>
  <si>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</si>
  <si>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</si>
  <si>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</si>
  <si>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</si>
  <si>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</si>
  <si>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</si>
  <si>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</si>
  <si>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</si>
  <si>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</si>
  <si>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</si>
  <si>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</si>
  <si>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</si>
  <si>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</si>
  <si>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</si>
  <si>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</si>
  <si>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</si>
  <si>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</si>
  <si>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</si>
  <si>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</si>
  <si>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</si>
  <si>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</si>
  <si>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</si>
  <si>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</si>
  <si>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</si>
  <si>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</si>
  <si>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</si>
  <si>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</si>
  <si>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</si>
  <si>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</si>
  <si>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</si>
  <si>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</si>
  <si>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</si>
  <si>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</si>
  <si>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</si>
  <si>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</si>
  <si>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</si>
  <si>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</si>
  <si>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</si>
  <si>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</si>
  <si>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</si>
  <si>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</si>
  <si>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</si>
  <si>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</si>
  <si>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</si>
  <si>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</si>
  <si>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</si>
  <si>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</si>
  <si>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</si>
  <si>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</si>
  <si>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</si>
  <si>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</si>
  <si>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</si>
  <si>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</si>
  <si>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</si>
  <si>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</si>
  <si>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</si>
  <si>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</si>
  <si>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</si>
  <si>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</si>
  <si>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</si>
  <si>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</si>
  <si>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</si>
  <si>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</si>
  <si>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</si>
  <si>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</si>
  <si>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</si>
  <si>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</si>
  <si>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</si>
  <si>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</si>
  <si>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</si>
  <si>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</si>
  <si>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</si>
  <si>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</si>
  <si>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</si>
  <si>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</si>
  <si>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</si>
  <si>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</si>
  <si>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</si>
  <si>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</si>
  <si>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</si>
  <si>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</si>
  <si>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</si>
  <si>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</si>
  <si>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</si>
  <si>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</si>
  <si>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</si>
  <si>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</si>
  <si>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</si>
  <si>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</si>
  <si>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</si>
  <si>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</si>
  <si>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</si>
  <si>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</si>
  <si>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</si>
  <si>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</si>
  <si>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</si>
  <si>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</si>
  <si>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</si>
  <si>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</si>
  <si>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</si>
  <si>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</si>
  <si>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</si>
  <si>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</si>
  <si>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</si>
  <si>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</si>
  <si>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</si>
  <si>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</si>
  <si>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</si>
  <si>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</si>
  <si>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</si>
  <si>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</si>
  <si>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</si>
  <si>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</si>
  <si>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</si>
  <si>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</si>
  <si>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</si>
  <si>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</si>
  <si>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</si>
  <si>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</si>
  <si>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</si>
  <si>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</si>
  <si>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</si>
  <si>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</si>
  <si>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</si>
  <si>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</si>
  <si>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</si>
  <si>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</si>
  <si>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</si>
  <si>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</si>
  <si>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</si>
  <si>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</si>
  <si>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</si>
  <si>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</si>
  <si>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</si>
  <si>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</si>
  <si>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</si>
  <si>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</si>
  <si>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</si>
  <si>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</si>
  <si>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</si>
  <si>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</si>
  <si>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</si>
  <si>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</si>
  <si>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</si>
  <si>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</si>
  <si>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</si>
  <si>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</si>
  <si>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</si>
  <si>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</si>
  <si>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</si>
  <si>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</si>
  <si>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</si>
  <si>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</si>
  <si>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</si>
  <si>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</si>
  <si>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</si>
  <si>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</si>
  <si>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</si>
  <si>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</si>
  <si>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</si>
  <si>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</si>
  <si>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</si>
  <si>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</si>
  <si>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</si>
  <si>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</si>
  <si>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</si>
  <si>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</si>
  <si>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</si>
  <si>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</si>
  <si>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</si>
  <si>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</si>
  <si>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</si>
  <si>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</si>
  <si>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</si>
  <si>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</si>
  <si>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</si>
  <si>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</si>
  <si>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</si>
  <si>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</si>
  <si>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</si>
  <si>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</si>
  <si>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</si>
  <si>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</si>
  <si>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</si>
  <si>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</si>
  <si>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</si>
  <si>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</si>
  <si>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</si>
  <si>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</si>
  <si>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</si>
  <si>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</si>
  <si>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</si>
  <si>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</si>
  <si>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</si>
  <si>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</si>
  <si>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</si>
  <si>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</si>
  <si>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</si>
  <si>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</si>
  <si>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</si>
  <si>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</si>
  <si>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</si>
  <si>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</si>
  <si>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</si>
  <si>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</si>
  <si>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</si>
  <si>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</si>
  <si>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</si>
  <si>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</si>
  <si>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</si>
  <si>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</si>
  <si>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</si>
  <si>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</si>
  <si>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</si>
  <si>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</si>
  <si>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</si>
  <si>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</si>
  <si>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</si>
  <si>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</si>
  <si>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</si>
  <si>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</si>
  <si>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</si>
  <si>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</si>
  <si>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</si>
  <si>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</si>
  <si>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</si>
  <si>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</si>
  <si>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</si>
  <si>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</si>
  <si>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</si>
  <si>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</si>
  <si>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</si>
  <si>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</si>
  <si>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</si>
  <si>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</si>
  <si>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</si>
  <si>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</si>
  <si>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</si>
  <si>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</si>
  <si>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</si>
  <si>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</si>
  <si>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</si>
  <si>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</si>
  <si>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</si>
  <si>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</si>
  <si>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</si>
  <si>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</si>
  <si>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</si>
  <si>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</si>
  <si>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</si>
  <si>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</si>
  <si>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</si>
  <si>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</si>
  <si>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</si>
  <si>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</si>
  <si>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</si>
  <si>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</si>
  <si>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</si>
  <si>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</si>
  <si>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</si>
  <si>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</si>
  <si>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</si>
  <si>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</si>
  <si>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</si>
  <si>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</si>
  <si>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</si>
  <si>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</si>
  <si>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</si>
  <si>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</si>
  <si>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</si>
  <si>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</si>
  <si>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</si>
  <si>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</si>
  <si>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</si>
  <si>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</si>
  <si>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</si>
  <si>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</si>
  <si>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</si>
  <si>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</si>
  <si>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</si>
  <si>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</si>
  <si>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</si>
  <si>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</si>
  <si>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</si>
  <si>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</si>
  <si>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</si>
  <si>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</si>
  <si>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</si>
  <si>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</si>
  <si>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</si>
  <si>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</si>
  <si>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</si>
  <si>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</si>
  <si>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</si>
  <si>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</si>
  <si>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</si>
  <si>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</si>
  <si>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</si>
  <si>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</si>
  <si>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</si>
  <si>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</si>
  <si>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</si>
  <si>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</si>
  <si>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</si>
  <si>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</si>
  <si>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</si>
  <si>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</si>
  <si>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</si>
  <si>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</si>
  <si>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</si>
  <si>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</si>
  <si>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</si>
  <si>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</si>
  <si>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</si>
  <si>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</si>
  <si>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</si>
  <si>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</si>
  <si>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</si>
  <si>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</si>
  <si>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</si>
  <si>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</si>
  <si>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</si>
  <si>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</si>
  <si>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</si>
  <si>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</si>
  <si>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</si>
  <si>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</si>
  <si>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</si>
  <si>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</si>
  <si>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</si>
  <si>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</si>
  <si>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</si>
  <si>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</si>
  <si>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</si>
  <si>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</si>
  <si>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</si>
  <si>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</si>
  <si>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</si>
  <si>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</si>
  <si>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</si>
  <si>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</si>
  <si>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</si>
  <si>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</si>
  <si>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</si>
  <si>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</si>
  <si>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</si>
  <si>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</si>
  <si>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</si>
  <si>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</si>
  <si>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</si>
  <si>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</si>
  <si>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</si>
  <si>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</si>
  <si>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</si>
  <si>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</si>
  <si>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</si>
  <si>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</si>
  <si>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</si>
  <si>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</si>
  <si>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</si>
  <si>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</si>
  <si>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</si>
  <si>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</si>
  <si>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</si>
  <si>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</si>
  <si>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</si>
  <si>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</si>
  <si>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</si>
  <si>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</si>
  <si>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</si>
  <si>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</si>
  <si>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</si>
  <si>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</si>
  <si>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</si>
  <si>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</si>
  <si>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</si>
  <si>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</si>
  <si>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</si>
  <si>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</si>
  <si>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</si>
  <si>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</si>
  <si>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</si>
  <si>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</si>
  <si>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</si>
  <si>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</si>
  <si>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</si>
  <si>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</si>
  <si>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</si>
  <si>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</si>
  <si>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</si>
  <si>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</si>
  <si>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</si>
  <si>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</si>
  <si>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</si>
  <si>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</si>
  <si>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</si>
  <si>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</si>
  <si>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</si>
  <si>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</si>
  <si>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</si>
  <si>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</si>
  <si>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</si>
  <si>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</si>
  <si>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</si>
  <si>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</si>
  <si>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</si>
  <si>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</si>
  <si>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</si>
  <si>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</si>
  <si>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</si>
  <si>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</si>
  <si>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</si>
  <si>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</si>
  <si>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</si>
  <si>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</si>
  <si>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</si>
  <si>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</si>
  <si>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</si>
  <si>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</si>
  <si>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</si>
  <si>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</si>
  <si>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</si>
  <si>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</si>
  <si>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</si>
  <si>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</si>
  <si>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</si>
  <si>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</si>
  <si>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</si>
  <si>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</si>
  <si>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</si>
  <si>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</si>
  <si>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</si>
  <si>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</si>
  <si>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</si>
  <si>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</si>
  <si>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</si>
  <si>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</si>
  <si>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</si>
  <si>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</si>
  <si>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</si>
  <si>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</si>
  <si>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</si>
  <si>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</si>
  <si>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</si>
  <si>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</si>
  <si>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</si>
  <si>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</si>
  <si>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</si>
  <si>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</si>
  <si>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</si>
  <si>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</si>
  <si>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</si>
  <si>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</si>
  <si>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</si>
  <si>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</si>
  <si>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</si>
  <si>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</si>
  <si>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</si>
  <si>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</si>
  <si>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</si>
  <si>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</si>
  <si>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</si>
  <si>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</si>
  <si>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</si>
  <si>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</si>
  <si>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</si>
  <si>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</si>
  <si>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</si>
  <si>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</si>
  <si>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</si>
  <si>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</si>
  <si>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</si>
  <si>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</si>
  <si>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</si>
  <si>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</si>
  <si>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</si>
  <si>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</si>
  <si>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</si>
  <si>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</si>
  <si>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</si>
  <si>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</si>
  <si>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</si>
  <si>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</si>
  <si>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</si>
  <si>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</si>
  <si>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</si>
  <si>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</si>
  <si>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</si>
  <si>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</si>
  <si>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</si>
  <si>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</si>
  <si>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</si>
  <si>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</si>
  <si>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</si>
  <si>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</si>
  <si>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</si>
  <si>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</si>
  <si>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</si>
  <si>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</si>
  <si>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</si>
  <si>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</si>
  <si>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</si>
  <si>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</si>
  <si>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</si>
  <si>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</si>
  <si>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</si>
  <si>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</si>
  <si>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</si>
  <si>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</si>
  <si>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</si>
  <si>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</si>
  <si>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</si>
  <si>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</si>
  <si>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</si>
  <si>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</si>
  <si>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</si>
  <si>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</si>
  <si>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</si>
  <si>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</si>
  <si>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</si>
  <si>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</si>
  <si>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</si>
  <si>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</si>
  <si>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</si>
  <si>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</si>
  <si>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</si>
  <si>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</si>
  <si>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</si>
  <si>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</si>
  <si>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</si>
  <si>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</si>
  <si>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</si>
  <si>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</si>
  <si>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</si>
  <si>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</si>
  <si>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</si>
  <si>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</si>
  <si>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</si>
  <si>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</si>
  <si>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</si>
  <si>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</si>
  <si>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</si>
  <si>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</si>
  <si>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</si>
  <si>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</si>
  <si>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</si>
  <si>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</si>
  <si>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</si>
  <si>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</si>
  <si>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</si>
  <si>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</si>
  <si>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</si>
  <si>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</si>
  <si>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</si>
  <si>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</si>
  <si>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</si>
  <si>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</si>
  <si>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</si>
  <si>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</si>
  <si>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</si>
  <si>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</si>
  <si>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</si>
  <si>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</si>
  <si>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</si>
  <si>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</si>
  <si>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</si>
  <si>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</si>
  <si>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</si>
  <si>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</si>
  <si>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</si>
  <si>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</si>
  <si>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</si>
  <si>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</si>
  <si>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</si>
  <si>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</si>
  <si>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</si>
  <si>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</si>
  <si>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</si>
  <si>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</si>
  <si>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</si>
  <si>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</si>
  <si>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</si>
  <si>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</si>
  <si>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</si>
  <si>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</si>
  <si>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</si>
  <si>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</si>
  <si>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</si>
  <si>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</si>
  <si>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</si>
  <si>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</si>
  <si>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</si>
  <si>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</si>
  <si>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</si>
  <si>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</si>
  <si>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</si>
  <si>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</si>
  <si>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</si>
  <si>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</si>
  <si>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</si>
  <si>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</si>
  <si>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</si>
  <si>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</si>
  <si>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</si>
  <si>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</si>
  <si>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</si>
  <si>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</si>
  <si>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</si>
  <si>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</si>
  <si>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</si>
  <si>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</si>
  <si>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</si>
  <si>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</si>
  <si>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</si>
  <si>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</si>
  <si>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</si>
  <si>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</si>
  <si>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</si>
  <si>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</si>
  <si>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</si>
  <si>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</si>
  <si>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</si>
  <si>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</si>
  <si>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</si>
  <si>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</si>
  <si>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</si>
  <si>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</si>
  <si>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</si>
  <si>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</si>
  <si>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</si>
  <si>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</si>
  <si>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</si>
  <si>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</si>
  <si>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</si>
  <si>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</si>
  <si>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</si>
  <si>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</si>
  <si>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</si>
  <si>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</si>
  <si>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</si>
  <si>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</si>
  <si>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</si>
  <si>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</si>
  <si>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</si>
  <si>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</si>
  <si>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</si>
  <si>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</si>
  <si>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</si>
  <si>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</si>
  <si>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</si>
  <si>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</si>
  <si>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</si>
  <si>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</si>
  <si>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</si>
  <si>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</si>
  <si>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</si>
  <si>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</si>
  <si>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</si>
  <si>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</si>
  <si>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</si>
  <si>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</si>
  <si>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</si>
  <si>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</si>
  <si>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</si>
  <si>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</si>
  <si>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</si>
  <si>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</si>
  <si>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</si>
  <si>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</si>
  <si>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</si>
  <si>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</si>
  <si>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</si>
  <si>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</si>
  <si>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</si>
  <si>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</si>
  <si>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</si>
  <si>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</si>
  <si>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</si>
  <si>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</si>
  <si>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</si>
  <si>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</si>
  <si>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</si>
  <si>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</si>
  <si>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</si>
  <si>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</si>
  <si>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</si>
  <si>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</si>
  <si>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</si>
  <si>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</si>
  <si>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</si>
  <si>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</si>
  <si>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</si>
  <si>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</si>
  <si>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</si>
  <si>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</si>
  <si>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</si>
  <si>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</si>
  <si>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</si>
  <si>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</si>
  <si>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</si>
  <si>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</si>
  <si>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</si>
  <si>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</si>
  <si>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</si>
  <si>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</si>
  <si>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</si>
  <si>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</si>
  <si>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</si>
  <si>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</si>
  <si>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</si>
  <si>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</si>
  <si>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</si>
  <si>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</si>
  <si>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</si>
  <si>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</si>
  <si>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</si>
  <si>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</si>
  <si>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</si>
  <si>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</si>
  <si>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</si>
  <si>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</si>
  <si>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</si>
  <si>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</si>
  <si>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</si>
  <si>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</si>
  <si>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</si>
  <si>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</si>
  <si>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</si>
  <si>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</si>
  <si>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</si>
  <si>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</si>
  <si>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</si>
  <si>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</si>
  <si>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</si>
  <si>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</si>
  <si>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</si>
  <si>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</si>
  <si>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</si>
  <si>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</si>
  <si>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</si>
  <si>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</si>
  <si>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</si>
  <si>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</si>
  <si>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</si>
  <si>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</si>
  <si>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</si>
  <si>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</si>
  <si>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</si>
  <si>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</si>
  <si>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</si>
  <si>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</si>
  <si>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</si>
  <si>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</si>
  <si>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</si>
  <si>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</si>
  <si>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</si>
  <si>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</si>
  <si>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</si>
  <si>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</si>
  <si>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</si>
  <si>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</si>
  <si>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</si>
  <si>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</si>
  <si>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</si>
  <si>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</si>
  <si>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</si>
  <si>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</si>
  <si>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</si>
  <si>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</si>
  <si>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</si>
  <si>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</si>
  <si>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</si>
  <si>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</si>
  <si>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</si>
  <si>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</si>
  <si>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</si>
  <si>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</si>
  <si>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</si>
  <si>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</si>
  <si>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</si>
  <si>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</si>
  <si>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</si>
  <si>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</si>
  <si>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</si>
  <si>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</si>
  <si>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</si>
  <si>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</si>
  <si>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</si>
  <si>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</si>
  <si>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</si>
  <si>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</si>
  <si>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</si>
  <si>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</si>
  <si>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</si>
  <si>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</si>
  <si>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</si>
  <si>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</si>
  <si>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</si>
  <si>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</si>
  <si>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</si>
  <si>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</si>
  <si>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</si>
  <si>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</si>
  <si>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</si>
  <si>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</si>
  <si>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</si>
  <si>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</si>
  <si>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</si>
  <si>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</si>
  <si>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</si>
  <si>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</si>
  <si>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</si>
  <si>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</si>
  <si>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</si>
  <si>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</si>
  <si>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</si>
  <si>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</si>
  <si>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</si>
  <si>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</si>
  <si>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</si>
  <si>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</si>
  <si>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</si>
  <si>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</si>
  <si>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</si>
  <si>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</si>
  <si>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</si>
  <si>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</si>
  <si>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</si>
  <si>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</si>
  <si>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</si>
  <si>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</si>
  <si>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</si>
  <si>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</si>
  <si>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</si>
  <si>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</si>
  <si>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</si>
  <si>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</si>
  <si>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</si>
  <si>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</si>
  <si>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</si>
  <si>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</si>
  <si>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</si>
  <si>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</si>
  <si>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</si>
  <si>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</si>
  <si>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</si>
  <si>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</si>
  <si>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</si>
  <si>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</si>
  <si>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</si>
  <si>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</si>
  <si>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</si>
  <si>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</si>
  <si>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</si>
  <si>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</si>
  <si>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</si>
  <si>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</si>
  <si>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</si>
  <si>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</si>
  <si>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</si>
  <si>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</si>
  <si>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</si>
  <si>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</si>
  <si>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</si>
  <si>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</si>
  <si>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</si>
  <si>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</si>
  <si>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</si>
  <si>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</si>
  <si>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</si>
  <si>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</si>
  <si>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</si>
  <si>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</si>
  <si>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</si>
  <si>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</si>
  <si>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</si>
  <si>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</si>
  <si>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</si>
  <si>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</si>
  <si>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</si>
  <si>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</si>
  <si>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</si>
  <si>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</si>
  <si>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</si>
  <si>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</si>
  <si>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</si>
  <si>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Greeley Township</t>
  </si>
  <si>
    <t>Sedgwick County</t>
  </si>
  <si>
    <t>City of Mount Hope</t>
  </si>
  <si>
    <t>Lot sale</t>
  </si>
  <si>
    <t>Labor</t>
  </si>
  <si>
    <t>Operating Expenses</t>
  </si>
  <si>
    <t>Cemetery</t>
  </si>
  <si>
    <t>John Deere Grader</t>
  </si>
  <si>
    <t>Refund</t>
  </si>
  <si>
    <t>Materials/Supplies (Road)</t>
  </si>
  <si>
    <t>Noxious Weeds</t>
  </si>
  <si>
    <t>Watercraft Tax</t>
  </si>
  <si>
    <t>Keith Hamill</t>
  </si>
  <si>
    <t>Greeley Township Treasurer</t>
  </si>
  <si>
    <t>Greeley Township Hall, Mt. Hope, KS</t>
  </si>
  <si>
    <t>Sedgwick County Clerk's Office, 525 N Main, #211, Wichita</t>
  </si>
  <si>
    <t>August 21, 2014</t>
  </si>
  <si>
    <t>7:00 pm</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</si>
</sst>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
      <patternFill patternType="solid">
        <fgColor rgb="FF00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9">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81" applyNumberFormat="1" applyFont="1" applyFill="1" applyAlignment="1" applyProtection="1">
      <alignment vertical="center"/>
      <protection/>
    </xf>
    <xf numFmtId="0" fontId="6" fillId="4" borderId="0" xfId="581" applyFont="1" applyFill="1" applyAlignment="1" applyProtection="1">
      <alignment vertical="center"/>
      <protection/>
    </xf>
    <xf numFmtId="0" fontId="6" fillId="0" borderId="0" xfId="581"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81" applyFont="1" applyFill="1" applyBorder="1" applyAlignment="1" applyProtection="1">
      <alignment horizontal="left" vertical="center"/>
      <protection/>
    </xf>
    <xf numFmtId="0" fontId="5" fillId="4" borderId="26" xfId="581" applyFont="1" applyFill="1" applyBorder="1" applyAlignment="1" applyProtection="1">
      <alignment vertical="center"/>
      <protection/>
    </xf>
    <xf numFmtId="37" fontId="5" fillId="9" borderId="10" xfId="581" applyNumberFormat="1" applyFont="1" applyFill="1" applyBorder="1" applyAlignment="1" applyProtection="1">
      <alignment vertical="center"/>
      <protection/>
    </xf>
    <xf numFmtId="0" fontId="6" fillId="4" borderId="0" xfId="582" applyFont="1" applyFill="1" applyAlignment="1" applyProtection="1">
      <alignment horizontal="centerContinuous" vertical="center"/>
      <protection/>
    </xf>
    <xf numFmtId="0" fontId="6" fillId="4" borderId="0" xfId="582" applyFont="1" applyFill="1" applyAlignment="1" applyProtection="1">
      <alignment vertical="center"/>
      <protection/>
    </xf>
    <xf numFmtId="0" fontId="6" fillId="0" borderId="0" xfId="582"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82" applyFont="1" applyFill="1" applyBorder="1" applyAlignment="1" applyProtection="1">
      <alignment vertical="center"/>
      <protection/>
    </xf>
    <xf numFmtId="0" fontId="6" fillId="4" borderId="0" xfId="582"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8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8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8"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5" applyFont="1">
      <alignment/>
      <protection/>
    </xf>
    <xf numFmtId="0" fontId="4" fillId="0" borderId="0" xfId="245"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81" applyFont="1" applyFill="1" applyBorder="1" applyAlignment="1" applyProtection="1">
      <alignment vertical="center"/>
      <protection/>
    </xf>
    <xf numFmtId="0" fontId="5" fillId="4" borderId="12" xfId="581" applyFont="1" applyFill="1" applyBorder="1" applyAlignment="1" applyProtection="1">
      <alignment vertical="center"/>
      <protection/>
    </xf>
    <xf numFmtId="3" fontId="5" fillId="4" borderId="13" xfId="581" applyNumberFormat="1" applyFont="1" applyFill="1" applyBorder="1" applyAlignment="1" applyProtection="1">
      <alignment vertical="center"/>
      <protection/>
    </xf>
    <xf numFmtId="0" fontId="5" fillId="4" borderId="13" xfId="581" applyFont="1" applyFill="1" applyBorder="1" applyAlignment="1" applyProtection="1">
      <alignment vertical="center"/>
      <protection/>
    </xf>
    <xf numFmtId="0" fontId="5" fillId="4" borderId="10" xfId="581" applyFont="1" applyFill="1" applyBorder="1" applyAlignment="1" applyProtection="1">
      <alignment horizontal="center" vertical="center"/>
      <protection/>
    </xf>
    <xf numFmtId="0" fontId="45" fillId="0" borderId="0" xfId="0" applyFont="1" applyAlignment="1">
      <alignment/>
    </xf>
    <xf numFmtId="49" fontId="6" fillId="0" borderId="0" xfId="546" applyNumberFormat="1" applyFont="1" applyFill="1" applyAlignment="1" applyProtection="1">
      <alignment horizontal="left" vertical="center"/>
      <protection locked="0"/>
    </xf>
    <xf numFmtId="0" fontId="6" fillId="0" borderId="0" xfId="546" applyFont="1" applyAlignment="1">
      <alignment horizontal="left" vertical="center"/>
      <protection/>
    </xf>
    <xf numFmtId="0" fontId="46" fillId="0" borderId="0" xfId="546" applyFont="1">
      <alignment/>
      <protection/>
    </xf>
    <xf numFmtId="183" fontId="47" fillId="0" borderId="0" xfId="546" applyNumberFormat="1" applyFont="1" applyAlignment="1">
      <alignment horizontal="left" vertical="center"/>
      <protection/>
    </xf>
    <xf numFmtId="0" fontId="47" fillId="0" borderId="0" xfId="546" applyNumberFormat="1" applyFont="1" applyAlignment="1">
      <alignment horizontal="left" vertical="center"/>
      <protection/>
    </xf>
    <xf numFmtId="1" fontId="47" fillId="0" borderId="0" xfId="546" applyNumberFormat="1" applyFont="1" applyAlignment="1">
      <alignment horizontal="left" vertical="center"/>
      <protection/>
    </xf>
    <xf numFmtId="0" fontId="48" fillId="0" borderId="0" xfId="546"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8" applyFill="1">
      <alignment/>
      <protection/>
    </xf>
    <xf numFmtId="0" fontId="6" fillId="0" borderId="0" xfId="239" applyFont="1" applyAlignment="1">
      <alignment vertical="center"/>
      <protection/>
    </xf>
    <xf numFmtId="0" fontId="49" fillId="4" borderId="13" xfId="239" applyFont="1" applyFill="1" applyBorder="1" applyAlignment="1">
      <alignment horizontal="center" vertical="center"/>
      <protection/>
    </xf>
    <xf numFmtId="0" fontId="5" fillId="4" borderId="12" xfId="239" applyFont="1" applyFill="1" applyBorder="1" applyAlignment="1">
      <alignment horizontal="centerContinuous" vertical="center"/>
      <protection/>
    </xf>
    <xf numFmtId="0" fontId="6" fillId="0" borderId="0" xfId="157" applyFont="1" applyAlignment="1">
      <alignment vertical="center"/>
      <protection/>
    </xf>
    <xf numFmtId="0" fontId="6" fillId="0" borderId="0" xfId="239"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0" applyNumberFormat="1"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68" fillId="29" borderId="0" xfId="451" applyFill="1" applyBorder="1">
      <alignment/>
      <protection/>
    </xf>
    <xf numFmtId="0" fontId="68" fillId="29" borderId="0" xfId="451" applyFill="1" applyBorder="1" applyAlignment="1">
      <alignment horizontal="left" vertical="center"/>
      <protection/>
    </xf>
    <xf numFmtId="0" fontId="68" fillId="29" borderId="0" xfId="451" applyFill="1" applyBorder="1" applyAlignment="1">
      <alignment horizontal="center" vertical="center"/>
      <protection/>
    </xf>
    <xf numFmtId="0" fontId="50" fillId="0" borderId="0" xfId="96" applyFont="1">
      <alignment/>
      <protection/>
    </xf>
    <xf numFmtId="0" fontId="68" fillId="29" borderId="0" xfId="451" applyFill="1">
      <alignment/>
      <protection/>
    </xf>
    <xf numFmtId="0" fontId="76" fillId="29" borderId="0" xfId="451" applyFont="1" applyFill="1" applyBorder="1">
      <alignment/>
      <protection/>
    </xf>
    <xf numFmtId="0" fontId="76" fillId="29" borderId="32" xfId="451" applyFont="1" applyFill="1" applyBorder="1">
      <alignment/>
      <protection/>
    </xf>
    <xf numFmtId="0" fontId="76" fillId="29" borderId="36" xfId="451" applyFont="1" applyFill="1" applyBorder="1">
      <alignment/>
      <protection/>
    </xf>
    <xf numFmtId="0" fontId="76" fillId="29" borderId="33" xfId="451" applyFont="1" applyFill="1" applyBorder="1">
      <alignment/>
      <protection/>
    </xf>
    <xf numFmtId="0" fontId="76" fillId="29" borderId="34" xfId="451" applyFont="1" applyFill="1" applyBorder="1">
      <alignment/>
      <protection/>
    </xf>
    <xf numFmtId="0" fontId="76" fillId="29" borderId="0" xfId="451" applyFont="1" applyFill="1" applyBorder="1" applyAlignment="1">
      <alignment horizontal="center"/>
      <protection/>
    </xf>
    <xf numFmtId="0" fontId="76" fillId="29" borderId="0" xfId="451" applyFont="1" applyFill="1" applyBorder="1" applyAlignment="1">
      <alignment horizontal="right"/>
      <protection/>
    </xf>
    <xf numFmtId="0" fontId="76" fillId="29" borderId="35" xfId="451" applyFont="1" applyFill="1" applyBorder="1">
      <alignment/>
      <protection/>
    </xf>
    <xf numFmtId="3" fontId="76" fillId="29" borderId="11" xfId="451" applyNumberFormat="1" applyFont="1" applyFill="1" applyBorder="1">
      <alignment/>
      <protection/>
    </xf>
    <xf numFmtId="3" fontId="76" fillId="29" borderId="12" xfId="451" applyNumberFormat="1" applyFont="1" applyFill="1" applyBorder="1">
      <alignment/>
      <protection/>
    </xf>
    <xf numFmtId="0" fontId="76" fillId="29" borderId="11" xfId="451" applyFont="1" applyFill="1" applyBorder="1" applyAlignment="1" applyProtection="1">
      <alignment horizontal="center"/>
      <protection locked="0"/>
    </xf>
    <xf numFmtId="0" fontId="76" fillId="29" borderId="41" xfId="451"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82"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7"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51" applyFont="1" applyFill="1" applyBorder="1" applyAlignment="1">
      <alignment horizontal="left" vertical="top" wrapText="1"/>
      <protection/>
    </xf>
    <xf numFmtId="0" fontId="76" fillId="29" borderId="34" xfId="451" applyFont="1" applyFill="1" applyBorder="1" applyAlignment="1">
      <alignment horizontal="left" vertical="top" wrapText="1"/>
      <protection/>
    </xf>
    <xf numFmtId="0" fontId="76" fillId="29" borderId="35" xfId="451" applyFont="1" applyFill="1" applyBorder="1" applyAlignment="1">
      <alignment horizontal="left" vertical="top" wrapText="1"/>
      <protection/>
    </xf>
    <xf numFmtId="0" fontId="78" fillId="29" borderId="42" xfId="451" applyFont="1" applyFill="1" applyBorder="1" applyAlignment="1">
      <alignment horizontal="center"/>
      <protection/>
    </xf>
    <xf numFmtId="0" fontId="68" fillId="29" borderId="43" xfId="451" applyFill="1" applyBorder="1" applyAlignment="1">
      <alignment horizontal="center"/>
      <protection/>
    </xf>
    <xf numFmtId="0" fontId="68" fillId="29" borderId="44" xfId="451" applyFill="1" applyBorder="1" applyAlignment="1">
      <alignment horizontal="center"/>
      <protection/>
    </xf>
    <xf numFmtId="0" fontId="76" fillId="29" borderId="28" xfId="451" applyFont="1" applyFill="1" applyBorder="1" applyAlignment="1">
      <alignment horizontal="center"/>
      <protection/>
    </xf>
    <xf numFmtId="0" fontId="76" fillId="29" borderId="29" xfId="451" applyFont="1" applyFill="1" applyBorder="1" applyAlignment="1">
      <alignment horizontal="center"/>
      <protection/>
    </xf>
    <xf numFmtId="0" fontId="76" fillId="29" borderId="30" xfId="451" applyFont="1" applyFill="1" applyBorder="1" applyAlignment="1">
      <alignment horizontal="center"/>
      <protection/>
    </xf>
    <xf numFmtId="0" fontId="78" fillId="0" borderId="42" xfId="451" applyFont="1" applyBorder="1" applyAlignment="1">
      <alignment horizontal="center"/>
      <protection/>
    </xf>
    <xf numFmtId="0" fontId="78" fillId="0" borderId="43" xfId="451" applyFont="1" applyBorder="1" applyAlignment="1">
      <alignment horizontal="center"/>
      <protection/>
    </xf>
    <xf numFmtId="0" fontId="78" fillId="0" borderId="44" xfId="451" applyFont="1" applyBorder="1" applyAlignment="1">
      <alignment horizontal="center"/>
      <protection/>
    </xf>
    <xf numFmtId="0" fontId="76" fillId="29" borderId="36" xfId="451" applyFont="1" applyFill="1" applyBorder="1" applyAlignment="1">
      <alignment horizontal="center"/>
      <protection/>
    </xf>
    <xf numFmtId="0" fontId="76" fillId="29" borderId="0" xfId="451" applyFont="1" applyFill="1" applyBorder="1" applyAlignment="1">
      <alignment horizontal="center"/>
      <protection/>
    </xf>
    <xf numFmtId="0" fontId="76" fillId="29" borderId="32" xfId="451" applyFont="1"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187" fontId="35" fillId="4" borderId="0" xfId="0" applyNumberFormat="1" applyFont="1" applyFill="1" applyBorder="1" applyAlignment="1">
      <alignment horizontal="center"/>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5" fillId="4" borderId="0" xfId="0" applyFont="1" applyFill="1" applyBorder="1" applyAlignment="1">
      <alignment horizontal="center"/>
    </xf>
    <xf numFmtId="49" fontId="6" fillId="22" borderId="0" xfId="546" applyNumberFormat="1" applyFont="1" applyFill="1" applyAlignment="1" applyProtection="1">
      <alignment horizontal="left" vertical="center"/>
      <protection locked="0"/>
    </xf>
    <xf numFmtId="49" fontId="6" fillId="30" borderId="0" xfId="546" applyNumberFormat="1" applyFont="1" applyFill="1" applyAlignment="1" applyProtection="1">
      <alignment horizontal="left" vertical="center"/>
      <protection locked="0"/>
    </xf>
    <xf numFmtId="0" fontId="6" fillId="30" borderId="0" xfId="0" applyFont="1" applyFill="1" applyAlignment="1" applyProtection="1">
      <alignment horizontal="left" vertical="center"/>
      <protection locked="0"/>
    </xf>
    <xf numFmtId="0" fontId="6" fillId="30" borderId="0" xfId="0" applyFont="1" applyFill="1" applyAlignment="1" applyProtection="1">
      <alignment horizontal="left" vertical="center"/>
      <protection locked="0"/>
    </xf>
  </cellXfs>
  <cellStyles count="5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6 6" xfId="161"/>
    <cellStyle name="Normal 16 7" xfId="162"/>
    <cellStyle name="Normal 16 8" xfId="163"/>
    <cellStyle name="Normal 17" xfId="164"/>
    <cellStyle name="Normal 17 2" xfId="165"/>
    <cellStyle name="Normal 17 3" xfId="166"/>
    <cellStyle name="Normal 17 4" xfId="167"/>
    <cellStyle name="Normal 17 5" xfId="168"/>
    <cellStyle name="Normal 18" xfId="169"/>
    <cellStyle name="Normal 18 2" xfId="170"/>
    <cellStyle name="Normal 18 2 2" xfId="171"/>
    <cellStyle name="Normal 18 2 3" xfId="172"/>
    <cellStyle name="Normal 18 3" xfId="173"/>
    <cellStyle name="Normal 18 4" xfId="174"/>
    <cellStyle name="Normal 18 5" xfId="175"/>
    <cellStyle name="Normal 18 6" xfId="176"/>
    <cellStyle name="Normal 18 7" xfId="177"/>
    <cellStyle name="Normal 18 8" xfId="178"/>
    <cellStyle name="Normal 18 9" xfId="179"/>
    <cellStyle name="Normal 19" xfId="180"/>
    <cellStyle name="Normal 19 2" xfId="181"/>
    <cellStyle name="Normal 19 2 2" xfId="182"/>
    <cellStyle name="Normal 19 2 3" xfId="183"/>
    <cellStyle name="Normal 19 3" xfId="184"/>
    <cellStyle name="Normal 19 4" xfId="185"/>
    <cellStyle name="Normal 19 5" xfId="186"/>
    <cellStyle name="Normal 19 6" xfId="187"/>
    <cellStyle name="Normal 19 7" xfId="188"/>
    <cellStyle name="Normal 19 8" xfId="189"/>
    <cellStyle name="Normal 2" xfId="190"/>
    <cellStyle name="Normal 2 10" xfId="191"/>
    <cellStyle name="Normal 2 10 10" xfId="192"/>
    <cellStyle name="Normal 2 10 11" xfId="193"/>
    <cellStyle name="Normal 2 10 11 2" xfId="194"/>
    <cellStyle name="Normal 2 10 11 2 2" xfId="195"/>
    <cellStyle name="Normal 2 10 11 2 2 2" xfId="196"/>
    <cellStyle name="Normal 2 10 11 3" xfId="197"/>
    <cellStyle name="Normal 2 10 11 4" xfId="198"/>
    <cellStyle name="Normal 2 10 11 5" xfId="199"/>
    <cellStyle name="Normal 2 10 12" xfId="200"/>
    <cellStyle name="Normal 2 10 2" xfId="201"/>
    <cellStyle name="Normal 2 10 2 2" xfId="202"/>
    <cellStyle name="Normal 2 10 3" xfId="203"/>
    <cellStyle name="Normal 2 10 3 2" xfId="204"/>
    <cellStyle name="Normal 2 10 4" xfId="205"/>
    <cellStyle name="Normal 2 10 4 2" xfId="206"/>
    <cellStyle name="Normal 2 10 5" xfId="207"/>
    <cellStyle name="Normal 2 10 5 2" xfId="208"/>
    <cellStyle name="Normal 2 10 6" xfId="209"/>
    <cellStyle name="Normal 2 10 6 2" xfId="210"/>
    <cellStyle name="Normal 2 10 7" xfId="211"/>
    <cellStyle name="Normal 2 10 7 2" xfId="212"/>
    <cellStyle name="Normal 2 10 8" xfId="213"/>
    <cellStyle name="Normal 2 10 8 2" xfId="214"/>
    <cellStyle name="Normal 2 10 9" xfId="215"/>
    <cellStyle name="Normal 2 11" xfId="216"/>
    <cellStyle name="Normal 2 11 10" xfId="217"/>
    <cellStyle name="Normal 2 11 11" xfId="218"/>
    <cellStyle name="Normal 2 11 2" xfId="219"/>
    <cellStyle name="Normal 2 11 2 2" xfId="220"/>
    <cellStyle name="Normal 2 11 3" xfId="221"/>
    <cellStyle name="Normal 2 11 3 2" xfId="222"/>
    <cellStyle name="Normal 2 11 4" xfId="223"/>
    <cellStyle name="Normal 2 11 4 2" xfId="224"/>
    <cellStyle name="Normal 2 11 5" xfId="225"/>
    <cellStyle name="Normal 2 11 5 2" xfId="226"/>
    <cellStyle name="Normal 2 11 6" xfId="227"/>
    <cellStyle name="Normal 2 11 6 2" xfId="228"/>
    <cellStyle name="Normal 2 11 7" xfId="229"/>
    <cellStyle name="Normal 2 11 7 2" xfId="230"/>
    <cellStyle name="Normal 2 11 8" xfId="231"/>
    <cellStyle name="Normal 2 11 8 2" xfId="232"/>
    <cellStyle name="Normal 2 11 9" xfId="233"/>
    <cellStyle name="Normal 2 12" xfId="234"/>
    <cellStyle name="Normal 2 13" xfId="235"/>
    <cellStyle name="Normal 2 14" xfId="236"/>
    <cellStyle name="Normal 2 15" xfId="237"/>
    <cellStyle name="Normal 2 16" xfId="238"/>
    <cellStyle name="Normal 2 17" xfId="239"/>
    <cellStyle name="Normal 2 17 2" xfId="240"/>
    <cellStyle name="Normal 2 17 3" xfId="241"/>
    <cellStyle name="Normal 2 17 4" xfId="242"/>
    <cellStyle name="Normal 2 17 5" xfId="243"/>
    <cellStyle name="Normal 2 2" xfId="244"/>
    <cellStyle name="Normal 2 2 10" xfId="245"/>
    <cellStyle name="Normal 2 2 10 2" xfId="246"/>
    <cellStyle name="Normal 2 2 11" xfId="247"/>
    <cellStyle name="Normal 2 2 11 2" xfId="248"/>
    <cellStyle name="Normal 2 2 12" xfId="249"/>
    <cellStyle name="Normal 2 2 12 2" xfId="250"/>
    <cellStyle name="Normal 2 2 12 2 2" xfId="251"/>
    <cellStyle name="Normal 2 2 12 2 3" xfId="252"/>
    <cellStyle name="Normal 2 2 12 2 4" xfId="253"/>
    <cellStyle name="Normal 2 2 12 3" xfId="254"/>
    <cellStyle name="Normal 2 2 12 4" xfId="255"/>
    <cellStyle name="Normal 2 2 13" xfId="256"/>
    <cellStyle name="Normal 2 2 13 2" xfId="257"/>
    <cellStyle name="Normal 2 2 13 2 2" xfId="258"/>
    <cellStyle name="Normal 2 2 13 2 3" xfId="259"/>
    <cellStyle name="Normal 2 2 13 2 4" xfId="260"/>
    <cellStyle name="Normal 2 2 13 3" xfId="261"/>
    <cellStyle name="Normal 2 2 13 4" xfId="262"/>
    <cellStyle name="Normal 2 2 14" xfId="263"/>
    <cellStyle name="Normal 2 2 14 2" xfId="264"/>
    <cellStyle name="Normal 2 2 15" xfId="265"/>
    <cellStyle name="Normal 2 2 15 2" xfId="266"/>
    <cellStyle name="Normal 2 2 16" xfId="267"/>
    <cellStyle name="Normal 2 2 16 2" xfId="268"/>
    <cellStyle name="Normal 2 2 16 3" xfId="269"/>
    <cellStyle name="Normal 2 2 17" xfId="270"/>
    <cellStyle name="Normal 2 2 18" xfId="271"/>
    <cellStyle name="Normal 2 2 19" xfId="272"/>
    <cellStyle name="Normal 2 2 2" xfId="273"/>
    <cellStyle name="Normal 2 2 2 2" xfId="274"/>
    <cellStyle name="Normal 2 2 2 2 2" xfId="275"/>
    <cellStyle name="Normal 2 2 2 2 3" xfId="276"/>
    <cellStyle name="Normal 2 2 2 2 3 2" xfId="277"/>
    <cellStyle name="Normal 2 2 2 2 3 3" xfId="278"/>
    <cellStyle name="Normal 2 2 2 3" xfId="279"/>
    <cellStyle name="Normal 2 2 2 3 2" xfId="280"/>
    <cellStyle name="Normal 2 2 2 3 3" xfId="281"/>
    <cellStyle name="Normal 2 2 2 3 4" xfId="282"/>
    <cellStyle name="Normal 2 2 2 4" xfId="283"/>
    <cellStyle name="Normal 2 2 2 4 2" xfId="284"/>
    <cellStyle name="Normal 2 2 2 5" xfId="285"/>
    <cellStyle name="Normal 2 2 2 5 2" xfId="286"/>
    <cellStyle name="Normal 2 2 2 5 3" xfId="287"/>
    <cellStyle name="Normal 2 2 2 5 4" xfId="288"/>
    <cellStyle name="Normal 2 2 2 6" xfId="289"/>
    <cellStyle name="Normal 2 2 2 6 2" xfId="290"/>
    <cellStyle name="Normal 2 2 2 7" xfId="291"/>
    <cellStyle name="Normal 2 2 2 7 2" xfId="292"/>
    <cellStyle name="Normal 2 2 2 7 3" xfId="293"/>
    <cellStyle name="Normal 2 2 2 8" xfId="294"/>
    <cellStyle name="Normal 2 2 20" xfId="295"/>
    <cellStyle name="Normal 2 2 21" xfId="296"/>
    <cellStyle name="Normal 2 2 22" xfId="297"/>
    <cellStyle name="Normal 2 2 3" xfId="298"/>
    <cellStyle name="Normal 2 2 3 2" xfId="299"/>
    <cellStyle name="Normal 2 2 4" xfId="300"/>
    <cellStyle name="Normal 2 2 4 2" xfId="301"/>
    <cellStyle name="Normal 2 2 5" xfId="302"/>
    <cellStyle name="Normal 2 2 5 2" xfId="303"/>
    <cellStyle name="Normal 2 2 6" xfId="304"/>
    <cellStyle name="Normal 2 2 6 2" xfId="305"/>
    <cellStyle name="Normal 2 2 7" xfId="306"/>
    <cellStyle name="Normal 2 2 7 2" xfId="307"/>
    <cellStyle name="Normal 2 2 8" xfId="308"/>
    <cellStyle name="Normal 2 2 8 2" xfId="309"/>
    <cellStyle name="Normal 2 2 9" xfId="310"/>
    <cellStyle name="Normal 2 2 9 2" xfId="311"/>
    <cellStyle name="Normal 2 3" xfId="312"/>
    <cellStyle name="Normal 2 3 10" xfId="313"/>
    <cellStyle name="Normal 2 3 11" xfId="314"/>
    <cellStyle name="Normal 2 3 12" xfId="315"/>
    <cellStyle name="Normal 2 3 13" xfId="316"/>
    <cellStyle name="Normal 2 3 14" xfId="317"/>
    <cellStyle name="Normal 2 3 15" xfId="318"/>
    <cellStyle name="Normal 2 3 2" xfId="319"/>
    <cellStyle name="Normal 2 3 2 2" xfId="320"/>
    <cellStyle name="Normal 2 3 2 2 2" xfId="321"/>
    <cellStyle name="Normal 2 3 2 2 3" xfId="322"/>
    <cellStyle name="Normal 2 3 2 3" xfId="323"/>
    <cellStyle name="Normal 2 3 2 4" xfId="324"/>
    <cellStyle name="Normal 2 3 2 5" xfId="325"/>
    <cellStyle name="Normal 2 3 3" xfId="326"/>
    <cellStyle name="Normal 2 3 3 2" xfId="327"/>
    <cellStyle name="Normal 2 3 3 3" xfId="328"/>
    <cellStyle name="Normal 2 3 4" xfId="329"/>
    <cellStyle name="Normal 2 3 5" xfId="330"/>
    <cellStyle name="Normal 2 3 6" xfId="331"/>
    <cellStyle name="Normal 2 3 7" xfId="332"/>
    <cellStyle name="Normal 2 3 8" xfId="333"/>
    <cellStyle name="Normal 2 3 9" xfId="334"/>
    <cellStyle name="Normal 2 4" xfId="335"/>
    <cellStyle name="Normal 2 4 10" xfId="336"/>
    <cellStyle name="Normal 2 4 11" xfId="337"/>
    <cellStyle name="Normal 2 4 12" xfId="338"/>
    <cellStyle name="Normal 2 4 12 2" xfId="339"/>
    <cellStyle name="Normal 2 4 12 3" xfId="340"/>
    <cellStyle name="Normal 2 4 13" xfId="341"/>
    <cellStyle name="Normal 2 4 13 2" xfId="342"/>
    <cellStyle name="Normal 2 4 13 3" xfId="343"/>
    <cellStyle name="Normal 2 4 2" xfId="344"/>
    <cellStyle name="Normal 2 4 2 2" xfId="345"/>
    <cellStyle name="Normal 2 4 2 2 2" xfId="346"/>
    <cellStyle name="Normal 2 4 2 2 3" xfId="347"/>
    <cellStyle name="Normal 2 4 2 3" xfId="348"/>
    <cellStyle name="Normal 2 4 2 4" xfId="349"/>
    <cellStyle name="Normal 2 4 2 5" xfId="350"/>
    <cellStyle name="Normal 2 4 3" xfId="351"/>
    <cellStyle name="Normal 2 4 3 2" xfId="352"/>
    <cellStyle name="Normal 2 4 3 3" xfId="353"/>
    <cellStyle name="Normal 2 4 4" xfId="354"/>
    <cellStyle name="Normal 2 4 5" xfId="355"/>
    <cellStyle name="Normal 2 4 6" xfId="356"/>
    <cellStyle name="Normal 2 4 7" xfId="357"/>
    <cellStyle name="Normal 2 4 8" xfId="358"/>
    <cellStyle name="Normal 2 4 9" xfId="359"/>
    <cellStyle name="Normal 2 5" xfId="360"/>
    <cellStyle name="Normal 2 5 10" xfId="361"/>
    <cellStyle name="Normal 2 5 11" xfId="362"/>
    <cellStyle name="Normal 2 5 12" xfId="363"/>
    <cellStyle name="Normal 2 5 12 2" xfId="364"/>
    <cellStyle name="Normal 2 5 12 3" xfId="365"/>
    <cellStyle name="Normal 2 5 2" xfId="366"/>
    <cellStyle name="Normal 2 5 2 2" xfId="367"/>
    <cellStyle name="Normal 2 5 3" xfId="368"/>
    <cellStyle name="Normal 2 5 3 2" xfId="369"/>
    <cellStyle name="Normal 2 5 4" xfId="370"/>
    <cellStyle name="Normal 2 5 5" xfId="371"/>
    <cellStyle name="Normal 2 5 6" xfId="372"/>
    <cellStyle name="Normal 2 5 7" xfId="373"/>
    <cellStyle name="Normal 2 5 8" xfId="374"/>
    <cellStyle name="Normal 2 5 9" xfId="375"/>
    <cellStyle name="Normal 2 6" xfId="376"/>
    <cellStyle name="Normal 2 6 10" xfId="377"/>
    <cellStyle name="Normal 2 6 11" xfId="378"/>
    <cellStyle name="Normal 2 6 12" xfId="379"/>
    <cellStyle name="Normal 2 6 2" xfId="380"/>
    <cellStyle name="Normal 2 6 2 2" xfId="381"/>
    <cellStyle name="Normal 2 6 3" xfId="382"/>
    <cellStyle name="Normal 2 6 3 2" xfId="383"/>
    <cellStyle name="Normal 2 6 4" xfId="384"/>
    <cellStyle name="Normal 2 6 5" xfId="385"/>
    <cellStyle name="Normal 2 6 6" xfId="386"/>
    <cellStyle name="Normal 2 6 7" xfId="387"/>
    <cellStyle name="Normal 2 6 8" xfId="388"/>
    <cellStyle name="Normal 2 6 9" xfId="389"/>
    <cellStyle name="Normal 2 7" xfId="390"/>
    <cellStyle name="Normal 2 7 10" xfId="391"/>
    <cellStyle name="Normal 2 7 11" xfId="392"/>
    <cellStyle name="Normal 2 7 11 2" xfId="393"/>
    <cellStyle name="Normal 2 7 2" xfId="394"/>
    <cellStyle name="Normal 2 7 2 2" xfId="395"/>
    <cellStyle name="Normal 2 7 2 3" xfId="396"/>
    <cellStyle name="Normal 2 7 3" xfId="397"/>
    <cellStyle name="Normal 2 7 3 2" xfId="398"/>
    <cellStyle name="Normal 2 7 4" xfId="399"/>
    <cellStyle name="Normal 2 7 4 2" xfId="400"/>
    <cellStyle name="Normal 2 7 5" xfId="401"/>
    <cellStyle name="Normal 2 7 5 2" xfId="402"/>
    <cellStyle name="Normal 2 7 6" xfId="403"/>
    <cellStyle name="Normal 2 7 6 2" xfId="404"/>
    <cellStyle name="Normal 2 7 7" xfId="405"/>
    <cellStyle name="Normal 2 7 7 2" xfId="406"/>
    <cellStyle name="Normal 2 7 8" xfId="407"/>
    <cellStyle name="Normal 2 7 8 2" xfId="408"/>
    <cellStyle name="Normal 2 7 9" xfId="409"/>
    <cellStyle name="Normal 2 8" xfId="410"/>
    <cellStyle name="Normal 2 8 10" xfId="411"/>
    <cellStyle name="Normal 2 8 11" xfId="412"/>
    <cellStyle name="Normal 2 8 2" xfId="413"/>
    <cellStyle name="Normal 2 8 2 2" xfId="414"/>
    <cellStyle name="Normal 2 8 3" xfId="415"/>
    <cellStyle name="Normal 2 8 3 2" xfId="416"/>
    <cellStyle name="Normal 2 8 4" xfId="417"/>
    <cellStyle name="Normal 2 8 4 2" xfId="418"/>
    <cellStyle name="Normal 2 8 5" xfId="419"/>
    <cellStyle name="Normal 2 8 5 2" xfId="420"/>
    <cellStyle name="Normal 2 8 6" xfId="421"/>
    <cellStyle name="Normal 2 8 6 2" xfId="422"/>
    <cellStyle name="Normal 2 8 7" xfId="423"/>
    <cellStyle name="Normal 2 8 7 2" xfId="424"/>
    <cellStyle name="Normal 2 8 8" xfId="425"/>
    <cellStyle name="Normal 2 8 8 2" xfId="426"/>
    <cellStyle name="Normal 2 8 9" xfId="427"/>
    <cellStyle name="Normal 2 9" xfId="428"/>
    <cellStyle name="Normal 2 9 10" xfId="429"/>
    <cellStyle name="Normal 2 9 11" xfId="430"/>
    <cellStyle name="Normal 2 9 2" xfId="431"/>
    <cellStyle name="Normal 2 9 2 2" xfId="432"/>
    <cellStyle name="Normal 2 9 3" xfId="433"/>
    <cellStyle name="Normal 2 9 3 2" xfId="434"/>
    <cellStyle name="Normal 2 9 4" xfId="435"/>
    <cellStyle name="Normal 2 9 4 2" xfId="436"/>
    <cellStyle name="Normal 2 9 5" xfId="437"/>
    <cellStyle name="Normal 2 9 5 2" xfId="438"/>
    <cellStyle name="Normal 2 9 6" xfId="439"/>
    <cellStyle name="Normal 2 9 6 2" xfId="440"/>
    <cellStyle name="Normal 2 9 7" xfId="441"/>
    <cellStyle name="Normal 2 9 7 2" xfId="442"/>
    <cellStyle name="Normal 2 9 8" xfId="443"/>
    <cellStyle name="Normal 2 9 8 2" xfId="444"/>
    <cellStyle name="Normal 2 9 9" xfId="445"/>
    <cellStyle name="Normal 20" xfId="446"/>
    <cellStyle name="Normal 20 2" xfId="447"/>
    <cellStyle name="Normal 20 3"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3" xfId="458"/>
    <cellStyle name="Normal 23" xfId="459"/>
    <cellStyle name="Normal 23 2" xfId="460"/>
    <cellStyle name="Normal 23 3" xfId="461"/>
    <cellStyle name="Normal 24" xfId="462"/>
    <cellStyle name="Normal 24 2" xfId="463"/>
    <cellStyle name="Normal 24 3" xfId="464"/>
    <cellStyle name="Normal 25" xfId="465"/>
    <cellStyle name="Normal 25 2" xfId="466"/>
    <cellStyle name="Normal 25 3" xfId="467"/>
    <cellStyle name="Normal 26" xfId="468"/>
    <cellStyle name="Normal 27" xfId="469"/>
    <cellStyle name="Normal 3" xfId="470"/>
    <cellStyle name="Normal 3 10" xfId="471"/>
    <cellStyle name="Normal 3 10 2" xfId="472"/>
    <cellStyle name="Normal 3 11" xfId="473"/>
    <cellStyle name="Normal 3 12" xfId="474"/>
    <cellStyle name="Normal 3 13" xfId="475"/>
    <cellStyle name="Normal 3 14" xfId="476"/>
    <cellStyle name="Normal 3 15" xfId="477"/>
    <cellStyle name="Normal 3 2" xfId="478"/>
    <cellStyle name="Normal 3 2 2" xfId="479"/>
    <cellStyle name="Normal 3 2 2 2" xfId="480"/>
    <cellStyle name="Normal 3 2 2 3" xfId="481"/>
    <cellStyle name="Normal 3 2 3" xfId="482"/>
    <cellStyle name="Normal 3 2 4" xfId="483"/>
    <cellStyle name="Normal 3 2 5" xfId="484"/>
    <cellStyle name="Normal 3 3" xfId="485"/>
    <cellStyle name="Normal 3 3 2" xfId="486"/>
    <cellStyle name="Normal 3 3 2 2" xfId="487"/>
    <cellStyle name="Normal 3 3 2 3" xfId="488"/>
    <cellStyle name="Normal 3 3 3" xfId="489"/>
    <cellStyle name="Normal 3 3 4" xfId="490"/>
    <cellStyle name="Normal 3 4" xfId="491"/>
    <cellStyle name="Normal 3 5" xfId="492"/>
    <cellStyle name="Normal 3 6" xfId="493"/>
    <cellStyle name="Normal 3 7" xfId="494"/>
    <cellStyle name="Normal 3 7 2" xfId="495"/>
    <cellStyle name="Normal 3 7 3" xfId="496"/>
    <cellStyle name="Normal 3 8" xfId="497"/>
    <cellStyle name="Normal 3 8 2" xfId="498"/>
    <cellStyle name="Normal 3 8 3" xfId="499"/>
    <cellStyle name="Normal 3 9" xfId="500"/>
    <cellStyle name="Normal 3 9 2" xfId="501"/>
    <cellStyle name="Normal 3 9 3" xfId="502"/>
    <cellStyle name="Normal 4" xfId="503"/>
    <cellStyle name="Normal 4 10" xfId="504"/>
    <cellStyle name="Normal 4 11" xfId="505"/>
    <cellStyle name="Normal 4 12" xfId="506"/>
    <cellStyle name="Normal 4 13" xfId="507"/>
    <cellStyle name="Normal 4 2" xfId="508"/>
    <cellStyle name="Normal 4 2 2" xfId="509"/>
    <cellStyle name="Normal 4 2 2 2" xfId="510"/>
    <cellStyle name="Normal 4 2 2 3" xfId="511"/>
    <cellStyle name="Normal 4 2 2 3 2" xfId="512"/>
    <cellStyle name="Normal 4 2 3" xfId="513"/>
    <cellStyle name="Normal 4 2 4" xfId="514"/>
    <cellStyle name="Normal 4 2 5" xfId="515"/>
    <cellStyle name="Normal 4 3" xfId="516"/>
    <cellStyle name="Normal 4 3 2" xfId="517"/>
    <cellStyle name="Normal 4 3 3" xfId="518"/>
    <cellStyle name="Normal 4 4" xfId="519"/>
    <cellStyle name="Normal 4 5" xfId="520"/>
    <cellStyle name="Normal 4 5 2" xfId="521"/>
    <cellStyle name="Normal 4 5 3" xfId="522"/>
    <cellStyle name="Normal 4 6" xfId="523"/>
    <cellStyle name="Normal 4 6 2" xfId="524"/>
    <cellStyle name="Normal 4 6 3" xfId="525"/>
    <cellStyle name="Normal 4 7" xfId="526"/>
    <cellStyle name="Normal 4 8" xfId="527"/>
    <cellStyle name="Normal 4 9" xfId="528"/>
    <cellStyle name="Normal 5" xfId="529"/>
    <cellStyle name="Normal 5 2" xfId="530"/>
    <cellStyle name="Normal 5 3" xfId="531"/>
    <cellStyle name="Normal 5 3 2" xfId="532"/>
    <cellStyle name="Normal 5 3 3" xfId="533"/>
    <cellStyle name="Normal 5 4" xfId="534"/>
    <cellStyle name="Normal 5 5" xfId="535"/>
    <cellStyle name="Normal 5 5 2" xfId="536"/>
    <cellStyle name="Normal 5 5 3" xfId="537"/>
    <cellStyle name="Normal 5 6" xfId="538"/>
    <cellStyle name="Normal 5 6 2" xfId="539"/>
    <cellStyle name="Normal 6" xfId="540"/>
    <cellStyle name="Normal 6 2" xfId="541"/>
    <cellStyle name="Normal 6 3" xfId="542"/>
    <cellStyle name="Normal 6 4" xfId="543"/>
    <cellStyle name="Normal 6 5" xfId="544"/>
    <cellStyle name="Normal 7" xfId="545"/>
    <cellStyle name="Normal 7 2" xfId="546"/>
    <cellStyle name="Normal 7 2 2" xfId="547"/>
    <cellStyle name="Normal 7 2 2 2" xfId="548"/>
    <cellStyle name="Normal 7 2 2 3" xfId="549"/>
    <cellStyle name="Normal 7 2 3" xfId="550"/>
    <cellStyle name="Normal 7 2 4" xfId="551"/>
    <cellStyle name="Normal 7 2 4 2" xfId="552"/>
    <cellStyle name="Normal 7 2 4 3" xfId="553"/>
    <cellStyle name="Normal 7 2 5" xfId="554"/>
    <cellStyle name="Normal 7 3" xfId="555"/>
    <cellStyle name="Normal 7 4" xfId="556"/>
    <cellStyle name="Normal 7 4 2" xfId="557"/>
    <cellStyle name="Normal 7 4 3" xfId="558"/>
    <cellStyle name="Normal 7 5" xfId="559"/>
    <cellStyle name="Normal 7 5 2" xfId="560"/>
    <cellStyle name="Normal 7 5 3" xfId="561"/>
    <cellStyle name="Normal 7 5 4" xfId="562"/>
    <cellStyle name="Normal 7 5 5" xfId="563"/>
    <cellStyle name="Normal 7 6" xfId="564"/>
    <cellStyle name="Normal 7 7" xfId="565"/>
    <cellStyle name="Normal 8" xfId="566"/>
    <cellStyle name="Normal 8 2" xfId="567"/>
    <cellStyle name="Normal 8 3" xfId="568"/>
    <cellStyle name="Normal 9" xfId="569"/>
    <cellStyle name="Normal 9 2" xfId="570"/>
    <cellStyle name="Normal 9 2 2" xfId="571"/>
    <cellStyle name="Normal 9 2 3" xfId="572"/>
    <cellStyle name="Normal 9 3" xfId="573"/>
    <cellStyle name="Normal 9 4" xfId="574"/>
    <cellStyle name="Normal 9 5" xfId="575"/>
    <cellStyle name="Normal 9 5 2" xfId="576"/>
    <cellStyle name="Normal 9 5 3" xfId="577"/>
    <cellStyle name="Normal 9 6" xfId="578"/>
    <cellStyle name="Normal 9 6 2" xfId="579"/>
    <cellStyle name="Normal 9 6 3" xfId="580"/>
    <cellStyle name="Normal_debt" xfId="581"/>
    <cellStyle name="Normal_lpform" xfId="582"/>
    <cellStyle name="Note" xfId="583"/>
    <cellStyle name="Output" xfId="584"/>
    <cellStyle name="Percent" xfId="585"/>
    <cellStyle name="Title" xfId="586"/>
    <cellStyle name="Total" xfId="587"/>
    <cellStyle name="Warning Text" xfId="58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75">
      <c r="A1" s="192" t="s">
        <v>306</v>
      </c>
    </row>
    <row r="3" ht="34.5" customHeight="1">
      <c r="A3" s="712" t="s">
        <v>905</v>
      </c>
    </row>
    <row r="4" ht="15.75">
      <c r="A4" s="193"/>
    </row>
    <row r="5" ht="52.5" customHeight="1">
      <c r="A5" s="194" t="s">
        <v>307</v>
      </c>
    </row>
    <row r="6" ht="15.75">
      <c r="A6" s="194"/>
    </row>
    <row r="7" ht="51" customHeight="1">
      <c r="A7" s="194" t="s">
        <v>831</v>
      </c>
    </row>
    <row r="8" ht="15.75">
      <c r="A8" s="194"/>
    </row>
    <row r="9" ht="15.75">
      <c r="A9" s="194" t="s">
        <v>102</v>
      </c>
    </row>
    <row r="12" ht="15.75">
      <c r="A12" s="192" t="s">
        <v>158</v>
      </c>
    </row>
    <row r="14" ht="15.75">
      <c r="A14" s="193" t="s">
        <v>159</v>
      </c>
    </row>
    <row r="17" ht="38.25" customHeight="1">
      <c r="A17" s="195" t="s">
        <v>282</v>
      </c>
    </row>
    <row r="18" ht="9.75" customHeight="1">
      <c r="A18" s="195"/>
    </row>
    <row r="21" ht="15.75">
      <c r="A21" s="192" t="s">
        <v>103</v>
      </c>
    </row>
    <row r="23" ht="34.5" customHeight="1">
      <c r="A23" s="194" t="s">
        <v>160</v>
      </c>
    </row>
    <row r="24" ht="9.75" customHeight="1">
      <c r="A24" s="194"/>
    </row>
    <row r="25" ht="15.75">
      <c r="A25" s="196" t="s">
        <v>104</v>
      </c>
    </row>
    <row r="26" ht="15.75">
      <c r="A26" s="194"/>
    </row>
    <row r="27" ht="17.25" customHeight="1">
      <c r="A27" s="197" t="s">
        <v>105</v>
      </c>
    </row>
    <row r="28" ht="17.25" customHeight="1">
      <c r="A28" s="198"/>
    </row>
    <row r="29" ht="87.75" customHeight="1">
      <c r="A29" s="199" t="s">
        <v>139</v>
      </c>
    </row>
    <row r="31" ht="15.75">
      <c r="A31" s="200" t="s">
        <v>106</v>
      </c>
    </row>
    <row r="33" ht="15.75">
      <c r="A33" s="132" t="s">
        <v>161</v>
      </c>
    </row>
    <row r="35" ht="15.75">
      <c r="A35" s="194" t="s">
        <v>107</v>
      </c>
    </row>
    <row r="36" ht="15.75">
      <c r="A36" s="194"/>
    </row>
    <row r="37" ht="72" customHeight="1">
      <c r="A37" s="194" t="s">
        <v>367</v>
      </c>
    </row>
    <row r="39" ht="15.75">
      <c r="A39" s="192" t="s">
        <v>108</v>
      </c>
    </row>
    <row r="41" ht="70.5" customHeight="1">
      <c r="A41" s="194" t="s">
        <v>735</v>
      </c>
    </row>
    <row r="42" ht="52.5" customHeight="1">
      <c r="A42" s="201" t="s">
        <v>109</v>
      </c>
    </row>
    <row r="43" ht="33" customHeight="1">
      <c r="A43" s="194" t="s">
        <v>138</v>
      </c>
    </row>
    <row r="44" ht="106.5" customHeight="1">
      <c r="A44" s="701" t="s">
        <v>832</v>
      </c>
    </row>
    <row r="45" ht="10.5" customHeight="1">
      <c r="A45" s="194"/>
    </row>
    <row r="46" ht="108" customHeight="1">
      <c r="A46" s="194" t="s">
        <v>736</v>
      </c>
    </row>
    <row r="47" ht="59.25" customHeight="1">
      <c r="A47" s="194" t="s">
        <v>110</v>
      </c>
    </row>
    <row r="48" ht="101.25" customHeight="1">
      <c r="A48" s="194" t="s">
        <v>198</v>
      </c>
    </row>
    <row r="49" ht="74.25" customHeight="1">
      <c r="A49" s="194" t="s">
        <v>368</v>
      </c>
    </row>
    <row r="50" ht="69.75" customHeight="1">
      <c r="A50" s="194" t="s">
        <v>372</v>
      </c>
    </row>
    <row r="51" ht="58.5" customHeight="1">
      <c r="A51" s="702" t="s">
        <v>833</v>
      </c>
    </row>
    <row r="52" ht="12" customHeight="1">
      <c r="A52" s="194"/>
    </row>
    <row r="53" ht="81" customHeight="1">
      <c r="A53" s="194" t="s">
        <v>369</v>
      </c>
    </row>
    <row r="54" ht="81" customHeight="1">
      <c r="A54" s="194" t="s">
        <v>909</v>
      </c>
    </row>
    <row r="55" ht="87" customHeight="1">
      <c r="A55" s="703" t="s">
        <v>910</v>
      </c>
    </row>
    <row r="56" ht="48" customHeight="1">
      <c r="A56" s="702" t="s">
        <v>834</v>
      </c>
    </row>
    <row r="57" ht="84.75" customHeight="1">
      <c r="A57" s="703" t="s">
        <v>954</v>
      </c>
    </row>
    <row r="58" ht="11.25" customHeight="1"/>
    <row r="59" ht="73.5" customHeight="1">
      <c r="A59" s="703" t="s">
        <v>911</v>
      </c>
    </row>
    <row r="60" ht="134.25" customHeight="1">
      <c r="A60" s="703" t="s">
        <v>912</v>
      </c>
    </row>
    <row r="61" ht="36" customHeight="1">
      <c r="A61" s="703" t="s">
        <v>913</v>
      </c>
    </row>
    <row r="62" ht="14.25" customHeight="1">
      <c r="A62" s="194"/>
    </row>
    <row r="63" ht="68.25" customHeight="1">
      <c r="A63" s="703" t="s">
        <v>835</v>
      </c>
    </row>
    <row r="64" ht="12.75" customHeight="1">
      <c r="A64" s="194"/>
    </row>
    <row r="65" ht="41.25" customHeight="1">
      <c r="A65" s="194" t="s">
        <v>370</v>
      </c>
    </row>
    <row r="66" ht="24" customHeight="1">
      <c r="A66" s="194" t="s">
        <v>589</v>
      </c>
    </row>
    <row r="67" ht="72" customHeight="1">
      <c r="A67" s="194" t="s">
        <v>590</v>
      </c>
    </row>
    <row r="68" ht="56.25" customHeight="1">
      <c r="A68" s="194" t="s">
        <v>587</v>
      </c>
    </row>
    <row r="69" ht="15.75">
      <c r="A69" s="194" t="s">
        <v>588</v>
      </c>
    </row>
    <row r="70" ht="15.75" customHeight="1">
      <c r="A70" s="194"/>
    </row>
    <row r="71" ht="68.25" customHeight="1">
      <c r="A71" s="194" t="s">
        <v>371</v>
      </c>
    </row>
    <row r="72" s="194" customFormat="1" ht="14.25" customHeight="1">
      <c r="A72" s="95"/>
    </row>
    <row r="73" ht="87.75" customHeight="1">
      <c r="A73" s="194" t="s">
        <v>373</v>
      </c>
    </row>
    <row r="74" ht="12" customHeight="1">
      <c r="A74" s="194"/>
    </row>
    <row r="75" ht="141" customHeight="1">
      <c r="A75" s="703" t="s">
        <v>836</v>
      </c>
    </row>
    <row r="76" ht="12" customHeight="1"/>
    <row r="77" ht="78.75" customHeight="1">
      <c r="A77" s="194" t="s">
        <v>838</v>
      </c>
    </row>
    <row r="78" ht="78.75" customHeight="1">
      <c r="A78" s="703" t="s">
        <v>837</v>
      </c>
    </row>
    <row r="79" ht="86.25" customHeight="1">
      <c r="A79" s="511" t="s">
        <v>839</v>
      </c>
    </row>
    <row r="80" ht="78.75" customHeight="1">
      <c r="A80" s="511" t="s">
        <v>840</v>
      </c>
    </row>
    <row r="81" ht="78.75" customHeight="1">
      <c r="A81" s="511" t="s">
        <v>841</v>
      </c>
    </row>
    <row r="82" ht="73.5" customHeight="1">
      <c r="A82" s="194" t="s">
        <v>842</v>
      </c>
    </row>
    <row r="83" ht="120.75" customHeight="1">
      <c r="A83" s="194" t="s">
        <v>843</v>
      </c>
    </row>
    <row r="84" ht="72.75" customHeight="1">
      <c r="A84" s="194" t="s">
        <v>844</v>
      </c>
    </row>
    <row r="85" ht="100.5" customHeight="1">
      <c r="A85" s="194" t="s">
        <v>845</v>
      </c>
    </row>
    <row r="86" ht="110.25" customHeight="1">
      <c r="A86" s="194" t="s">
        <v>846</v>
      </c>
    </row>
    <row r="87" ht="100.5" customHeight="1">
      <c r="A87" s="202" t="s">
        <v>847</v>
      </c>
    </row>
    <row r="88" ht="61.5" customHeight="1">
      <c r="A88" s="332" t="s">
        <v>848</v>
      </c>
    </row>
    <row r="89" ht="120.75" customHeight="1">
      <c r="A89" s="194" t="s">
        <v>899</v>
      </c>
    </row>
    <row r="90" ht="86.25" customHeight="1">
      <c r="A90" s="202" t="s">
        <v>849</v>
      </c>
    </row>
    <row r="91" ht="101.25" customHeight="1">
      <c r="A91" s="202" t="s">
        <v>898</v>
      </c>
    </row>
    <row r="92" ht="133.5" customHeight="1">
      <c r="A92" s="194" t="s">
        <v>850</v>
      </c>
    </row>
    <row r="93" ht="137.25" customHeight="1">
      <c r="A93" s="194" t="s">
        <v>851</v>
      </c>
    </row>
    <row r="94" ht="101.25" customHeight="1">
      <c r="A94" s="194" t="s">
        <v>852</v>
      </c>
    </row>
    <row r="95" ht="9.75" customHeight="1">
      <c r="A95" s="202"/>
    </row>
    <row r="96" ht="119.25" customHeight="1">
      <c r="A96" s="194" t="s">
        <v>853</v>
      </c>
    </row>
    <row r="97" ht="117" customHeight="1">
      <c r="A97" s="202" t="s">
        <v>854</v>
      </c>
    </row>
    <row r="98" ht="58.5" customHeight="1">
      <c r="A98" s="202" t="s">
        <v>855</v>
      </c>
    </row>
    <row r="99" ht="21" customHeight="1">
      <c r="A99" s="194" t="s">
        <v>856</v>
      </c>
    </row>
    <row r="100" ht="3.75" customHeight="1"/>
    <row r="101" ht="64.5" customHeight="1">
      <c r="A101" s="194" t="s">
        <v>857</v>
      </c>
    </row>
    <row r="102" ht="22.5" customHeight="1">
      <c r="A102" s="194" t="s">
        <v>858</v>
      </c>
    </row>
    <row r="103" ht="40.5" customHeight="1">
      <c r="A103" s="511" t="s">
        <v>859</v>
      </c>
    </row>
    <row r="104" ht="115.5" customHeight="1">
      <c r="A104" s="511" t="s">
        <v>860</v>
      </c>
    </row>
    <row r="105" ht="116.25" customHeight="1">
      <c r="A105" s="511" t="s">
        <v>861</v>
      </c>
    </row>
    <row r="106" ht="90" customHeight="1">
      <c r="A106" s="194" t="s">
        <v>862</v>
      </c>
    </row>
    <row r="107" ht="74.25" customHeight="1">
      <c r="A107" s="704" t="s">
        <v>863</v>
      </c>
    </row>
    <row r="108" ht="61.5" customHeight="1">
      <c r="A108" s="194" t="s">
        <v>864</v>
      </c>
    </row>
    <row r="109" ht="9" customHeight="1"/>
    <row r="110" ht="78.75" customHeight="1">
      <c r="A110" s="194" t="s">
        <v>865</v>
      </c>
    </row>
    <row r="112" ht="73.5" customHeight="1">
      <c r="A112" s="511" t="s">
        <v>866</v>
      </c>
    </row>
    <row r="113" ht="108" customHeight="1">
      <c r="A113" s="511" t="s">
        <v>867</v>
      </c>
    </row>
    <row r="114" ht="96" customHeight="1">
      <c r="A114" s="511" t="s">
        <v>868</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H25" sqref="H25"/>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75">
      <c r="A1" s="272"/>
      <c r="B1" s="247" t="str">
        <f>inputPrYr!$D$3</f>
        <v>Greeley Township</v>
      </c>
      <c r="C1" s="248"/>
      <c r="D1" s="248"/>
      <c r="E1" s="248"/>
      <c r="F1" s="248"/>
      <c r="G1" s="248"/>
      <c r="H1" s="248"/>
      <c r="I1" s="248"/>
      <c r="J1" s="48"/>
      <c r="K1" s="48"/>
      <c r="L1" s="204">
        <f>inputPrYr!D9</f>
        <v>2015</v>
      </c>
    </row>
    <row r="2" spans="1:12" ht="15.75">
      <c r="A2" s="272"/>
      <c r="B2" s="247" t="str">
        <f>inputPrYr!$D$4</f>
        <v>Sedgwick County</v>
      </c>
      <c r="C2" s="248"/>
      <c r="D2" s="248"/>
      <c r="E2" s="248"/>
      <c r="F2" s="248"/>
      <c r="G2" s="248"/>
      <c r="H2" s="248"/>
      <c r="I2" s="248"/>
      <c r="J2" s="48"/>
      <c r="K2" s="48"/>
      <c r="L2" s="190"/>
    </row>
    <row r="3" spans="1:12" ht="15.75">
      <c r="A3" s="272"/>
      <c r="B3" s="840" t="s">
        <v>26</v>
      </c>
      <c r="C3" s="818"/>
      <c r="D3" s="818"/>
      <c r="E3" s="818"/>
      <c r="F3" s="818"/>
      <c r="G3" s="818"/>
      <c r="H3" s="818"/>
      <c r="I3" s="818"/>
      <c r="J3" s="818"/>
      <c r="K3" s="818"/>
      <c r="L3" s="818"/>
    </row>
    <row r="4" spans="1:12" ht="15.75">
      <c r="A4" s="272"/>
      <c r="B4" s="248"/>
      <c r="C4" s="248"/>
      <c r="D4" s="248"/>
      <c r="E4" s="248"/>
      <c r="F4" s="248"/>
      <c r="G4" s="248"/>
      <c r="H4" s="248"/>
      <c r="I4" s="248"/>
      <c r="J4" s="248"/>
      <c r="K4" s="248"/>
      <c r="L4" s="248"/>
    </row>
    <row r="5" spans="1:12" ht="15.75">
      <c r="A5" s="272"/>
      <c r="B5" s="208" t="s">
        <v>748</v>
      </c>
      <c r="C5" s="208" t="s">
        <v>6</v>
      </c>
      <c r="D5" s="208" t="s">
        <v>13</v>
      </c>
      <c r="E5" s="208"/>
      <c r="F5" s="208" t="s">
        <v>241</v>
      </c>
      <c r="G5" s="250"/>
      <c r="H5" s="251"/>
      <c r="I5" s="250" t="s">
        <v>7</v>
      </c>
      <c r="J5" s="251"/>
      <c r="K5" s="250" t="s">
        <v>7</v>
      </c>
      <c r="L5" s="251"/>
    </row>
    <row r="6" spans="1:12" ht="15.75">
      <c r="A6" s="272"/>
      <c r="B6" s="252" t="s">
        <v>8</v>
      </c>
      <c r="C6" s="252" t="s">
        <v>8</v>
      </c>
      <c r="D6" s="252" t="s">
        <v>240</v>
      </c>
      <c r="E6" s="252" t="s">
        <v>241</v>
      </c>
      <c r="F6" s="252" t="s">
        <v>64</v>
      </c>
      <c r="G6" s="253" t="s">
        <v>9</v>
      </c>
      <c r="H6" s="254"/>
      <c r="I6" s="253">
        <f>L1-1</f>
        <v>2014</v>
      </c>
      <c r="J6" s="254"/>
      <c r="K6" s="253">
        <f>L1</f>
        <v>2015</v>
      </c>
      <c r="L6" s="254"/>
    </row>
    <row r="7" spans="1:12" ht="15.75">
      <c r="A7" s="272"/>
      <c r="B7" s="210" t="s">
        <v>749</v>
      </c>
      <c r="C7" s="210" t="s">
        <v>10</v>
      </c>
      <c r="D7" s="210" t="s">
        <v>266</v>
      </c>
      <c r="E7" s="210" t="s">
        <v>11</v>
      </c>
      <c r="F7" s="255" t="str">
        <f>CONCATENATE("Jan 1,",L1-1,"")</f>
        <v>Jan 1,2014</v>
      </c>
      <c r="G7" s="71" t="s">
        <v>13</v>
      </c>
      <c r="H7" s="71" t="s">
        <v>14</v>
      </c>
      <c r="I7" s="71" t="s">
        <v>13</v>
      </c>
      <c r="J7" s="71" t="s">
        <v>14</v>
      </c>
      <c r="K7" s="71" t="s">
        <v>13</v>
      </c>
      <c r="L7" s="71" t="s">
        <v>14</v>
      </c>
    </row>
    <row r="8" spans="1:12" ht="15.75">
      <c r="A8" s="272"/>
      <c r="B8" s="256" t="s">
        <v>3</v>
      </c>
      <c r="C8" s="257"/>
      <c r="D8" s="256"/>
      <c r="E8" s="256"/>
      <c r="F8" s="256"/>
      <c r="G8" s="258"/>
      <c r="H8" s="258"/>
      <c r="I8" s="256"/>
      <c r="J8" s="256"/>
      <c r="K8" s="256"/>
      <c r="L8" s="256"/>
    </row>
    <row r="9" spans="1:12" ht="15.75">
      <c r="A9" s="272"/>
      <c r="B9" s="259"/>
      <c r="C9" s="358"/>
      <c r="D9" s="261"/>
      <c r="E9" s="151"/>
      <c r="F9" s="262"/>
      <c r="G9" s="263"/>
      <c r="H9" s="263"/>
      <c r="I9" s="262"/>
      <c r="J9" s="262"/>
      <c r="K9" s="262"/>
      <c r="L9" s="262"/>
    </row>
    <row r="10" spans="1:12" ht="15.75">
      <c r="A10" s="272"/>
      <c r="B10" s="259"/>
      <c r="C10" s="358"/>
      <c r="D10" s="261"/>
      <c r="E10" s="151"/>
      <c r="F10" s="262"/>
      <c r="G10" s="263"/>
      <c r="H10" s="263"/>
      <c r="I10" s="262"/>
      <c r="J10" s="262"/>
      <c r="K10" s="262"/>
      <c r="L10" s="262"/>
    </row>
    <row r="11" spans="1:12" ht="15.75">
      <c r="A11" s="272"/>
      <c r="B11" s="186" t="s">
        <v>82</v>
      </c>
      <c r="C11" s="264"/>
      <c r="D11" s="265"/>
      <c r="E11" s="239"/>
      <c r="F11" s="157">
        <f>SUM(F9:F10)</f>
        <v>0</v>
      </c>
      <c r="G11" s="266"/>
      <c r="H11" s="266"/>
      <c r="I11" s="157">
        <f>SUM(I9:I10)</f>
        <v>0</v>
      </c>
      <c r="J11" s="157">
        <f>SUM(J9:J10)</f>
        <v>0</v>
      </c>
      <c r="K11" s="157">
        <f>SUM(K9:K10)</f>
        <v>0</v>
      </c>
      <c r="L11" s="157">
        <f>SUM(L9:L10)</f>
        <v>0</v>
      </c>
    </row>
    <row r="12" spans="1:12" ht="15.75">
      <c r="A12" s="272"/>
      <c r="B12" s="186" t="s">
        <v>258</v>
      </c>
      <c r="C12" s="264"/>
      <c r="D12" s="265"/>
      <c r="E12" s="239"/>
      <c r="F12" s="73"/>
      <c r="G12" s="267"/>
      <c r="H12" s="267"/>
      <c r="I12" s="73"/>
      <c r="J12" s="73"/>
      <c r="K12" s="73"/>
      <c r="L12" s="73"/>
    </row>
    <row r="13" spans="1:12" ht="15.75">
      <c r="A13" s="272"/>
      <c r="B13" s="259"/>
      <c r="C13" s="358"/>
      <c r="D13" s="261"/>
      <c r="E13" s="151"/>
      <c r="F13" s="262"/>
      <c r="G13" s="263"/>
      <c r="H13" s="263"/>
      <c r="I13" s="262"/>
      <c r="J13" s="262"/>
      <c r="K13" s="262"/>
      <c r="L13" s="262"/>
    </row>
    <row r="14" spans="1:12" ht="15.75">
      <c r="A14" s="272"/>
      <c r="B14" s="259"/>
      <c r="C14" s="358"/>
      <c r="D14" s="261"/>
      <c r="E14" s="151"/>
      <c r="F14" s="262"/>
      <c r="G14" s="263"/>
      <c r="H14" s="263"/>
      <c r="I14" s="262"/>
      <c r="J14" s="262"/>
      <c r="K14" s="262"/>
      <c r="L14" s="262"/>
    </row>
    <row r="15" spans="1:12" ht="15.75">
      <c r="A15" s="272"/>
      <c r="B15" s="186" t="s">
        <v>83</v>
      </c>
      <c r="C15" s="264"/>
      <c r="D15" s="265"/>
      <c r="E15" s="239"/>
      <c r="F15" s="157">
        <f>SUM(F13:F14)</f>
        <v>0</v>
      </c>
      <c r="G15" s="267"/>
      <c r="H15" s="267"/>
      <c r="I15" s="157">
        <f>SUM(I13:I14)</f>
        <v>0</v>
      </c>
      <c r="J15" s="157">
        <f>SUM(J13:J14)</f>
        <v>0</v>
      </c>
      <c r="K15" s="157">
        <f>SUM(K13:K14)</f>
        <v>0</v>
      </c>
      <c r="L15" s="157">
        <f>SUM(L13:L14)</f>
        <v>0</v>
      </c>
    </row>
    <row r="16" spans="1:12" ht="15.75">
      <c r="A16" s="272"/>
      <c r="B16" s="268" t="s">
        <v>28</v>
      </c>
      <c r="C16" s="532"/>
      <c r="D16" s="533"/>
      <c r="E16" s="534"/>
      <c r="F16" s="270">
        <f>SUM(F11+F15)</f>
        <v>0</v>
      </c>
      <c r="G16" s="532"/>
      <c r="H16" s="535"/>
      <c r="I16" s="270">
        <f>SUM(I11+I15)</f>
        <v>0</v>
      </c>
      <c r="J16" s="270">
        <f>SUM(J11+J15)</f>
        <v>0</v>
      </c>
      <c r="K16" s="270">
        <f>SUM(K11+K15)</f>
        <v>0</v>
      </c>
      <c r="L16" s="270">
        <f>SUM(L11+L15)</f>
        <v>0</v>
      </c>
    </row>
    <row r="17" spans="1:25" ht="15.7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75">
      <c r="A18" s="272"/>
      <c r="B18" s="840" t="s">
        <v>25</v>
      </c>
      <c r="C18" s="818"/>
      <c r="D18" s="818"/>
      <c r="E18" s="818"/>
      <c r="F18" s="818"/>
      <c r="G18" s="818"/>
      <c r="H18" s="818"/>
      <c r="I18" s="818"/>
      <c r="J18" s="271"/>
      <c r="K18" s="271"/>
      <c r="L18" s="272"/>
    </row>
    <row r="19" spans="1:12" s="273" customFormat="1" ht="15.75">
      <c r="A19" s="272"/>
      <c r="B19" s="54"/>
      <c r="C19" s="274"/>
      <c r="D19" s="274"/>
      <c r="E19" s="274"/>
      <c r="F19" s="274"/>
      <c r="G19" s="274"/>
      <c r="H19" s="274"/>
      <c r="I19" s="274"/>
      <c r="J19" s="275"/>
      <c r="K19" s="275"/>
      <c r="L19" s="272"/>
    </row>
    <row r="20" spans="1:12" s="273" customFormat="1" ht="15.75">
      <c r="A20" s="272"/>
      <c r="B20" s="185"/>
      <c r="C20" s="185"/>
      <c r="D20" s="208" t="s">
        <v>12</v>
      </c>
      <c r="E20" s="185"/>
      <c r="F20" s="208" t="s">
        <v>218</v>
      </c>
      <c r="G20" s="185"/>
      <c r="H20" s="185"/>
      <c r="I20" s="185"/>
      <c r="J20" s="276"/>
      <c r="K20" s="277"/>
      <c r="L20" s="272"/>
    </row>
    <row r="21" spans="1:12" s="273" customFormat="1" ht="15.75">
      <c r="A21" s="272"/>
      <c r="B21" s="58"/>
      <c r="C21" s="252"/>
      <c r="D21" s="252" t="s">
        <v>8</v>
      </c>
      <c r="E21" s="252" t="s">
        <v>13</v>
      </c>
      <c r="F21" s="252" t="s">
        <v>241</v>
      </c>
      <c r="G21" s="252" t="s">
        <v>14</v>
      </c>
      <c r="H21" s="252" t="s">
        <v>15</v>
      </c>
      <c r="I21" s="252" t="s">
        <v>15</v>
      </c>
      <c r="J21" s="272"/>
      <c r="K21" s="272"/>
      <c r="L21" s="272"/>
    </row>
    <row r="22" spans="1:12" s="273" customFormat="1" ht="15.75">
      <c r="A22" s="272"/>
      <c r="B22" s="252" t="s">
        <v>750</v>
      </c>
      <c r="C22" s="252" t="s">
        <v>16</v>
      </c>
      <c r="D22" s="252" t="s">
        <v>17</v>
      </c>
      <c r="E22" s="252" t="s">
        <v>240</v>
      </c>
      <c r="F22" s="252" t="s">
        <v>18</v>
      </c>
      <c r="G22" s="252" t="s">
        <v>57</v>
      </c>
      <c r="H22" s="252" t="s">
        <v>19</v>
      </c>
      <c r="I22" s="252" t="s">
        <v>19</v>
      </c>
      <c r="J22" s="272"/>
      <c r="K22" s="272"/>
      <c r="L22" s="272"/>
    </row>
    <row r="23" spans="1:12" s="273" customFormat="1" ht="15.75">
      <c r="A23" s="272"/>
      <c r="B23" s="210" t="s">
        <v>751</v>
      </c>
      <c r="C23" s="210" t="s">
        <v>6</v>
      </c>
      <c r="D23" s="278" t="s">
        <v>20</v>
      </c>
      <c r="E23" s="210" t="s">
        <v>266</v>
      </c>
      <c r="F23" s="278" t="s">
        <v>65</v>
      </c>
      <c r="G23" s="255" t="str">
        <f>CONCATENATE("Jan 1,",L1-1,"")</f>
        <v>Jan 1,2014</v>
      </c>
      <c r="H23" s="210">
        <f>L1-1</f>
        <v>2014</v>
      </c>
      <c r="I23" s="210">
        <f>L1</f>
        <v>2015</v>
      </c>
      <c r="J23" s="272"/>
      <c r="K23" s="272"/>
      <c r="L23" s="272"/>
    </row>
    <row r="24" spans="1:12" s="273" customFormat="1" ht="15.75">
      <c r="A24" s="272"/>
      <c r="B24" s="259"/>
      <c r="C24" s="260"/>
      <c r="D24" s="279"/>
      <c r="E24" s="261"/>
      <c r="F24" s="151"/>
      <c r="G24" s="151"/>
      <c r="H24" s="151"/>
      <c r="I24" s="151"/>
      <c r="J24" s="272"/>
      <c r="K24" s="272"/>
      <c r="L24" s="272"/>
    </row>
    <row r="25" spans="1:12" s="273" customFormat="1" ht="15.75">
      <c r="A25" s="272"/>
      <c r="B25" s="259" t="s">
        <v>962</v>
      </c>
      <c r="C25" s="260">
        <v>41457</v>
      </c>
      <c r="D25" s="279">
        <v>60</v>
      </c>
      <c r="E25" s="261">
        <v>3.3</v>
      </c>
      <c r="F25" s="151">
        <v>78985</v>
      </c>
      <c r="G25" s="151">
        <v>78985</v>
      </c>
      <c r="H25" s="151">
        <v>17419</v>
      </c>
      <c r="I25" s="151">
        <v>17419</v>
      </c>
      <c r="J25" s="272"/>
      <c r="K25" s="272"/>
      <c r="L25" s="272"/>
    </row>
    <row r="26" spans="1:12" s="273" customFormat="1" ht="15.75">
      <c r="A26" s="272"/>
      <c r="B26" s="259"/>
      <c r="C26" s="260"/>
      <c r="D26" s="279"/>
      <c r="E26" s="261"/>
      <c r="F26" s="151"/>
      <c r="G26" s="151"/>
      <c r="H26" s="151"/>
      <c r="I26" s="151"/>
      <c r="J26" s="272"/>
      <c r="K26" s="272"/>
      <c r="L26" s="272"/>
    </row>
    <row r="27" spans="1:12" s="273" customFormat="1" ht="15.75">
      <c r="A27" s="272"/>
      <c r="B27" s="259"/>
      <c r="C27" s="260"/>
      <c r="D27" s="279"/>
      <c r="E27" s="261"/>
      <c r="F27" s="151"/>
      <c r="G27" s="151"/>
      <c r="H27" s="151"/>
      <c r="I27" s="151"/>
      <c r="J27" s="272"/>
      <c r="K27" s="272"/>
      <c r="L27" s="272"/>
    </row>
    <row r="28" spans="1:12" s="273" customFormat="1" ht="15.75">
      <c r="A28" s="272"/>
      <c r="B28" s="259"/>
      <c r="C28" s="260"/>
      <c r="D28" s="279"/>
      <c r="E28" s="261"/>
      <c r="F28" s="151"/>
      <c r="G28" s="151"/>
      <c r="H28" s="151"/>
      <c r="I28" s="151"/>
      <c r="J28" s="272"/>
      <c r="K28" s="272"/>
      <c r="L28" s="272"/>
    </row>
    <row r="29" spans="1:12" s="273" customFormat="1" ht="15.75">
      <c r="A29" s="272"/>
      <c r="B29" s="259"/>
      <c r="C29" s="260"/>
      <c r="D29" s="279"/>
      <c r="E29" s="261"/>
      <c r="F29" s="151"/>
      <c r="G29" s="151"/>
      <c r="H29" s="151"/>
      <c r="I29" s="151"/>
      <c r="J29" s="272"/>
      <c r="K29" s="272"/>
      <c r="L29" s="272"/>
    </row>
    <row r="30" spans="1:12" s="273" customFormat="1" ht="15.75">
      <c r="A30" s="272"/>
      <c r="B30" s="259"/>
      <c r="C30" s="260"/>
      <c r="D30" s="279"/>
      <c r="E30" s="261"/>
      <c r="F30" s="151"/>
      <c r="G30" s="151"/>
      <c r="H30" s="151"/>
      <c r="I30" s="151"/>
      <c r="J30" s="272"/>
      <c r="K30" s="272"/>
      <c r="L30" s="272"/>
    </row>
    <row r="31" spans="1:12" s="273" customFormat="1" ht="15.75">
      <c r="A31" s="272"/>
      <c r="B31" s="259"/>
      <c r="C31" s="260"/>
      <c r="D31" s="279"/>
      <c r="E31" s="261"/>
      <c r="F31" s="151"/>
      <c r="G31" s="151"/>
      <c r="H31" s="151"/>
      <c r="I31" s="151"/>
      <c r="J31" s="272"/>
      <c r="K31" s="272"/>
      <c r="L31" s="272"/>
    </row>
    <row r="32" spans="1:12" s="273" customFormat="1" ht="15.75">
      <c r="A32" s="272"/>
      <c r="B32" s="259"/>
      <c r="C32" s="260"/>
      <c r="D32" s="279"/>
      <c r="E32" s="261"/>
      <c r="F32" s="151"/>
      <c r="G32" s="151"/>
      <c r="H32" s="151"/>
      <c r="I32" s="151"/>
      <c r="J32" s="272"/>
      <c r="K32" s="272"/>
      <c r="L32" s="272"/>
    </row>
    <row r="33" spans="1:12" s="273" customFormat="1" ht="15.75">
      <c r="A33" s="272"/>
      <c r="B33" s="259"/>
      <c r="C33" s="260"/>
      <c r="D33" s="279"/>
      <c r="E33" s="261"/>
      <c r="F33" s="151"/>
      <c r="G33" s="151"/>
      <c r="H33" s="151"/>
      <c r="I33" s="151"/>
      <c r="J33" s="272"/>
      <c r="K33" s="272"/>
      <c r="L33" s="272"/>
    </row>
    <row r="34" spans="1:12" s="273" customFormat="1" ht="15.75">
      <c r="A34" s="272"/>
      <c r="B34" s="259"/>
      <c r="C34" s="260"/>
      <c r="D34" s="279"/>
      <c r="E34" s="261"/>
      <c r="F34" s="151"/>
      <c r="G34" s="151"/>
      <c r="H34" s="151"/>
      <c r="I34" s="151"/>
      <c r="J34" s="272"/>
      <c r="K34" s="272"/>
      <c r="L34" s="272"/>
    </row>
    <row r="35" spans="1:12" s="273" customFormat="1" ht="15.75">
      <c r="A35" s="272"/>
      <c r="B35" s="259"/>
      <c r="C35" s="260"/>
      <c r="D35" s="279"/>
      <c r="E35" s="261"/>
      <c r="F35" s="151"/>
      <c r="G35" s="151"/>
      <c r="H35" s="151"/>
      <c r="I35" s="151"/>
      <c r="J35" s="272"/>
      <c r="K35" s="272"/>
      <c r="L35" s="272"/>
    </row>
    <row r="36" spans="1:12" ht="15.75">
      <c r="A36" s="272"/>
      <c r="B36" s="272"/>
      <c r="C36" s="269"/>
      <c r="D36" s="269"/>
      <c r="E36" s="280"/>
      <c r="F36" s="536" t="s">
        <v>28</v>
      </c>
      <c r="G36" s="270">
        <f>SUM(G24:G35)</f>
        <v>78985</v>
      </c>
      <c r="H36" s="270">
        <f>SUM(H24:H35)</f>
        <v>17419</v>
      </c>
      <c r="I36" s="270">
        <f>SUM(I24:I35)</f>
        <v>17419</v>
      </c>
      <c r="J36" s="248"/>
      <c r="K36" s="248"/>
      <c r="L36" s="281"/>
    </row>
    <row r="37" spans="1:12" ht="15.75">
      <c r="A37" s="272"/>
      <c r="B37" s="248"/>
      <c r="C37" s="248"/>
      <c r="D37" s="248"/>
      <c r="E37" s="248"/>
      <c r="F37" s="248"/>
      <c r="G37" s="248"/>
      <c r="H37" s="248"/>
      <c r="I37" s="248"/>
      <c r="J37" s="248"/>
      <c r="K37" s="248"/>
      <c r="L37" s="248"/>
    </row>
    <row r="38" spans="1:12" ht="15.75">
      <c r="A38" s="272"/>
      <c r="B38" s="282" t="s">
        <v>164</v>
      </c>
      <c r="C38" s="282"/>
      <c r="D38" s="282"/>
      <c r="E38" s="282"/>
      <c r="F38" s="282"/>
      <c r="G38" s="282"/>
      <c r="H38" s="282"/>
      <c r="I38" s="248"/>
      <c r="J38" s="248"/>
      <c r="K38" s="248"/>
      <c r="L38" s="248"/>
    </row>
    <row r="39" ht="15.7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75"/>
  <sheetViews>
    <sheetView zoomScale="130" zoomScaleNormal="130" zoomScalePageLayoutView="0" workbookViewId="0" topLeftCell="B31">
      <selection activeCell="D25" sqref="D25"/>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75">
      <c r="B1" s="203" t="str">
        <f>inputPrYr!D3</f>
        <v>Greeley Township</v>
      </c>
      <c r="C1" s="48"/>
      <c r="D1" s="48"/>
      <c r="E1" s="204">
        <f>inputPrYr!D9</f>
        <v>2015</v>
      </c>
    </row>
    <row r="2" spans="2:5" ht="15.75">
      <c r="B2" s="513" t="s">
        <v>734</v>
      </c>
      <c r="C2" s="48"/>
      <c r="D2" s="48"/>
      <c r="E2" s="284"/>
    </row>
    <row r="3" spans="2:5" ht="15.75">
      <c r="B3" s="48"/>
      <c r="C3" s="61"/>
      <c r="D3" s="61"/>
      <c r="E3" s="285"/>
    </row>
    <row r="4" spans="2:5" ht="15.75">
      <c r="B4" s="55" t="s">
        <v>247</v>
      </c>
      <c r="C4" s="359" t="s">
        <v>248</v>
      </c>
      <c r="D4" s="362" t="s">
        <v>249</v>
      </c>
      <c r="E4" s="57" t="s">
        <v>250</v>
      </c>
    </row>
    <row r="5" spans="2:5" ht="15.75">
      <c r="B5" s="455" t="str">
        <f>inputPrYr!B20</f>
        <v>General</v>
      </c>
      <c r="C5" s="360" t="str">
        <f>CONCATENATE("Actual for ",$E$1-2,"")</f>
        <v>Actual for 2013</v>
      </c>
      <c r="D5" s="360" t="str">
        <f>CONCATENATE("Estimate for ",$E$1-1,"")</f>
        <v>Estimate for 2014</v>
      </c>
      <c r="E5" s="62" t="str">
        <f>CONCATENATE("Year for ",$E$1,"")</f>
        <v>Year for 2015</v>
      </c>
    </row>
    <row r="6" spans="2:5" ht="15.75">
      <c r="B6" s="63" t="s">
        <v>60</v>
      </c>
      <c r="C6" s="286">
        <v>15260</v>
      </c>
      <c r="D6" s="361">
        <f>C51</f>
        <v>11275.75</v>
      </c>
      <c r="E6" s="239">
        <f>D51</f>
        <v>3079.75</v>
      </c>
    </row>
    <row r="7" spans="2:5" ht="15.75">
      <c r="B7" s="63" t="s">
        <v>62</v>
      </c>
      <c r="C7" s="361"/>
      <c r="D7" s="361"/>
      <c r="E7" s="288"/>
    </row>
    <row r="8" spans="2:5" ht="15.75">
      <c r="B8" s="63" t="s">
        <v>253</v>
      </c>
      <c r="C8" s="286">
        <f>428.2+12879.31+840.39</f>
        <v>14147.9</v>
      </c>
      <c r="D8" s="361">
        <f>IF(inputPrYr!H19&gt;0,inputPrYr!G20,inputPrYr!E20)</f>
        <v>15055</v>
      </c>
      <c r="E8" s="288" t="s">
        <v>232</v>
      </c>
    </row>
    <row r="9" spans="2:5" ht="15.75">
      <c r="B9" s="63" t="s">
        <v>254</v>
      </c>
      <c r="C9" s="286">
        <v>339</v>
      </c>
      <c r="D9" s="286">
        <v>0</v>
      </c>
      <c r="E9" s="151"/>
    </row>
    <row r="10" spans="2:5" ht="15.75">
      <c r="B10" s="63" t="s">
        <v>255</v>
      </c>
      <c r="C10" s="286">
        <v>3185</v>
      </c>
      <c r="D10" s="286">
        <v>1965</v>
      </c>
      <c r="E10" s="239">
        <f>mvalloc!G11</f>
        <v>1572</v>
      </c>
    </row>
    <row r="11" spans="2:5" ht="15.75">
      <c r="B11" s="63" t="s">
        <v>256</v>
      </c>
      <c r="C11" s="286">
        <v>50</v>
      </c>
      <c r="D11" s="286">
        <v>38</v>
      </c>
      <c r="E11" s="239">
        <f>mvalloc!I11</f>
        <v>27</v>
      </c>
    </row>
    <row r="12" spans="2:5" ht="15.75">
      <c r="B12" s="289" t="s">
        <v>21</v>
      </c>
      <c r="C12" s="286">
        <v>83</v>
      </c>
      <c r="D12" s="286">
        <v>165</v>
      </c>
      <c r="E12" s="239">
        <f>mvalloc!J11</f>
        <v>138</v>
      </c>
    </row>
    <row r="13" spans="2:5" ht="15.75">
      <c r="B13" s="289" t="s">
        <v>87</v>
      </c>
      <c r="C13" s="286"/>
      <c r="D13" s="286"/>
      <c r="E13" s="239">
        <f>inputOth!E71</f>
        <v>0</v>
      </c>
    </row>
    <row r="14" spans="2:5" ht="15.75">
      <c r="B14" s="63" t="s">
        <v>257</v>
      </c>
      <c r="C14" s="286"/>
      <c r="D14" s="286"/>
      <c r="E14" s="239">
        <f>inputOth!E32</f>
        <v>0</v>
      </c>
    </row>
    <row r="15" spans="2:5" ht="15.75">
      <c r="B15" s="291" t="s">
        <v>966</v>
      </c>
      <c r="C15" s="286">
        <v>0</v>
      </c>
      <c r="D15" s="286">
        <v>0</v>
      </c>
      <c r="E15" s="151">
        <v>23.64</v>
      </c>
    </row>
    <row r="16" spans="2:5" ht="15.75">
      <c r="B16" s="290" t="s">
        <v>958</v>
      </c>
      <c r="C16" s="286">
        <f>150+257</f>
        <v>407</v>
      </c>
      <c r="D16" s="286"/>
      <c r="E16" s="151"/>
    </row>
    <row r="17" spans="2:5" ht="15.75">
      <c r="B17" s="290"/>
      <c r="C17" s="286"/>
      <c r="D17" s="286"/>
      <c r="E17" s="151"/>
    </row>
    <row r="18" spans="2:5" ht="15.75">
      <c r="B18" s="291"/>
      <c r="C18" s="286"/>
      <c r="D18" s="286"/>
      <c r="E18" s="151"/>
    </row>
    <row r="19" spans="2:5" ht="15.75">
      <c r="B19" s="291"/>
      <c r="C19" s="286"/>
      <c r="D19" s="286"/>
      <c r="E19" s="151"/>
    </row>
    <row r="20" spans="2:5" ht="15.75">
      <c r="B20" s="291"/>
      <c r="C20" s="286"/>
      <c r="D20" s="286"/>
      <c r="E20" s="151"/>
    </row>
    <row r="21" spans="2:5" ht="15.75">
      <c r="B21" s="291"/>
      <c r="C21" s="286"/>
      <c r="D21" s="286"/>
      <c r="E21" s="151"/>
    </row>
    <row r="22" spans="2:5" ht="15.75">
      <c r="B22" s="290"/>
      <c r="C22" s="286"/>
      <c r="D22" s="286"/>
      <c r="E22" s="151"/>
    </row>
    <row r="23" spans="2:5" ht="15.75">
      <c r="B23" s="291" t="s">
        <v>259</v>
      </c>
      <c r="C23" s="286"/>
      <c r="D23" s="286"/>
      <c r="E23" s="151"/>
    </row>
    <row r="24" spans="2:5" ht="15.75">
      <c r="B24" s="292" t="s">
        <v>205</v>
      </c>
      <c r="C24" s="286"/>
      <c r="D24" s="286">
        <v>781</v>
      </c>
      <c r="E24" s="151"/>
    </row>
    <row r="25" spans="2:5" ht="15.75">
      <c r="B25" s="292" t="s">
        <v>206</v>
      </c>
      <c r="C25" s="363">
        <f>IF(C26*0.1&lt;C24,"Exceed 10% Rule","")</f>
      </c>
      <c r="D25" s="363">
        <f>IF(D26*0.1&lt;D24,"Exceed 10% Rule","")</f>
      </c>
      <c r="E25" s="296">
        <f>IF(E26*0.1+E57&lt;E24,"Exceed 10% Rule","")</f>
      </c>
    </row>
    <row r="26" spans="2:5" ht="15.75">
      <c r="B26" s="294" t="s">
        <v>260</v>
      </c>
      <c r="C26" s="364">
        <f>SUM(C8:C24)</f>
        <v>18211.9</v>
      </c>
      <c r="D26" s="364">
        <f>SUM(D8:D24)</f>
        <v>18004</v>
      </c>
      <c r="E26" s="295">
        <f>SUM(E8:E24)</f>
        <v>1760.64</v>
      </c>
    </row>
    <row r="27" spans="2:5" ht="15.75">
      <c r="B27" s="81" t="s">
        <v>261</v>
      </c>
      <c r="C27" s="364">
        <f>C26+C6</f>
        <v>33471.9</v>
      </c>
      <c r="D27" s="364">
        <f>D26+D6</f>
        <v>29279.75</v>
      </c>
      <c r="E27" s="295">
        <f>E26+E6</f>
        <v>4840.39</v>
      </c>
    </row>
    <row r="28" spans="2:5" ht="15.75">
      <c r="B28" s="63" t="s">
        <v>262</v>
      </c>
      <c r="C28" s="361"/>
      <c r="D28" s="361"/>
      <c r="E28" s="239"/>
    </row>
    <row r="29" spans="2:5" ht="15.75">
      <c r="B29" s="290"/>
      <c r="C29" s="286"/>
      <c r="D29" s="286"/>
      <c r="E29" s="151"/>
    </row>
    <row r="30" spans="2:5" ht="15.75">
      <c r="B30" s="291" t="s">
        <v>53</v>
      </c>
      <c r="C30" s="286"/>
      <c r="D30" s="286">
        <v>3600</v>
      </c>
      <c r="E30" s="151">
        <v>3600</v>
      </c>
    </row>
    <row r="31" spans="2:5" ht="15.75">
      <c r="B31" s="291" t="s">
        <v>959</v>
      </c>
      <c r="C31" s="286"/>
      <c r="D31" s="286">
        <v>10000</v>
      </c>
      <c r="E31" s="151">
        <v>10000</v>
      </c>
    </row>
    <row r="32" spans="2:5" ht="15.75">
      <c r="B32" s="291" t="s">
        <v>54</v>
      </c>
      <c r="C32" s="286"/>
      <c r="D32" s="286">
        <v>300</v>
      </c>
      <c r="E32" s="151">
        <v>300</v>
      </c>
    </row>
    <row r="33" spans="2:5" ht="15.75">
      <c r="B33" s="291" t="s">
        <v>960</v>
      </c>
      <c r="C33" s="286">
        <f>6333.21+11158.94</f>
        <v>17492.15</v>
      </c>
      <c r="D33" s="286">
        <v>8000</v>
      </c>
      <c r="E33" s="151">
        <v>8000</v>
      </c>
    </row>
    <row r="34" spans="2:5" ht="15.75">
      <c r="B34" s="290" t="s">
        <v>55</v>
      </c>
      <c r="C34" s="286"/>
      <c r="D34" s="286"/>
      <c r="E34" s="151"/>
    </row>
    <row r="35" spans="2:5" ht="15.75">
      <c r="B35" s="290" t="s">
        <v>67</v>
      </c>
      <c r="C35" s="286"/>
      <c r="D35" s="286"/>
      <c r="E35" s="151"/>
    </row>
    <row r="36" spans="2:5" ht="15.75">
      <c r="B36" s="291" t="s">
        <v>68</v>
      </c>
      <c r="C36" s="286">
        <v>2204</v>
      </c>
      <c r="D36" s="286">
        <v>2300</v>
      </c>
      <c r="E36" s="151">
        <v>2300</v>
      </c>
    </row>
    <row r="37" spans="2:5" ht="15.75">
      <c r="B37" s="291" t="s">
        <v>961</v>
      </c>
      <c r="C37" s="286"/>
      <c r="D37" s="286">
        <v>2000</v>
      </c>
      <c r="E37" s="151">
        <v>2000</v>
      </c>
    </row>
    <row r="38" spans="2:5" ht="15.75">
      <c r="B38" s="291"/>
      <c r="C38" s="286"/>
      <c r="D38" s="286"/>
      <c r="E38" s="151"/>
    </row>
    <row r="39" spans="2:5" ht="15.75">
      <c r="B39" s="291"/>
      <c r="C39" s="286"/>
      <c r="D39" s="286"/>
      <c r="E39" s="151"/>
    </row>
    <row r="40" spans="2:5" ht="15.75">
      <c r="B40" s="291"/>
      <c r="C40" s="286"/>
      <c r="D40" s="286"/>
      <c r="E40" s="151"/>
    </row>
    <row r="41" spans="2:10" ht="15.75">
      <c r="B41" s="290"/>
      <c r="C41" s="286"/>
      <c r="D41" s="286"/>
      <c r="E41" s="151"/>
      <c r="G41" s="852" t="str">
        <f>CONCATENATE("Desired Carryover Into ",E1+1,"")</f>
        <v>Desired Carryover Into 2016</v>
      </c>
      <c r="H41" s="853"/>
      <c r="I41" s="853"/>
      <c r="J41" s="854"/>
    </row>
    <row r="42" spans="2:10" ht="15.75">
      <c r="B42" s="291"/>
      <c r="C42" s="286"/>
      <c r="D42" s="286"/>
      <c r="E42" s="151"/>
      <c r="G42" s="475"/>
      <c r="H42" s="54"/>
      <c r="I42" s="517"/>
      <c r="J42" s="476"/>
    </row>
    <row r="43" spans="2:10" ht="15.75">
      <c r="B43" s="289" t="s">
        <v>165</v>
      </c>
      <c r="C43" s="286"/>
      <c r="D43" s="286"/>
      <c r="E43" s="151"/>
      <c r="G43" s="477" t="s">
        <v>698</v>
      </c>
      <c r="H43" s="517"/>
      <c r="I43" s="517"/>
      <c r="J43" s="478">
        <v>0</v>
      </c>
    </row>
    <row r="44" spans="2:10" ht="15.75">
      <c r="B44" s="289" t="s">
        <v>166</v>
      </c>
      <c r="C44" s="363">
        <f>IF(AND($C$43&gt;0,$C$8&gt;0),"Not Authorized","")</f>
      </c>
      <c r="D44" s="363">
        <f>IF(AND($D$43&gt;0,$D$8&gt;0),"Not Authorized","")</f>
      </c>
      <c r="E44" s="296">
        <f>IF(AND(E57&gt;0,$E$43&gt;0),"Not Authorized","")</f>
      </c>
      <c r="G44" s="475" t="s">
        <v>699</v>
      </c>
      <c r="H44" s="54"/>
      <c r="I44" s="54"/>
      <c r="J44" s="684">
        <f>IF(J43=0,"",ROUND((J43+E57-G56)/inputOth!E11*1000,3)-G61)</f>
      </c>
    </row>
    <row r="45" spans="2:10" ht="15.75">
      <c r="B45" s="63" t="s">
        <v>167</v>
      </c>
      <c r="C45" s="286">
        <v>2500</v>
      </c>
      <c r="D45" s="286"/>
      <c r="E45" s="151"/>
      <c r="G45" s="685" t="str">
        <f>CONCATENATE("",E1," Tot Exp/Non-Appr Must Be:")</f>
        <v>2015 Tot Exp/Non-Appr Must Be:</v>
      </c>
      <c r="H45" s="510"/>
      <c r="I45" s="681"/>
      <c r="J45" s="686">
        <f>IF(J43&gt;0,IF(E54&lt;E23,IF(J43=G56,E54,((J43-G56)*(1-D56))+E23),E54+(J43-G56)),0)</f>
        <v>0</v>
      </c>
    </row>
    <row r="46" spans="2:10" ht="15.75">
      <c r="B46" s="63" t="s">
        <v>739</v>
      </c>
      <c r="C46" s="363">
        <f>IF(C27*0.25&lt;C45,"Exceeds 25%","")</f>
      </c>
      <c r="D46" s="363">
        <f>IF(D27*0.25&lt;D45,"Exceeds 25%","")</f>
      </c>
      <c r="E46" s="296">
        <f>IF(E27*0.25+E57&lt;E45,"Exceeds 25%","")</f>
      </c>
      <c r="G46" s="687" t="s">
        <v>828</v>
      </c>
      <c r="H46" s="688"/>
      <c r="I46" s="688"/>
      <c r="J46" s="689">
        <f>IF(J43&gt;0,J45-E54,0)</f>
        <v>0</v>
      </c>
    </row>
    <row r="47" spans="2:5" ht="15.75">
      <c r="B47" s="289" t="s">
        <v>207</v>
      </c>
      <c r="C47" s="286"/>
      <c r="D47" s="286"/>
      <c r="E47" s="162">
        <f>nhood!E6</f>
      </c>
    </row>
    <row r="48" spans="2:10" ht="15.75">
      <c r="B48" s="289" t="s">
        <v>205</v>
      </c>
      <c r="C48" s="286"/>
      <c r="D48" s="286"/>
      <c r="E48" s="151"/>
      <c r="G48" s="852" t="str">
        <f>CONCATENATE("Projected Carryover Into ",E1+1,"")</f>
        <v>Projected Carryover Into 2016</v>
      </c>
      <c r="H48" s="853"/>
      <c r="I48" s="853"/>
      <c r="J48" s="854"/>
    </row>
    <row r="49" spans="2:10" ht="15.75">
      <c r="B49" s="289" t="s">
        <v>695</v>
      </c>
      <c r="C49" s="363">
        <f>IF(C50*0.1&lt;C48,"Exceed 10% Rule","")</f>
      </c>
      <c r="D49" s="363">
        <f>IF(D50*0.1&lt;D48,"Exceed 10% Rule","")</f>
      </c>
      <c r="E49" s="296">
        <f>IF(E50*0.1&lt;E48,"Exceed 10% Rule","")</f>
      </c>
      <c r="G49" s="474"/>
      <c r="H49" s="54"/>
      <c r="I49" s="54"/>
      <c r="J49" s="67"/>
    </row>
    <row r="50" spans="2:10" ht="15.75">
      <c r="B50" s="81" t="s">
        <v>263</v>
      </c>
      <c r="C50" s="364">
        <f>SUM(C29:C43,C45,C47:C48)</f>
        <v>22196.15</v>
      </c>
      <c r="D50" s="364">
        <f>SUM(D29:D43,D45,D47:D48)</f>
        <v>26200</v>
      </c>
      <c r="E50" s="295">
        <f>SUM(E29:E43,E47:E48,E45)</f>
        <v>26200</v>
      </c>
      <c r="G50" s="514">
        <f>D51</f>
        <v>3079.75</v>
      </c>
      <c r="H50" s="515" t="str">
        <f>CONCATENATE("",E1-1," Ending Cash Balance (est.)")</f>
        <v>2014 Ending Cash Balance (est.)</v>
      </c>
      <c r="I50" s="516"/>
      <c r="J50" s="67"/>
    </row>
    <row r="51" spans="2:10" ht="15.75">
      <c r="B51" s="63" t="s">
        <v>61</v>
      </c>
      <c r="C51" s="365">
        <f>C27-C50</f>
        <v>11275.75</v>
      </c>
      <c r="D51" s="365">
        <f>D27-D50</f>
        <v>3079.75</v>
      </c>
      <c r="E51" s="288" t="s">
        <v>232</v>
      </c>
      <c r="G51" s="514">
        <f>E26</f>
        <v>1760.64</v>
      </c>
      <c r="H51" s="517" t="str">
        <f>CONCATENATE("",E1," Non-AV Receipts (est.)")</f>
        <v>2015 Non-AV Receipts (est.)</v>
      </c>
      <c r="I51" s="516"/>
      <c r="J51" s="67"/>
    </row>
    <row r="52" spans="2:11" ht="15.75">
      <c r="B52" s="98" t="str">
        <f>CONCATENATE("",E1-2,"/",E1-1,"/",E1," Budget Authority Amount:")</f>
        <v>2013/2014/2015 Budget Authority Amount:</v>
      </c>
      <c r="C52" s="722">
        <f>inputOth!B83</f>
        <v>23900</v>
      </c>
      <c r="D52" s="722">
        <f>inputPrYr!D20</f>
        <v>26200</v>
      </c>
      <c r="E52" s="239">
        <f>E50</f>
        <v>26200</v>
      </c>
      <c r="F52" s="297"/>
      <c r="G52" s="518">
        <f>IF(D56&gt;0,E55,E57)</f>
        <v>21359.61</v>
      </c>
      <c r="H52" s="517" t="str">
        <f>CONCATENATE("",E1," Ad Valorem Tax (est.)")</f>
        <v>2015 Ad Valorem Tax (est.)</v>
      </c>
      <c r="I52" s="516"/>
      <c r="J52" s="67"/>
      <c r="K52" s="690">
        <f>IF(G52=E57,"","Note: Does not include Delinquent Taxes")</f>
      </c>
    </row>
    <row r="53" spans="2:10" ht="15.75">
      <c r="B53" s="99"/>
      <c r="C53" s="846" t="s">
        <v>692</v>
      </c>
      <c r="D53" s="847"/>
      <c r="E53" s="151"/>
      <c r="F53" s="297">
        <f>IF(E50/0.95-E50&lt;E53,"Exceeds 5%","")</f>
      </c>
      <c r="G53" s="514">
        <f>SUM(G50:G52)</f>
        <v>26200</v>
      </c>
      <c r="H53" s="517" t="str">
        <f>CONCATENATE("Total ",E1," Resources Available")</f>
        <v>Total 2015 Resources Available</v>
      </c>
      <c r="I53" s="516"/>
      <c r="J53" s="67"/>
    </row>
    <row r="54" spans="2:10" ht="15.75">
      <c r="B54" s="470" t="str">
        <f>CONCATENATE(C74,"      ",D74)</f>
        <v>      </v>
      </c>
      <c r="C54" s="848" t="s">
        <v>693</v>
      </c>
      <c r="D54" s="849"/>
      <c r="E54" s="239">
        <f>E50+E53</f>
        <v>26200</v>
      </c>
      <c r="G54" s="519"/>
      <c r="H54" s="517"/>
      <c r="I54" s="517"/>
      <c r="J54" s="67"/>
    </row>
    <row r="55" spans="2:10" ht="15.75">
      <c r="B55" s="470" t="str">
        <f>CONCATENATE(C75,"       ",D75)</f>
        <v>       </v>
      </c>
      <c r="C55" s="473"/>
      <c r="D55" s="472" t="s">
        <v>265</v>
      </c>
      <c r="E55" s="162">
        <f>IF(E54-E27&gt;0,E54-E27,0)</f>
        <v>21359.61</v>
      </c>
      <c r="G55" s="518">
        <f>ROUND(C50*0.05+C50,0)</f>
        <v>23306</v>
      </c>
      <c r="H55" s="517" t="str">
        <f>CONCATENATE("Less ",E1-2," Expenditures + 5%")</f>
        <v>Less 2013 Expenditures + 5%</v>
      </c>
      <c r="I55" s="516"/>
      <c r="J55" s="67"/>
    </row>
    <row r="56" spans="2:10" ht="15.75">
      <c r="B56" s="190"/>
      <c r="C56" s="471" t="s">
        <v>694</v>
      </c>
      <c r="D56" s="683">
        <f>inputOth!$E$77</f>
        <v>0</v>
      </c>
      <c r="E56" s="239">
        <f>ROUND(IF(D56&gt;0,(E55*D56),0),0)</f>
        <v>0</v>
      </c>
      <c r="G56" s="520">
        <f>G53-G55</f>
        <v>2894</v>
      </c>
      <c r="H56" s="521" t="str">
        <f>CONCATENATE("Projected ",E1+1," Carryover (est.)")</f>
        <v>Projected 2016 Carryover (est.)</v>
      </c>
      <c r="I56" s="522"/>
      <c r="J56" s="523"/>
    </row>
    <row r="57" spans="2:5" ht="15.75">
      <c r="B57" s="48"/>
      <c r="C57" s="850" t="str">
        <f>CONCATENATE("Amount of  ",$E$1-1," Ad Valorem Tax")</f>
        <v>Amount of  2014 Ad Valorem Tax</v>
      </c>
      <c r="D57" s="851"/>
      <c r="E57" s="162">
        <f>E55+E56</f>
        <v>21359.61</v>
      </c>
    </row>
    <row r="58" spans="2:10" ht="15.75">
      <c r="B58" s="48"/>
      <c r="C58" s="48"/>
      <c r="D58" s="48"/>
      <c r="E58" s="48"/>
      <c r="G58" s="855" t="s">
        <v>829</v>
      </c>
      <c r="H58" s="856"/>
      <c r="I58" s="856"/>
      <c r="J58" s="857"/>
    </row>
    <row r="59" spans="2:11" s="299" customFormat="1" ht="15.75">
      <c r="B59" s="54"/>
      <c r="C59" s="54"/>
      <c r="D59" s="246"/>
      <c r="E59" s="54"/>
      <c r="G59" s="691"/>
      <c r="H59" s="515"/>
      <c r="I59" s="682"/>
      <c r="J59" s="692"/>
      <c r="K59" s="137"/>
    </row>
    <row r="60" spans="2:11" s="300" customFormat="1" ht="15.75">
      <c r="B60" s="48"/>
      <c r="C60" s="48"/>
      <c r="D60" s="169"/>
      <c r="E60" s="48"/>
      <c r="G60" s="693">
        <f>summ!H18</f>
        <v>2.878</v>
      </c>
      <c r="H60" s="515" t="str">
        <f>CONCATENATE("",E1," Fund Mill Rate")</f>
        <v>2015 Fund Mill Rate</v>
      </c>
      <c r="I60" s="682"/>
      <c r="J60" s="692"/>
      <c r="K60" s="137"/>
    </row>
    <row r="61" spans="2:10" ht="15.75">
      <c r="B61" s="190" t="s">
        <v>246</v>
      </c>
      <c r="C61" s="134">
        <v>7</v>
      </c>
      <c r="D61" s="48"/>
      <c r="E61" s="48"/>
      <c r="G61" s="694">
        <f>summ!E18</f>
        <v>2.108</v>
      </c>
      <c r="H61" s="515" t="str">
        <f>CONCATENATE("",E1-1," Fund Mill Rate")</f>
        <v>2014 Fund Mill Rate</v>
      </c>
      <c r="I61" s="682"/>
      <c r="J61" s="692"/>
    </row>
    <row r="62" spans="7:10" ht="15.75">
      <c r="G62" s="695">
        <f>summ!H36</f>
        <v>17.049</v>
      </c>
      <c r="H62" s="515" t="str">
        <f>CONCATENATE("Total ",E1," Mill Rate")</f>
        <v>Total 2015 Mill Rate</v>
      </c>
      <c r="I62" s="682"/>
      <c r="J62" s="692"/>
    </row>
    <row r="63" spans="2:10" ht="15.75">
      <c r="B63" s="91"/>
      <c r="G63" s="694">
        <f>summ!E36</f>
        <v>19.204</v>
      </c>
      <c r="H63" s="696" t="str">
        <f>CONCATENATE("Total ",E1-1," Mill Rate")</f>
        <v>Total 2014 Mill Rate</v>
      </c>
      <c r="I63" s="697"/>
      <c r="J63" s="698"/>
    </row>
    <row r="65" spans="7:9" ht="15.75">
      <c r="G65" s="751" t="s">
        <v>928</v>
      </c>
      <c r="H65" s="710"/>
      <c r="I65" s="709" t="str">
        <f>cert!E41</f>
        <v>No</v>
      </c>
    </row>
    <row r="74" spans="3:4" ht="15.75" hidden="1">
      <c r="C74" s="137">
        <f>IF(C50&gt;C52,"See Tab A","")</f>
      </c>
      <c r="D74" s="137">
        <f>IF(D50&gt;D52,"See Tab C","")</f>
      </c>
    </row>
    <row r="75" spans="3:4" ht="15.7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C15" sqref="C15"/>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841" t="s">
        <v>772</v>
      </c>
      <c r="C2" s="841"/>
      <c r="D2" s="841"/>
      <c r="E2" s="841"/>
      <c r="F2" s="841"/>
      <c r="G2" s="841"/>
      <c r="H2" s="841"/>
      <c r="I2" s="841"/>
    </row>
    <row r="3" spans="2:9" ht="15.75">
      <c r="B3" s="841" t="s">
        <v>773</v>
      </c>
      <c r="C3" s="841"/>
      <c r="D3" s="841"/>
      <c r="E3" s="841"/>
      <c r="F3" s="841"/>
      <c r="G3" s="841"/>
      <c r="H3" s="841"/>
      <c r="I3" s="841"/>
    </row>
    <row r="4" spans="2:9" ht="15.75">
      <c r="B4" s="557"/>
      <c r="C4" s="557"/>
      <c r="D4" s="557"/>
      <c r="E4" s="557"/>
      <c r="F4" s="557"/>
      <c r="G4" s="557"/>
      <c r="H4" s="557"/>
      <c r="I4" s="557"/>
    </row>
    <row r="5" spans="2:9" ht="15.75">
      <c r="B5" s="842" t="str">
        <f>CONCATENATE("Budgeted Year: ",inputPrYr!D9,"")</f>
        <v>Budgeted Year: 2015</v>
      </c>
      <c r="C5" s="842"/>
      <c r="D5" s="842"/>
      <c r="E5" s="842"/>
      <c r="F5" s="842"/>
      <c r="G5" s="842"/>
      <c r="H5" s="842"/>
      <c r="I5" s="842"/>
    </row>
    <row r="6" spans="2:9" ht="15.75">
      <c r="B6" s="558"/>
      <c r="C6" s="557"/>
      <c r="D6" s="557"/>
      <c r="E6" s="557"/>
      <c r="F6" s="557"/>
      <c r="G6" s="557"/>
      <c r="H6" s="557"/>
      <c r="I6" s="557"/>
    </row>
    <row r="7" spans="2:9" ht="15.75">
      <c r="B7" s="558" t="str">
        <f>CONCATENATE("Library found in: ",inputPrYr!D3,"")</f>
        <v>Library found in: Greeley Township</v>
      </c>
      <c r="C7" s="557"/>
      <c r="D7" s="557"/>
      <c r="E7" s="557"/>
      <c r="F7" s="557"/>
      <c r="G7" s="557"/>
      <c r="H7" s="557"/>
      <c r="I7" s="557"/>
    </row>
    <row r="8" spans="2:9" ht="15.75">
      <c r="B8" s="558" t="str">
        <f>inputPrYr!D4</f>
        <v>Sedgwick County</v>
      </c>
      <c r="C8" s="557"/>
      <c r="D8" s="557"/>
      <c r="E8" s="557"/>
      <c r="F8" s="557"/>
      <c r="G8" s="557"/>
      <c r="H8" s="557"/>
      <c r="I8" s="557"/>
    </row>
    <row r="9" spans="2:9" ht="15.75">
      <c r="B9" s="557"/>
      <c r="C9" s="557"/>
      <c r="D9" s="557"/>
      <c r="E9" s="557"/>
      <c r="F9" s="557"/>
      <c r="G9" s="557"/>
      <c r="H9" s="557"/>
      <c r="I9" s="557"/>
    </row>
    <row r="10" spans="2:9" ht="39" customHeight="1">
      <c r="B10" s="843" t="s">
        <v>774</v>
      </c>
      <c r="C10" s="843"/>
      <c r="D10" s="843"/>
      <c r="E10" s="843"/>
      <c r="F10" s="843"/>
      <c r="G10" s="843"/>
      <c r="H10" s="843"/>
      <c r="I10" s="843"/>
    </row>
    <row r="11" spans="2:9" ht="15.75">
      <c r="B11" s="557"/>
      <c r="C11" s="557"/>
      <c r="D11" s="557"/>
      <c r="E11" s="557"/>
      <c r="F11" s="557"/>
      <c r="G11" s="557"/>
      <c r="H11" s="557"/>
      <c r="I11" s="557"/>
    </row>
    <row r="12" spans="2:9" ht="15.75">
      <c r="B12" s="559" t="s">
        <v>775</v>
      </c>
      <c r="C12" s="557"/>
      <c r="D12" s="557"/>
      <c r="E12" s="557"/>
      <c r="F12" s="557"/>
      <c r="G12" s="557"/>
      <c r="H12" s="557"/>
      <c r="I12" s="557"/>
    </row>
    <row r="13" spans="2:9" ht="15.75">
      <c r="B13" s="557"/>
      <c r="C13" s="557"/>
      <c r="D13" s="557"/>
      <c r="E13" s="560" t="s">
        <v>249</v>
      </c>
      <c r="F13" s="557"/>
      <c r="G13" s="560" t="s">
        <v>776</v>
      </c>
      <c r="H13" s="557"/>
      <c r="I13" s="557"/>
    </row>
    <row r="14" spans="2:9" ht="15.75">
      <c r="B14" s="557"/>
      <c r="C14" s="557"/>
      <c r="D14" s="557"/>
      <c r="E14" s="561">
        <f>inputPrYr!D9-1</f>
        <v>2014</v>
      </c>
      <c r="F14" s="557"/>
      <c r="G14" s="561">
        <f>inputPrYr!D9</f>
        <v>2015</v>
      </c>
      <c r="H14" s="557"/>
      <c r="I14" s="557"/>
    </row>
    <row r="15" spans="2:9" ht="15.75">
      <c r="B15" s="558" t="str">
        <f>'DebtSvs-Library'!B48</f>
        <v>Ad Valorem Tax</v>
      </c>
      <c r="C15" s="557"/>
      <c r="D15" s="557"/>
      <c r="E15" s="562">
        <f>'DebtSvs-Library'!D48</f>
        <v>6393</v>
      </c>
      <c r="F15" s="557"/>
      <c r="G15" s="562">
        <f>'DebtSvs-Library'!E80</f>
        <v>6667.47</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885</v>
      </c>
      <c r="F17" s="557"/>
      <c r="G17" s="562">
        <f>'DebtSvs-Library'!E50</f>
        <v>668</v>
      </c>
      <c r="H17" s="557"/>
      <c r="I17" s="557"/>
    </row>
    <row r="18" spans="2:9" ht="15.75">
      <c r="B18" s="558" t="str">
        <f>'DebtSvs-Library'!B51</f>
        <v>Recreational Vehicle Tax</v>
      </c>
      <c r="C18" s="557"/>
      <c r="D18" s="557"/>
      <c r="E18" s="562">
        <f>'DebtSvs-Library'!D51</f>
        <v>17</v>
      </c>
      <c r="F18" s="557"/>
      <c r="G18" s="562">
        <f>'DebtSvs-Library'!E51</f>
        <v>11</v>
      </c>
      <c r="H18" s="557"/>
      <c r="I18" s="557"/>
    </row>
    <row r="19" spans="2:9" ht="15.75">
      <c r="B19" s="558" t="str">
        <f>'DebtSvs-Library'!B52</f>
        <v>16/20M Vehicle Tax</v>
      </c>
      <c r="C19" s="557"/>
      <c r="D19" s="557"/>
      <c r="E19" s="562">
        <f>'DebtSvs-Library'!D52</f>
        <v>75</v>
      </c>
      <c r="F19" s="557"/>
      <c r="G19" s="562">
        <f>'DebtSvs-Library'!E52</f>
        <v>59</v>
      </c>
      <c r="H19" s="557"/>
      <c r="I19" s="557"/>
    </row>
    <row r="20" spans="2:9" ht="15.75">
      <c r="B20" s="557" t="s">
        <v>87</v>
      </c>
      <c r="C20" s="557"/>
      <c r="D20" s="557"/>
      <c r="E20" s="562">
        <v>0</v>
      </c>
      <c r="F20" s="557"/>
      <c r="G20" s="562">
        <v>0</v>
      </c>
      <c r="H20" s="557"/>
      <c r="I20" s="557"/>
    </row>
    <row r="21" spans="2:9" ht="15.75">
      <c r="B21" s="557"/>
      <c r="C21" s="557"/>
      <c r="D21" s="557"/>
      <c r="E21" s="562">
        <v>0</v>
      </c>
      <c r="F21" s="557"/>
      <c r="G21" s="562">
        <v>0</v>
      </c>
      <c r="H21" s="557"/>
      <c r="I21" s="557"/>
    </row>
    <row r="22" spans="2:9" ht="15.75">
      <c r="B22" s="557" t="s">
        <v>777</v>
      </c>
      <c r="C22" s="557"/>
      <c r="D22" s="557"/>
      <c r="E22" s="563">
        <f>SUM(E15:E21)</f>
        <v>7370</v>
      </c>
      <c r="F22" s="557"/>
      <c r="G22" s="563">
        <f>SUM(G15:G21)</f>
        <v>7405.47</v>
      </c>
      <c r="H22" s="557"/>
      <c r="I22" s="557"/>
    </row>
    <row r="23" spans="2:9" ht="15.75">
      <c r="B23" s="557" t="s">
        <v>778</v>
      </c>
      <c r="C23" s="557"/>
      <c r="D23" s="557"/>
      <c r="E23" s="564">
        <f>G22-E22</f>
        <v>35.470000000000255</v>
      </c>
      <c r="F23" s="557"/>
      <c r="G23" s="565"/>
      <c r="H23" s="557"/>
      <c r="I23" s="557"/>
    </row>
    <row r="24" spans="2:9" ht="15.75">
      <c r="B24" s="557" t="s">
        <v>779</v>
      </c>
      <c r="C24" s="557"/>
      <c r="D24" s="566" t="str">
        <f>IF((G22-E22)&gt;0,"Qualify","Not Qualify")</f>
        <v>Qualify</v>
      </c>
      <c r="E24" s="557"/>
      <c r="F24" s="557"/>
      <c r="G24" s="557"/>
      <c r="H24" s="557"/>
      <c r="I24" s="557"/>
    </row>
    <row r="25" spans="2:9" ht="15.75">
      <c r="B25" s="557"/>
      <c r="C25" s="557"/>
      <c r="D25" s="557"/>
      <c r="E25" s="557"/>
      <c r="F25" s="557"/>
      <c r="G25" s="557"/>
      <c r="H25" s="557"/>
      <c r="I25" s="557"/>
    </row>
    <row r="26" spans="2:9" ht="15.75">
      <c r="B26" s="559" t="s">
        <v>780</v>
      </c>
      <c r="C26" s="557"/>
      <c r="D26" s="557"/>
      <c r="E26" s="557"/>
      <c r="F26" s="557"/>
      <c r="G26" s="557"/>
      <c r="H26" s="557"/>
      <c r="I26" s="557"/>
    </row>
    <row r="27" spans="2:9" ht="15.75">
      <c r="B27" s="557" t="s">
        <v>781</v>
      </c>
      <c r="C27" s="557"/>
      <c r="D27" s="557"/>
      <c r="E27" s="562">
        <f>summ!D40</f>
        <v>7140540</v>
      </c>
      <c r="F27" s="557"/>
      <c r="G27" s="562">
        <f>summ!F40</f>
        <v>7422526</v>
      </c>
      <c r="H27" s="557"/>
      <c r="I27" s="557"/>
    </row>
    <row r="28" spans="2:9" ht="15.75">
      <c r="B28" s="557" t="s">
        <v>782</v>
      </c>
      <c r="C28" s="557"/>
      <c r="D28" s="557"/>
      <c r="E28" s="567" t="str">
        <f>IF(G27-E27&gt;=0,"No","Yes")</f>
        <v>No</v>
      </c>
      <c r="F28" s="557"/>
      <c r="G28" s="557"/>
      <c r="H28" s="557"/>
      <c r="I28" s="557"/>
    </row>
    <row r="29" spans="2:9" ht="15.75">
      <c r="B29" s="557" t="s">
        <v>783</v>
      </c>
      <c r="C29" s="557"/>
      <c r="D29" s="557"/>
      <c r="E29" s="568">
        <f>summ!E20</f>
        <v>2</v>
      </c>
      <c r="F29" s="557"/>
      <c r="G29" s="568">
        <f>summ!H36</f>
        <v>17.049</v>
      </c>
      <c r="H29" s="557"/>
      <c r="I29" s="557"/>
    </row>
    <row r="30" spans="2:9" ht="15.75">
      <c r="B30" s="557" t="s">
        <v>784</v>
      </c>
      <c r="C30" s="557"/>
      <c r="D30" s="557"/>
      <c r="E30" s="569">
        <f>G29-E29</f>
        <v>15.049</v>
      </c>
      <c r="F30" s="557"/>
      <c r="G30" s="557"/>
      <c r="H30" s="557"/>
      <c r="I30" s="557"/>
    </row>
    <row r="31" spans="2:9" ht="15.75">
      <c r="B31" s="557" t="s">
        <v>779</v>
      </c>
      <c r="C31" s="557"/>
      <c r="D31" s="570" t="str">
        <f>IF(E30&gt;=0,"Qualify","Not Qualify")</f>
        <v>Qualify</v>
      </c>
      <c r="E31" s="557"/>
      <c r="F31" s="557"/>
      <c r="G31" s="557"/>
      <c r="H31" s="557"/>
      <c r="I31" s="557"/>
    </row>
    <row r="32" spans="2:9" ht="15.75">
      <c r="B32" s="557"/>
      <c r="C32" s="557"/>
      <c r="D32" s="557"/>
      <c r="E32" s="557"/>
      <c r="F32" s="557"/>
      <c r="G32" s="557"/>
      <c r="H32" s="557"/>
      <c r="I32" s="557"/>
    </row>
    <row r="33" spans="2:9" ht="15.75">
      <c r="B33" s="557" t="s">
        <v>785</v>
      </c>
      <c r="C33" s="557"/>
      <c r="D33" s="557"/>
      <c r="E33" s="557"/>
      <c r="F33" s="571" t="str">
        <f>IF(D24="Not Qualify",IF(D31="Not Qualify",IF(D31="Not Qualify","Not Qualify","Qualify"),"Qualify"),"Qualify")</f>
        <v>Qualify</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843" t="s">
        <v>786</v>
      </c>
      <c r="C36" s="843"/>
      <c r="D36" s="843"/>
      <c r="E36" s="843"/>
      <c r="F36" s="843"/>
      <c r="G36" s="843"/>
      <c r="H36" s="843"/>
      <c r="I36" s="843"/>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787</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844" t="s">
        <v>788</v>
      </c>
      <c r="C43" s="845"/>
      <c r="D43" s="845"/>
      <c r="E43" s="845"/>
      <c r="F43" s="845"/>
      <c r="G43" s="845"/>
      <c r="H43" s="845"/>
      <c r="I43" s="845"/>
    </row>
    <row r="44" spans="2:9" ht="15.75">
      <c r="B44" s="557"/>
      <c r="C44" s="557"/>
      <c r="D44" s="557"/>
      <c r="E44" s="557"/>
      <c r="F44" s="557"/>
      <c r="G44" s="557"/>
      <c r="H44" s="557"/>
      <c r="I44" s="557"/>
    </row>
    <row r="45" spans="2:9" ht="15.75">
      <c r="B45" s="574" t="s">
        <v>789</v>
      </c>
      <c r="C45" s="557"/>
      <c r="D45" s="557"/>
      <c r="E45" s="557"/>
      <c r="F45" s="557"/>
      <c r="G45" s="557"/>
      <c r="H45" s="557"/>
      <c r="I45" s="557"/>
    </row>
    <row r="46" spans="2:9" ht="15.7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75">
      <c r="B47" s="574" t="str">
        <f>CONCATENATE("sources in ",E14,".")</f>
        <v>sources in 2014.</v>
      </c>
      <c r="C47" s="555"/>
      <c r="D47" s="555"/>
      <c r="E47" s="555"/>
      <c r="F47" s="555"/>
      <c r="G47" s="555"/>
      <c r="H47" s="555"/>
      <c r="I47" s="555"/>
    </row>
    <row r="48" spans="2:9" ht="15.75">
      <c r="B48" s="555"/>
      <c r="C48" s="555"/>
      <c r="D48" s="555"/>
      <c r="E48" s="555"/>
      <c r="F48" s="555"/>
      <c r="G48" s="555"/>
      <c r="H48" s="555"/>
      <c r="I48" s="555"/>
    </row>
    <row r="49" spans="2:9" ht="15.75">
      <c r="B49" s="574" t="s">
        <v>790</v>
      </c>
      <c r="C49" s="574"/>
      <c r="D49" s="575"/>
      <c r="E49" s="575"/>
      <c r="F49" s="575"/>
      <c r="G49" s="575"/>
      <c r="H49" s="575"/>
      <c r="I49" s="575"/>
    </row>
    <row r="50" spans="2:9" ht="15.75">
      <c r="B50" s="574" t="s">
        <v>791</v>
      </c>
      <c r="C50" s="574"/>
      <c r="D50" s="575"/>
      <c r="E50" s="575"/>
      <c r="F50" s="575"/>
      <c r="G50" s="575"/>
      <c r="H50" s="575"/>
      <c r="I50" s="575"/>
    </row>
    <row r="51" spans="2:9" ht="15.75">
      <c r="B51" s="574" t="s">
        <v>792</v>
      </c>
      <c r="C51" s="574"/>
      <c r="D51" s="575"/>
      <c r="E51" s="575"/>
      <c r="F51" s="575"/>
      <c r="G51" s="575"/>
      <c r="H51" s="575"/>
      <c r="I51" s="575"/>
    </row>
    <row r="52" spans="2:9" ht="15">
      <c r="B52" s="575"/>
      <c r="C52" s="575"/>
      <c r="D52" s="575"/>
      <c r="E52" s="575"/>
      <c r="F52" s="575"/>
      <c r="G52" s="575"/>
      <c r="H52" s="575"/>
      <c r="I52" s="575"/>
    </row>
    <row r="53" spans="2:9" ht="15.75">
      <c r="B53" s="576" t="s">
        <v>793</v>
      </c>
      <c r="C53" s="575"/>
      <c r="D53" s="575"/>
      <c r="E53" s="575"/>
      <c r="F53" s="575"/>
      <c r="G53" s="575"/>
      <c r="H53" s="575"/>
      <c r="I53" s="575"/>
    </row>
    <row r="54" spans="2:9" ht="15">
      <c r="B54" s="575"/>
      <c r="C54" s="575"/>
      <c r="D54" s="575"/>
      <c r="E54" s="575"/>
      <c r="F54" s="575"/>
      <c r="G54" s="575"/>
      <c r="H54" s="575"/>
      <c r="I54" s="575"/>
    </row>
    <row r="55" spans="2:9" ht="15.75">
      <c r="B55" s="574" t="s">
        <v>794</v>
      </c>
      <c r="C55" s="575"/>
      <c r="D55" s="575"/>
      <c r="E55" s="575"/>
      <c r="F55" s="575"/>
      <c r="G55" s="575"/>
      <c r="H55" s="575"/>
      <c r="I55" s="575"/>
    </row>
    <row r="56" spans="2:9" ht="15.75">
      <c r="B56" s="574" t="s">
        <v>795</v>
      </c>
      <c r="C56" s="575"/>
      <c r="D56" s="575"/>
      <c r="E56" s="575"/>
      <c r="F56" s="575"/>
      <c r="G56" s="575"/>
      <c r="H56" s="575"/>
      <c r="I56" s="575"/>
    </row>
    <row r="57" spans="2:9" ht="15">
      <c r="B57" s="575"/>
      <c r="C57" s="575"/>
      <c r="D57" s="575"/>
      <c r="E57" s="575"/>
      <c r="F57" s="575"/>
      <c r="G57" s="575"/>
      <c r="H57" s="575"/>
      <c r="I57" s="575"/>
    </row>
    <row r="58" spans="2:9" ht="15.75">
      <c r="B58" s="576" t="s">
        <v>796</v>
      </c>
      <c r="C58" s="574"/>
      <c r="D58" s="574"/>
      <c r="E58" s="574"/>
      <c r="F58" s="574"/>
      <c r="G58" s="575"/>
      <c r="H58" s="575"/>
      <c r="I58" s="575"/>
    </row>
    <row r="59" spans="2:9" ht="15.75">
      <c r="B59" s="574"/>
      <c r="C59" s="574"/>
      <c r="D59" s="574"/>
      <c r="E59" s="574"/>
      <c r="F59" s="574"/>
      <c r="G59" s="575"/>
      <c r="H59" s="575"/>
      <c r="I59" s="575"/>
    </row>
    <row r="60" spans="2:9" ht="15.75">
      <c r="B60" s="574" t="s">
        <v>797</v>
      </c>
      <c r="C60" s="574"/>
      <c r="D60" s="574"/>
      <c r="E60" s="574"/>
      <c r="F60" s="574"/>
      <c r="G60" s="575"/>
      <c r="H60" s="575"/>
      <c r="I60" s="575"/>
    </row>
    <row r="61" spans="2:9" ht="15.75">
      <c r="B61" s="574" t="s">
        <v>798</v>
      </c>
      <c r="C61" s="574"/>
      <c r="D61" s="574"/>
      <c r="E61" s="574"/>
      <c r="F61" s="574"/>
      <c r="G61" s="575"/>
      <c r="H61" s="575"/>
      <c r="I61" s="575"/>
    </row>
    <row r="62" spans="2:9" ht="15.75">
      <c r="B62" s="574" t="s">
        <v>799</v>
      </c>
      <c r="C62" s="574"/>
      <c r="D62" s="574"/>
      <c r="E62" s="574"/>
      <c r="F62" s="574"/>
      <c r="G62" s="575"/>
      <c r="H62" s="575"/>
      <c r="I62" s="575"/>
    </row>
    <row r="63" spans="2:9" ht="15.75">
      <c r="B63" s="574" t="s">
        <v>800</v>
      </c>
      <c r="C63" s="574"/>
      <c r="D63" s="574"/>
      <c r="E63" s="574"/>
      <c r="F63" s="574"/>
      <c r="G63" s="575"/>
      <c r="H63" s="575"/>
      <c r="I63" s="575"/>
    </row>
    <row r="64" spans="2:9" ht="15">
      <c r="B64" s="577"/>
      <c r="C64" s="577"/>
      <c r="D64" s="577"/>
      <c r="E64" s="577"/>
      <c r="F64" s="577"/>
      <c r="G64" s="575"/>
      <c r="H64" s="575"/>
      <c r="I64" s="575"/>
    </row>
    <row r="65" spans="2:9" ht="15.75">
      <c r="B65" s="574" t="s">
        <v>801</v>
      </c>
      <c r="C65" s="577"/>
      <c r="D65" s="577"/>
      <c r="E65" s="577"/>
      <c r="F65" s="577"/>
      <c r="G65" s="575"/>
      <c r="H65" s="575"/>
      <c r="I65" s="575"/>
    </row>
    <row r="66" spans="2:9" ht="15.75">
      <c r="B66" s="574" t="s">
        <v>802</v>
      </c>
      <c r="C66" s="577"/>
      <c r="D66" s="577"/>
      <c r="E66" s="577"/>
      <c r="F66" s="577"/>
      <c r="G66" s="575"/>
      <c r="H66" s="575"/>
      <c r="I66" s="575"/>
    </row>
    <row r="67" spans="2:9" ht="15">
      <c r="B67" s="577"/>
      <c r="C67" s="577"/>
      <c r="D67" s="577"/>
      <c r="E67" s="577"/>
      <c r="F67" s="577"/>
      <c r="G67" s="575"/>
      <c r="H67" s="575"/>
      <c r="I67" s="575"/>
    </row>
    <row r="68" spans="2:9" ht="15.75">
      <c r="B68" s="574" t="s">
        <v>803</v>
      </c>
      <c r="C68" s="577"/>
      <c r="D68" s="577"/>
      <c r="E68" s="577"/>
      <c r="F68" s="577"/>
      <c r="G68" s="575"/>
      <c r="H68" s="575"/>
      <c r="I68" s="575"/>
    </row>
    <row r="69" spans="2:9" ht="15.75">
      <c r="B69" s="574" t="s">
        <v>804</v>
      </c>
      <c r="C69" s="577"/>
      <c r="D69" s="577"/>
      <c r="E69" s="577"/>
      <c r="F69" s="577"/>
      <c r="G69" s="575"/>
      <c r="H69" s="575"/>
      <c r="I69" s="575"/>
    </row>
    <row r="70" spans="2:9" ht="15">
      <c r="B70" s="577"/>
      <c r="C70" s="577"/>
      <c r="D70" s="577"/>
      <c r="E70" s="577"/>
      <c r="F70" s="577"/>
      <c r="G70" s="575"/>
      <c r="H70" s="575"/>
      <c r="I70" s="575"/>
    </row>
    <row r="71" spans="2:9" ht="15.75">
      <c r="B71" s="576" t="s">
        <v>805</v>
      </c>
      <c r="C71" s="577"/>
      <c r="D71" s="577"/>
      <c r="E71" s="577"/>
      <c r="F71" s="577"/>
      <c r="G71" s="575"/>
      <c r="H71" s="575"/>
      <c r="I71" s="575"/>
    </row>
    <row r="72" spans="2:9" ht="15">
      <c r="B72" s="577"/>
      <c r="C72" s="577"/>
      <c r="D72" s="577"/>
      <c r="E72" s="577"/>
      <c r="F72" s="577"/>
      <c r="G72" s="575"/>
      <c r="H72" s="575"/>
      <c r="I72" s="575"/>
    </row>
    <row r="73" spans="2:9" ht="15.75">
      <c r="B73" s="574" t="s">
        <v>806</v>
      </c>
      <c r="C73" s="577"/>
      <c r="D73" s="577"/>
      <c r="E73" s="577"/>
      <c r="F73" s="577"/>
      <c r="G73" s="575"/>
      <c r="H73" s="575"/>
      <c r="I73" s="575"/>
    </row>
    <row r="74" spans="2:9" ht="15.75">
      <c r="B74" s="574" t="s">
        <v>807</v>
      </c>
      <c r="C74" s="577"/>
      <c r="D74" s="577"/>
      <c r="E74" s="577"/>
      <c r="F74" s="577"/>
      <c r="G74" s="575"/>
      <c r="H74" s="575"/>
      <c r="I74" s="575"/>
    </row>
    <row r="75" spans="2:9" ht="15">
      <c r="B75" s="577"/>
      <c r="C75" s="577"/>
      <c r="D75" s="577"/>
      <c r="E75" s="577"/>
      <c r="F75" s="577"/>
      <c r="G75" s="575"/>
      <c r="H75" s="575"/>
      <c r="I75" s="575"/>
    </row>
    <row r="76" spans="2:9" ht="15.75">
      <c r="B76" s="576" t="s">
        <v>808</v>
      </c>
      <c r="C76" s="577"/>
      <c r="D76" s="577"/>
      <c r="E76" s="577"/>
      <c r="F76" s="577"/>
      <c r="G76" s="575"/>
      <c r="H76" s="575"/>
      <c r="I76" s="575"/>
    </row>
    <row r="77" spans="2:9" ht="15">
      <c r="B77" s="577"/>
      <c r="C77" s="577"/>
      <c r="D77" s="577"/>
      <c r="E77" s="577"/>
      <c r="F77" s="577"/>
      <c r="G77" s="575"/>
      <c r="H77" s="575"/>
      <c r="I77" s="575"/>
    </row>
    <row r="78" spans="2:9" ht="15.7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75">
      <c r="B79" s="574" t="s">
        <v>809</v>
      </c>
      <c r="C79" s="577"/>
      <c r="D79" s="577"/>
      <c r="E79" s="577"/>
      <c r="F79" s="577"/>
      <c r="G79" s="575"/>
      <c r="H79" s="575"/>
      <c r="I79" s="575"/>
    </row>
    <row r="80" spans="2:9" ht="15">
      <c r="B80" s="577"/>
      <c r="C80" s="577"/>
      <c r="D80" s="577"/>
      <c r="E80" s="577"/>
      <c r="F80" s="577"/>
      <c r="G80" s="575"/>
      <c r="H80" s="575"/>
      <c r="I80" s="575"/>
    </row>
    <row r="81" spans="2:9" ht="15.75">
      <c r="B81" s="576" t="s">
        <v>388</v>
      </c>
      <c r="C81" s="577"/>
      <c r="D81" s="577"/>
      <c r="E81" s="577"/>
      <c r="F81" s="577"/>
      <c r="G81" s="575"/>
      <c r="H81" s="575"/>
      <c r="I81" s="575"/>
    </row>
    <row r="82" spans="2:9" ht="15">
      <c r="B82" s="577"/>
      <c r="C82" s="577"/>
      <c r="D82" s="577"/>
      <c r="E82" s="577"/>
      <c r="F82" s="577"/>
      <c r="G82" s="575"/>
      <c r="H82" s="575"/>
      <c r="I82" s="575"/>
    </row>
    <row r="83" spans="2:9" ht="15.75">
      <c r="B83" s="574" t="s">
        <v>810</v>
      </c>
      <c r="C83" s="577"/>
      <c r="D83" s="577"/>
      <c r="E83" s="577"/>
      <c r="F83" s="577"/>
      <c r="G83" s="575"/>
      <c r="H83" s="575"/>
      <c r="I83" s="575"/>
    </row>
    <row r="84" spans="2:9" ht="15.7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75">
      <c r="B86" s="574" t="s">
        <v>811</v>
      </c>
      <c r="C86" s="577"/>
      <c r="D86" s="577"/>
      <c r="E86" s="577"/>
      <c r="F86" s="577"/>
      <c r="G86" s="575"/>
      <c r="H86" s="575"/>
      <c r="I86" s="575"/>
    </row>
    <row r="87" spans="2:9" ht="15.75">
      <c r="B87" s="574" t="s">
        <v>812</v>
      </c>
      <c r="C87" s="577"/>
      <c r="D87" s="577"/>
      <c r="E87" s="577"/>
      <c r="F87" s="577"/>
      <c r="G87" s="575"/>
      <c r="H87" s="575"/>
      <c r="I87" s="575"/>
    </row>
    <row r="88" spans="2:9" ht="15.75">
      <c r="B88" s="574" t="s">
        <v>813</v>
      </c>
      <c r="C88" s="577"/>
      <c r="D88" s="577"/>
      <c r="E88" s="577"/>
      <c r="F88" s="577"/>
      <c r="G88" s="575"/>
      <c r="H88" s="575"/>
      <c r="I88" s="575"/>
    </row>
    <row r="89" spans="2:9" ht="15.7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75">
      <c r="B92" s="574" t="s">
        <v>814</v>
      </c>
      <c r="C92" s="577"/>
      <c r="D92" s="577"/>
      <c r="E92" s="577"/>
      <c r="F92" s="577"/>
      <c r="G92" s="575"/>
      <c r="H92" s="575"/>
      <c r="I92" s="575"/>
    </row>
    <row r="93" spans="2:9" ht="15.75">
      <c r="B93" s="574" t="s">
        <v>815</v>
      </c>
      <c r="C93" s="577"/>
      <c r="D93" s="577"/>
      <c r="E93" s="577"/>
      <c r="F93" s="577"/>
      <c r="G93" s="575"/>
      <c r="H93" s="575"/>
      <c r="I93" s="575"/>
    </row>
    <row r="94" spans="2:9" ht="15.75">
      <c r="B94" s="574" t="s">
        <v>816</v>
      </c>
      <c r="C94" s="577"/>
      <c r="D94" s="577"/>
      <c r="E94" s="577"/>
      <c r="F94" s="577"/>
      <c r="G94" s="575"/>
      <c r="H94" s="575"/>
      <c r="I94" s="575"/>
    </row>
    <row r="95" spans="2:9" ht="15">
      <c r="B95" s="577"/>
      <c r="C95" s="577"/>
      <c r="D95" s="577"/>
      <c r="E95" s="577"/>
      <c r="F95" s="577"/>
      <c r="G95" s="575"/>
      <c r="H95" s="575"/>
      <c r="I95" s="575"/>
    </row>
    <row r="96" spans="2:9" ht="15.75">
      <c r="B96" s="576" t="s">
        <v>817</v>
      </c>
      <c r="C96" s="577"/>
      <c r="D96" s="577"/>
      <c r="E96" s="577"/>
      <c r="F96" s="577"/>
      <c r="G96" s="575"/>
      <c r="H96" s="575"/>
      <c r="I96" s="575"/>
    </row>
    <row r="97" spans="2:9" ht="15">
      <c r="B97" s="577"/>
      <c r="C97" s="577"/>
      <c r="D97" s="577"/>
      <c r="E97" s="577"/>
      <c r="F97" s="577"/>
      <c r="G97" s="575"/>
      <c r="H97" s="575"/>
      <c r="I97" s="575"/>
    </row>
    <row r="98" spans="2:9" ht="15.75">
      <c r="B98" s="574" t="s">
        <v>818</v>
      </c>
      <c r="C98" s="577"/>
      <c r="D98" s="577"/>
      <c r="E98" s="577"/>
      <c r="F98" s="577"/>
      <c r="G98" s="575"/>
      <c r="H98" s="575"/>
      <c r="I98" s="575"/>
    </row>
    <row r="99" spans="2:9" ht="15.75">
      <c r="B99" s="574" t="s">
        <v>819</v>
      </c>
      <c r="C99" s="577"/>
      <c r="D99" s="577"/>
      <c r="E99" s="577"/>
      <c r="F99" s="577"/>
      <c r="G99" s="575"/>
      <c r="H99" s="575"/>
      <c r="I99" s="575"/>
    </row>
    <row r="100" spans="2:9" ht="15">
      <c r="B100" s="577"/>
      <c r="C100" s="577"/>
      <c r="D100" s="577"/>
      <c r="E100" s="577"/>
      <c r="F100" s="577"/>
      <c r="G100" s="575"/>
      <c r="H100" s="575"/>
      <c r="I100" s="575"/>
    </row>
    <row r="101" spans="2:9" ht="15.75">
      <c r="B101" s="574" t="s">
        <v>820</v>
      </c>
      <c r="C101" s="577"/>
      <c r="D101" s="577"/>
      <c r="E101" s="577"/>
      <c r="F101" s="577"/>
      <c r="G101" s="575"/>
      <c r="H101" s="575"/>
      <c r="I101" s="575"/>
    </row>
    <row r="102" spans="2:9" ht="15.75">
      <c r="B102" s="574" t="s">
        <v>821</v>
      </c>
      <c r="C102" s="577"/>
      <c r="D102" s="577"/>
      <c r="E102" s="577"/>
      <c r="F102" s="577"/>
      <c r="G102" s="575"/>
      <c r="H102" s="575"/>
      <c r="I102" s="575"/>
    </row>
    <row r="103" spans="2:9" ht="15.75">
      <c r="B103" s="574" t="s">
        <v>822</v>
      </c>
      <c r="C103" s="577"/>
      <c r="D103" s="577"/>
      <c r="E103" s="577"/>
      <c r="F103" s="577"/>
      <c r="G103" s="575"/>
      <c r="H103" s="575"/>
      <c r="I103" s="575"/>
    </row>
    <row r="104" spans="2:9" ht="15.75">
      <c r="B104" s="574" t="s">
        <v>823</v>
      </c>
      <c r="C104" s="577"/>
      <c r="D104" s="577"/>
      <c r="E104" s="577"/>
      <c r="F104" s="577"/>
      <c r="G104" s="575"/>
      <c r="H104" s="575"/>
      <c r="I104" s="575"/>
    </row>
    <row r="105" spans="2:9" ht="15.75">
      <c r="B105" s="706" t="s">
        <v>900</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130" zoomScaleNormal="130" zoomScalePageLayoutView="0" workbookViewId="0" topLeftCell="B22">
      <selection activeCell="D32" sqref="D32"/>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Greeley Township</v>
      </c>
      <c r="C1" s="48"/>
      <c r="D1" s="48"/>
      <c r="E1" s="204">
        <f>inputPrYr!D9</f>
        <v>2015</v>
      </c>
    </row>
    <row r="2" spans="2:5" ht="15.75">
      <c r="B2" s="513" t="s">
        <v>734</v>
      </c>
      <c r="C2" s="48"/>
      <c r="D2" s="187"/>
      <c r="E2" s="50"/>
    </row>
    <row r="3" spans="2:5" ht="15.75">
      <c r="B3" s="55" t="s">
        <v>247</v>
      </c>
      <c r="C3" s="53"/>
      <c r="D3" s="53"/>
      <c r="E3" s="53"/>
    </row>
    <row r="4" spans="2:5" ht="15.75">
      <c r="B4" s="48"/>
      <c r="C4" s="359" t="s">
        <v>248</v>
      </c>
      <c r="D4" s="362" t="s">
        <v>249</v>
      </c>
      <c r="E4" s="57" t="s">
        <v>250</v>
      </c>
    </row>
    <row r="5" spans="2:5" ht="15.75">
      <c r="B5" s="455" t="str">
        <f>inputPrYr!B23</f>
        <v>Road</v>
      </c>
      <c r="C5" s="360" t="str">
        <f>gen!C5</f>
        <v>Actual for 2013</v>
      </c>
      <c r="D5" s="360" t="str">
        <f>gen!D5</f>
        <v>Estimate for 2014</v>
      </c>
      <c r="E5" s="62" t="str">
        <f>gen!E5</f>
        <v>Year for 2015</v>
      </c>
    </row>
    <row r="6" spans="2:5" ht="15.75">
      <c r="B6" s="63" t="s">
        <v>60</v>
      </c>
      <c r="C6" s="286">
        <v>3453</v>
      </c>
      <c r="D6" s="361">
        <f>C44</f>
        <v>2481.0499999999884</v>
      </c>
      <c r="E6" s="239">
        <f>D44</f>
        <v>11090.049999999988</v>
      </c>
    </row>
    <row r="7" spans="2:5" ht="15.75">
      <c r="B7" s="63" t="s">
        <v>62</v>
      </c>
      <c r="C7" s="361"/>
      <c r="D7" s="361"/>
      <c r="E7" s="288"/>
    </row>
    <row r="8" spans="2:5" ht="15.75">
      <c r="B8" s="63" t="s">
        <v>253</v>
      </c>
      <c r="C8" s="286">
        <f>1766.82+36514.09+4115.05</f>
        <v>42395.96</v>
      </c>
      <c r="D8" s="361">
        <f>IF(inputPrYr!H19&gt;0,inputPrYr!G23,inputPrYr!E23)</f>
        <v>42752</v>
      </c>
      <c r="E8" s="288" t="s">
        <v>232</v>
      </c>
    </row>
    <row r="9" spans="2:5" ht="15.75">
      <c r="B9" s="63" t="s">
        <v>254</v>
      </c>
      <c r="C9" s="286">
        <v>154</v>
      </c>
      <c r="D9" s="286">
        <v>0</v>
      </c>
      <c r="E9" s="151">
        <v>0</v>
      </c>
    </row>
    <row r="10" spans="2:5" ht="15.75">
      <c r="B10" s="63" t="s">
        <v>255</v>
      </c>
      <c r="C10" s="286">
        <v>4672.74</v>
      </c>
      <c r="D10" s="286">
        <v>5777</v>
      </c>
      <c r="E10" s="239">
        <f>mvalloc!G14</f>
        <v>4465</v>
      </c>
    </row>
    <row r="11" spans="2:5" ht="15.75">
      <c r="B11" s="63" t="s">
        <v>256</v>
      </c>
      <c r="C11" s="286">
        <v>78.68</v>
      </c>
      <c r="D11" s="286">
        <v>112</v>
      </c>
      <c r="E11" s="239">
        <f>mvalloc!I14</f>
        <v>77</v>
      </c>
    </row>
    <row r="12" spans="2:5" ht="15.75">
      <c r="B12" s="63" t="s">
        <v>51</v>
      </c>
      <c r="C12" s="286">
        <v>521</v>
      </c>
      <c r="D12" s="286">
        <v>488</v>
      </c>
      <c r="E12" s="239">
        <f>mvalloc!J14</f>
        <v>394</v>
      </c>
    </row>
    <row r="13" spans="2:5" ht="15.75">
      <c r="B13" s="63" t="s">
        <v>52</v>
      </c>
      <c r="C13" s="286">
        <v>29614.67</v>
      </c>
      <c r="D13" s="286">
        <v>29841</v>
      </c>
      <c r="E13" s="239">
        <f>inputOth!E72</f>
        <v>29840</v>
      </c>
    </row>
    <row r="14" spans="2:5" ht="15.75">
      <c r="B14" s="291" t="s">
        <v>966</v>
      </c>
      <c r="C14" s="286">
        <v>0</v>
      </c>
      <c r="D14" s="286">
        <v>0</v>
      </c>
      <c r="E14" s="151">
        <v>90.46</v>
      </c>
    </row>
    <row r="15" spans="2:5" ht="15.75">
      <c r="B15" s="291" t="s">
        <v>963</v>
      </c>
      <c r="C15" s="286">
        <v>584</v>
      </c>
      <c r="D15" s="286">
        <v>0</v>
      </c>
      <c r="E15" s="151">
        <v>0</v>
      </c>
    </row>
    <row r="16" spans="2:5" ht="15.75">
      <c r="B16" s="291"/>
      <c r="C16" s="286"/>
      <c r="D16" s="286"/>
      <c r="E16" s="151"/>
    </row>
    <row r="17" spans="2:5" ht="15.75">
      <c r="B17" s="291"/>
      <c r="C17" s="286"/>
      <c r="D17" s="286"/>
      <c r="E17" s="151"/>
    </row>
    <row r="18" spans="2:5" ht="15.75">
      <c r="B18" s="291"/>
      <c r="C18" s="286"/>
      <c r="D18" s="286"/>
      <c r="E18" s="151"/>
    </row>
    <row r="19" spans="2:5" ht="15.75">
      <c r="B19" s="291"/>
      <c r="C19" s="286"/>
      <c r="D19" s="286"/>
      <c r="E19" s="151"/>
    </row>
    <row r="20" spans="2:5" ht="15.75">
      <c r="B20" s="291" t="s">
        <v>259</v>
      </c>
      <c r="C20" s="286"/>
      <c r="D20" s="286"/>
      <c r="E20" s="151"/>
    </row>
    <row r="21" spans="2:5" ht="15.75">
      <c r="B21" s="292" t="s">
        <v>205</v>
      </c>
      <c r="C21" s="286"/>
      <c r="D21" s="286"/>
      <c r="E21" s="151"/>
    </row>
    <row r="22" spans="2:5" ht="15.75">
      <c r="B22" s="292" t="s">
        <v>206</v>
      </c>
      <c r="C22" s="363">
        <f>IF(C23*0.1&lt;C21,"Exceed 10% Rule","")</f>
      </c>
      <c r="D22" s="363">
        <f>IF(D23*0.1&lt;D21,"Exceed 10% Rule","")</f>
      </c>
      <c r="E22" s="296">
        <f>IF(E23*0.1+E50&lt;E21,"Exceed 10% Rule","")</f>
      </c>
    </row>
    <row r="23" spans="2:5" ht="15.75">
      <c r="B23" s="294" t="s">
        <v>260</v>
      </c>
      <c r="C23" s="364">
        <f>SUM(C8:C21)</f>
        <v>78021.04999999999</v>
      </c>
      <c r="D23" s="364">
        <f>SUM(D8:D21)</f>
        <v>78970</v>
      </c>
      <c r="E23" s="295">
        <f>SUM(E8:E21)</f>
        <v>34866.46</v>
      </c>
    </row>
    <row r="24" spans="2:5" ht="15.75">
      <c r="B24" s="81" t="s">
        <v>261</v>
      </c>
      <c r="C24" s="364">
        <f>C23+C6</f>
        <v>81474.04999999999</v>
      </c>
      <c r="D24" s="364">
        <f>D23+D6</f>
        <v>81451.04999999999</v>
      </c>
      <c r="E24" s="295">
        <f>E23+E6</f>
        <v>45956.50999999999</v>
      </c>
    </row>
    <row r="25" spans="2:5" ht="15.75">
      <c r="B25" s="63" t="s">
        <v>262</v>
      </c>
      <c r="C25" s="361"/>
      <c r="D25" s="361"/>
      <c r="E25" s="239"/>
    </row>
    <row r="26" spans="2:5" ht="15.75">
      <c r="B26" s="291"/>
      <c r="C26" s="286"/>
      <c r="D26" s="286"/>
      <c r="E26" s="151"/>
    </row>
    <row r="27" spans="2:5" ht="15.75">
      <c r="B27" s="291" t="s">
        <v>959</v>
      </c>
      <c r="C27" s="286">
        <v>28555</v>
      </c>
      <c r="D27" s="286">
        <v>28000</v>
      </c>
      <c r="E27" s="151">
        <v>28000</v>
      </c>
    </row>
    <row r="28" spans="2:5" ht="15.75">
      <c r="B28" s="291" t="s">
        <v>53</v>
      </c>
      <c r="C28" s="286"/>
      <c r="D28" s="286"/>
      <c r="E28" s="151"/>
    </row>
    <row r="29" spans="2:5" ht="15.75">
      <c r="B29" s="290" t="s">
        <v>54</v>
      </c>
      <c r="C29" s="286">
        <v>7482</v>
      </c>
      <c r="D29" s="286">
        <v>8500</v>
      </c>
      <c r="E29" s="151">
        <v>8500</v>
      </c>
    </row>
    <row r="30" spans="2:5" ht="15.75">
      <c r="B30" s="291" t="s">
        <v>960</v>
      </c>
      <c r="C30" s="286">
        <f>16247+70</f>
        <v>16317</v>
      </c>
      <c r="D30" s="286">
        <v>13111</v>
      </c>
      <c r="E30" s="151">
        <v>13000</v>
      </c>
    </row>
    <row r="31" spans="2:5" ht="15.75">
      <c r="B31" s="291" t="s">
        <v>964</v>
      </c>
      <c r="C31" s="286">
        <v>1979</v>
      </c>
      <c r="D31" s="286">
        <v>5000</v>
      </c>
      <c r="E31" s="151">
        <v>5966</v>
      </c>
    </row>
    <row r="32" spans="2:5" ht="15.75">
      <c r="B32" s="291" t="s">
        <v>55</v>
      </c>
      <c r="C32" s="286">
        <v>2154</v>
      </c>
      <c r="D32" s="286">
        <v>8000</v>
      </c>
      <c r="E32" s="151">
        <v>19000</v>
      </c>
    </row>
    <row r="33" spans="2:5" ht="15.75">
      <c r="B33" s="291" t="s">
        <v>68</v>
      </c>
      <c r="C33" s="286">
        <v>6506</v>
      </c>
      <c r="D33" s="286">
        <v>6750</v>
      </c>
      <c r="E33" s="151">
        <v>7000</v>
      </c>
    </row>
    <row r="34" spans="2:10" ht="15.75">
      <c r="B34" s="291" t="s">
        <v>965</v>
      </c>
      <c r="C34" s="286"/>
      <c r="D34" s="286">
        <v>1000</v>
      </c>
      <c r="E34" s="151">
        <v>1000</v>
      </c>
      <c r="G34" s="852" t="str">
        <f>CONCATENATE("Desired Carryover Into ",E1+1,"")</f>
        <v>Desired Carryover Into 2016</v>
      </c>
      <c r="H34" s="853"/>
      <c r="I34" s="853"/>
      <c r="J34" s="854"/>
    </row>
    <row r="35" spans="2:10" ht="15.75">
      <c r="B35" s="291"/>
      <c r="C35" s="286"/>
      <c r="D35" s="286"/>
      <c r="E35" s="151"/>
      <c r="G35" s="475"/>
      <c r="H35" s="54"/>
      <c r="I35" s="517"/>
      <c r="J35" s="476"/>
    </row>
    <row r="36" spans="2:10" ht="15.75">
      <c r="B36" s="290"/>
      <c r="C36" s="286"/>
      <c r="D36" s="286"/>
      <c r="E36" s="151"/>
      <c r="G36" s="477" t="s">
        <v>698</v>
      </c>
      <c r="H36" s="517"/>
      <c r="I36" s="517"/>
      <c r="J36" s="478">
        <v>0</v>
      </c>
    </row>
    <row r="37" spans="2:10" ht="15.75">
      <c r="B37" s="290"/>
      <c r="C37" s="286"/>
      <c r="D37" s="286"/>
      <c r="E37" s="151"/>
      <c r="G37" s="475" t="s">
        <v>699</v>
      </c>
      <c r="H37" s="54"/>
      <c r="I37" s="54"/>
      <c r="J37" s="684">
        <f>IF(J36=0,"",ROUND((J36+E50-G49)/inputOth!E11*1000,3)-G54)</f>
      </c>
    </row>
    <row r="38" spans="2:10" ht="15.75">
      <c r="B38" s="63" t="s">
        <v>56</v>
      </c>
      <c r="C38" s="286">
        <v>16000</v>
      </c>
      <c r="D38" s="286"/>
      <c r="E38" s="151"/>
      <c r="G38" s="685" t="str">
        <f>CONCATENATE("",E1," Tot Exp/Non-Appr Must Be:")</f>
        <v>2015 Tot Exp/Non-Appr Must Be:</v>
      </c>
      <c r="H38" s="510"/>
      <c r="I38" s="681"/>
      <c r="J38" s="686">
        <f>IF(J36&gt;0,IF(E47&lt;E24,IF(J36=G49,E47,((J36-G49)*(1-D49))+E24),E47+(J36-G49)),0)</f>
        <v>0</v>
      </c>
    </row>
    <row r="39" spans="2:10" ht="15.75">
      <c r="B39" s="63" t="s">
        <v>700</v>
      </c>
      <c r="C39" s="363">
        <f>IF(C24*0.25&lt;C38,"Exceeds 25%","")</f>
      </c>
      <c r="D39" s="363">
        <f>IF(D24*0.25&lt;D38,"Exceeds 25%","")</f>
      </c>
      <c r="E39" s="296">
        <f>IF(E24*0.25+E50&lt;E38,"Exceeds 25%","")</f>
      </c>
      <c r="G39" s="687" t="s">
        <v>828</v>
      </c>
      <c r="H39" s="688"/>
      <c r="I39" s="688"/>
      <c r="J39" s="689">
        <f>IF(J36&gt;0,J38-E47,0)</f>
        <v>0</v>
      </c>
    </row>
    <row r="40" spans="2:5" ht="15.75">
      <c r="B40" s="289" t="s">
        <v>207</v>
      </c>
      <c r="C40" s="286"/>
      <c r="D40" s="286"/>
      <c r="E40" s="162">
        <f>nhood!E9</f>
      </c>
    </row>
    <row r="41" spans="2:10" ht="15.75">
      <c r="B41" s="289" t="s">
        <v>205</v>
      </c>
      <c r="C41" s="286"/>
      <c r="D41" s="286"/>
      <c r="E41" s="151"/>
      <c r="G41" s="852" t="str">
        <f>CONCATENATE("Projected Carryover Into ",E1+1,"")</f>
        <v>Projected Carryover Into 2016</v>
      </c>
      <c r="H41" s="853"/>
      <c r="I41" s="853"/>
      <c r="J41" s="854"/>
    </row>
    <row r="42" spans="2:10" ht="15.75">
      <c r="B42" s="289" t="s">
        <v>695</v>
      </c>
      <c r="C42" s="363">
        <f>IF(C43*0.1&lt;C41,"Exceed 10% Rule","")</f>
      </c>
      <c r="D42" s="363">
        <f>IF(D43*0.1&lt;D41,"Exceed 10% Rule","")</f>
      </c>
      <c r="E42" s="296">
        <f>IF(E43*0.1&lt;E41,"Exceed 10% Rule","")</f>
      </c>
      <c r="G42" s="474"/>
      <c r="H42" s="54"/>
      <c r="I42" s="54"/>
      <c r="J42" s="67"/>
    </row>
    <row r="43" spans="2:10" ht="15.75">
      <c r="B43" s="81" t="s">
        <v>263</v>
      </c>
      <c r="C43" s="364">
        <f>SUM(C26:C41)</f>
        <v>78993</v>
      </c>
      <c r="D43" s="364">
        <f>SUM(D26:D41)</f>
        <v>70361</v>
      </c>
      <c r="E43" s="295">
        <f>SUM(E26:E38,E41)</f>
        <v>82466</v>
      </c>
      <c r="G43" s="514">
        <f>D44</f>
        <v>11090.049999999988</v>
      </c>
      <c r="H43" s="515" t="str">
        <f>CONCATENATE("",E1-1," Ending Cash Balance (est.)")</f>
        <v>2014 Ending Cash Balance (est.)</v>
      </c>
      <c r="I43" s="516"/>
      <c r="J43" s="67"/>
    </row>
    <row r="44" spans="2:10" ht="15.75">
      <c r="B44" s="63" t="s">
        <v>61</v>
      </c>
      <c r="C44" s="365">
        <f>C24-C43</f>
        <v>2481.0499999999884</v>
      </c>
      <c r="D44" s="365">
        <f>D24-D43</f>
        <v>11090.049999999988</v>
      </c>
      <c r="E44" s="288" t="s">
        <v>232</v>
      </c>
      <c r="G44" s="514">
        <f>E23</f>
        <v>34866.46</v>
      </c>
      <c r="H44" s="517" t="str">
        <f>CONCATENATE("",E1," Non-AV Receipts (est.)")</f>
        <v>2015 Non-AV Receipts (est.)</v>
      </c>
      <c r="I44" s="516"/>
      <c r="J44" s="67"/>
    </row>
    <row r="45" spans="2:11" ht="15.75">
      <c r="B45" s="98" t="str">
        <f>CONCATENATE("",E1-2,"/",E1-1,"/",E1," Budget Authority Amount:")</f>
        <v>2013/2014/2015 Budget Authority Amount:</v>
      </c>
      <c r="C45" s="722">
        <f>inputOth!B86</f>
        <v>83611</v>
      </c>
      <c r="D45" s="722">
        <f>inputPrYr!D23</f>
        <v>81970</v>
      </c>
      <c r="E45" s="239">
        <f>E43</f>
        <v>82466</v>
      </c>
      <c r="F45" s="297"/>
      <c r="G45" s="518">
        <f>IF(D49&gt;0,E48,E50)</f>
        <v>36509.49000000001</v>
      </c>
      <c r="H45" s="517" t="str">
        <f>CONCATENATE("",E1," Ad Valorem Tax (est.)")</f>
        <v>2015 Ad Valorem Tax (est.)</v>
      </c>
      <c r="I45" s="516"/>
      <c r="J45" s="67"/>
      <c r="K45" s="690">
        <f>IF(G45=E50,"","Note: Does not include Delinquent Taxes")</f>
      </c>
    </row>
    <row r="46" spans="2:10" ht="15.75">
      <c r="B46" s="99"/>
      <c r="C46" s="846" t="s">
        <v>692</v>
      </c>
      <c r="D46" s="847"/>
      <c r="E46" s="151"/>
      <c r="F46" s="699">
        <f>IF(E43/0.95-E43&lt;E46,"Exceeds 5%","")</f>
      </c>
      <c r="G46" s="514">
        <f>SUM(G43:G45)</f>
        <v>82466</v>
      </c>
      <c r="H46" s="517" t="str">
        <f>CONCATENATE("Total ",E1," Resources Available")</f>
        <v>Total 2015 Resources Available</v>
      </c>
      <c r="I46" s="516"/>
      <c r="J46" s="67"/>
    </row>
    <row r="47" spans="2:10" ht="15.75">
      <c r="B47" s="470" t="str">
        <f>CONCATENATE(C72,"     ",D72)</f>
        <v>     </v>
      </c>
      <c r="C47" s="848" t="s">
        <v>693</v>
      </c>
      <c r="D47" s="849"/>
      <c r="E47" s="239">
        <f>E43+E46</f>
        <v>82466</v>
      </c>
      <c r="G47" s="519"/>
      <c r="H47" s="517"/>
      <c r="I47" s="517"/>
      <c r="J47" s="67"/>
    </row>
    <row r="48" spans="2:10" ht="15.75">
      <c r="B48" s="470" t="str">
        <f>CONCATENATE(C73,"     ",D73)</f>
        <v>     </v>
      </c>
      <c r="C48" s="473"/>
      <c r="D48" s="472" t="s">
        <v>265</v>
      </c>
      <c r="E48" s="162">
        <f>IF(E47-E24&gt;0,E47-E24,0)</f>
        <v>36509.49000000001</v>
      </c>
      <c r="G48" s="518">
        <f>ROUND(C43*0.05+C43,0)</f>
        <v>82943</v>
      </c>
      <c r="H48" s="517" t="str">
        <f>CONCATENATE("Less ",E1-2," Expenditures + 5%")</f>
        <v>Less 2013 Expenditures + 5%</v>
      </c>
      <c r="I48" s="516"/>
      <c r="J48" s="67"/>
    </row>
    <row r="49" spans="2:10" ht="15.75">
      <c r="B49" s="190"/>
      <c r="C49" s="471" t="s">
        <v>694</v>
      </c>
      <c r="D49" s="683">
        <f>inputOth!$E$77</f>
        <v>0</v>
      </c>
      <c r="E49" s="239">
        <f>ROUND(IF(D49&gt;0,(E48*D49),0),0)</f>
        <v>0</v>
      </c>
      <c r="G49" s="520">
        <f>G46-G48</f>
        <v>-477</v>
      </c>
      <c r="H49" s="521" t="str">
        <f>CONCATENATE("Projected ",E1+1," Carryover (est.)")</f>
        <v>Projected 2016 Carryover (est.)</v>
      </c>
      <c r="I49" s="522"/>
      <c r="J49" s="523"/>
    </row>
    <row r="50" spans="2:5" ht="15.75">
      <c r="B50" s="48"/>
      <c r="C50" s="850" t="str">
        <f>CONCATENATE("Amount of  ",$E$1-1," Ad Valorem Tax")</f>
        <v>Amount of  2014 Ad Valorem Tax</v>
      </c>
      <c r="D50" s="851"/>
      <c r="E50" s="162">
        <f>E48+E49</f>
        <v>36509.49000000001</v>
      </c>
    </row>
    <row r="51" spans="2:10" ht="15.75">
      <c r="B51" s="48"/>
      <c r="C51" s="48"/>
      <c r="D51" s="48"/>
      <c r="E51" s="48"/>
      <c r="G51" s="855" t="s">
        <v>829</v>
      </c>
      <c r="H51" s="856"/>
      <c r="I51" s="856"/>
      <c r="J51" s="857"/>
    </row>
    <row r="52" spans="2:10" ht="15.75">
      <c r="B52" s="48"/>
      <c r="C52" s="48"/>
      <c r="D52" s="48"/>
      <c r="E52" s="48"/>
      <c r="G52" s="691"/>
      <c r="H52" s="515"/>
      <c r="I52" s="682"/>
      <c r="J52" s="692"/>
    </row>
    <row r="53" spans="2:10" ht="15.75">
      <c r="B53" s="138" t="s">
        <v>267</v>
      </c>
      <c r="C53" s="184">
        <f>E1-2</f>
        <v>2013</v>
      </c>
      <c r="D53" s="48"/>
      <c r="E53" s="48"/>
      <c r="G53" s="693">
        <f>summ!H21</f>
        <v>10.466</v>
      </c>
      <c r="H53" s="515" t="str">
        <f>CONCATENATE("",E1," Fund Mill Rate")</f>
        <v>2015 Fund Mill Rate</v>
      </c>
      <c r="I53" s="682"/>
      <c r="J53" s="692"/>
    </row>
    <row r="54" spans="2:10" ht="15.75">
      <c r="B54" s="60" t="s">
        <v>268</v>
      </c>
      <c r="C54" s="62" t="s">
        <v>269</v>
      </c>
      <c r="D54" s="48"/>
      <c r="E54" s="48"/>
      <c r="G54" s="694">
        <f>summ!E21</f>
        <v>13.376</v>
      </c>
      <c r="H54" s="515" t="str">
        <f>CONCATENATE("",E1-1," Fund Mill Rate")</f>
        <v>2014 Fund Mill Rate</v>
      </c>
      <c r="I54" s="682"/>
      <c r="J54" s="692"/>
    </row>
    <row r="55" spans="2:10" ht="15.75">
      <c r="B55" s="87" t="s">
        <v>251</v>
      </c>
      <c r="C55" s="469">
        <v>31834</v>
      </c>
      <c r="D55" s="48"/>
      <c r="E55" s="48"/>
      <c r="G55" s="695">
        <f>summ!H36</f>
        <v>17.049</v>
      </c>
      <c r="H55" s="515" t="str">
        <f>CONCATENATE("Total ",E1," Mill Rate")</f>
        <v>Total 2015 Mill Rate</v>
      </c>
      <c r="I55" s="682"/>
      <c r="J55" s="692"/>
    </row>
    <row r="56" spans="2:10" ht="15.75">
      <c r="B56" s="87" t="s">
        <v>270</v>
      </c>
      <c r="C56" s="311"/>
      <c r="D56" s="48"/>
      <c r="E56" s="48"/>
      <c r="G56" s="694">
        <f>summ!E36</f>
        <v>19.204</v>
      </c>
      <c r="H56" s="696" t="str">
        <f>CONCATENATE("Total ",E1-1," Mill Rate")</f>
        <v>Total 2014 Mill Rate</v>
      </c>
      <c r="I56" s="697"/>
      <c r="J56" s="698"/>
    </row>
    <row r="57" spans="2:5" ht="15.75">
      <c r="B57" s="87" t="s">
        <v>271</v>
      </c>
      <c r="C57" s="464">
        <f>IF(C38&gt;0,C38,0)</f>
        <v>16000</v>
      </c>
      <c r="D57" s="302">
        <f>IF(C38&gt;(C24*0.25),"Exceeds 25% of Resources Available","")</f>
      </c>
      <c r="E57" s="48"/>
    </row>
    <row r="58" spans="2:9" ht="15.75">
      <c r="B58" s="87" t="s">
        <v>169</v>
      </c>
      <c r="C58" s="463">
        <f>IF(gen!C43&gt;0,gen!C43,0)</f>
        <v>0</v>
      </c>
      <c r="D58" s="869">
        <f>IF(AND(gen!C43&gt;0,gen!C45&gt;0),"Not Auth. Two General Transfers - Only One","")</f>
      </c>
      <c r="E58" s="48"/>
      <c r="G58" s="754" t="s">
        <v>928</v>
      </c>
      <c r="H58" s="710"/>
      <c r="I58" s="709" t="str">
        <f>cert!E41</f>
        <v>No</v>
      </c>
    </row>
    <row r="59" spans="2:5" ht="15.75">
      <c r="B59" s="87" t="s">
        <v>170</v>
      </c>
      <c r="C59" s="464">
        <f>IF(gen!C45&gt;0,gen!C45,0)</f>
        <v>2500</v>
      </c>
      <c r="D59" s="870"/>
      <c r="E59" s="48"/>
    </row>
    <row r="60" spans="2:5" ht="15.75">
      <c r="B60" s="153"/>
      <c r="C60" s="469"/>
      <c r="D60" s="48"/>
      <c r="E60" s="48"/>
    </row>
    <row r="61" spans="2:5" ht="15.75">
      <c r="B61" s="153" t="s">
        <v>259</v>
      </c>
      <c r="C61" s="469"/>
      <c r="D61" s="48"/>
      <c r="E61" s="48"/>
    </row>
    <row r="62" spans="2:5" ht="15.75">
      <c r="B62" s="153" t="s">
        <v>258</v>
      </c>
      <c r="C62" s="469"/>
      <c r="D62" s="48"/>
      <c r="E62" s="48"/>
    </row>
    <row r="63" spans="2:5" ht="15.75">
      <c r="B63" s="303" t="s">
        <v>261</v>
      </c>
      <c r="C63" s="462">
        <f>SUM(C55,C57:C62)</f>
        <v>50334</v>
      </c>
      <c r="D63" s="48"/>
      <c r="E63" s="48"/>
    </row>
    <row r="64" spans="2:5" ht="15.75">
      <c r="B64" s="303" t="s">
        <v>263</v>
      </c>
      <c r="C64" s="469">
        <v>24144</v>
      </c>
      <c r="D64" s="48"/>
      <c r="E64" s="48"/>
    </row>
    <row r="65" spans="2:5" ht="15.75">
      <c r="B65" s="303" t="s">
        <v>264</v>
      </c>
      <c r="C65" s="462">
        <f>C63-C64</f>
        <v>26190</v>
      </c>
      <c r="D65" s="48"/>
      <c r="E65" s="48"/>
    </row>
    <row r="66" spans="2:5" ht="15.75">
      <c r="B66" s="48"/>
      <c r="C66" s="48"/>
      <c r="D66" s="48"/>
      <c r="E66" s="48"/>
    </row>
    <row r="67" spans="2:5" ht="15.75">
      <c r="B67" s="190" t="s">
        <v>246</v>
      </c>
      <c r="C67" s="305">
        <v>8</v>
      </c>
      <c r="D67" s="48"/>
      <c r="E67" s="48"/>
    </row>
    <row r="69" ht="15.75">
      <c r="B69" s="91"/>
    </row>
    <row r="72" spans="3:4" ht="15.75" hidden="1">
      <c r="C72" s="137">
        <f>IF(C43&gt;C45,"See Tab A","")</f>
      </c>
      <c r="D72" s="137">
        <f>IF(D43&gt;D45,"See Tab C","")</f>
      </c>
    </row>
    <row r="73" spans="3:4" ht="15.7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46">
      <selection activeCell="C64" sqref="C64"/>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inputPrYr!D3</f>
        <v>Greeley Township</v>
      </c>
      <c r="C1" s="579"/>
      <c r="D1" s="580"/>
      <c r="E1" s="581">
        <f>inputPrYr!D9</f>
        <v>2015</v>
      </c>
    </row>
    <row r="2" spans="2:5" ht="15.75">
      <c r="B2" s="580"/>
      <c r="C2" s="580"/>
      <c r="D2" s="580"/>
      <c r="E2" s="583"/>
    </row>
    <row r="3" spans="2:5" ht="15.75">
      <c r="B3" s="584" t="s">
        <v>734</v>
      </c>
      <c r="C3" s="584"/>
      <c r="D3" s="585"/>
      <c r="E3" s="586"/>
    </row>
    <row r="4" spans="2:5" ht="15.75">
      <c r="B4" s="587" t="s">
        <v>247</v>
      </c>
      <c r="C4" s="588" t="s">
        <v>824</v>
      </c>
      <c r="D4" s="589" t="s">
        <v>825</v>
      </c>
      <c r="E4" s="590" t="s">
        <v>826</v>
      </c>
    </row>
    <row r="5" spans="2:5" ht="15.75">
      <c r="B5" s="591" t="str">
        <f>inputPrYr!B21</f>
        <v>Debt Service</v>
      </c>
      <c r="C5" s="592" t="str">
        <f>CONCATENATE("Actual for ",$E$1-2,"")</f>
        <v>Actual for 2013</v>
      </c>
      <c r="D5" s="593" t="str">
        <f>CONCATENATE("Estimate for ",$E$1-1,"")</f>
        <v>Estimate for 2014</v>
      </c>
      <c r="E5" s="594" t="str">
        <f>CONCATENATE("Year for ",$E$1,"")</f>
        <v>Year for 2015</v>
      </c>
    </row>
    <row r="6" spans="2:5" ht="15.75">
      <c r="B6" s="595" t="s">
        <v>72</v>
      </c>
      <c r="C6" s="596"/>
      <c r="D6" s="597">
        <f>C34</f>
        <v>0</v>
      </c>
      <c r="E6" s="598">
        <f>D34</f>
        <v>0</v>
      </c>
    </row>
    <row r="7" spans="2:5" ht="15.75">
      <c r="B7" s="595" t="s">
        <v>62</v>
      </c>
      <c r="C7" s="599"/>
      <c r="D7" s="597"/>
      <c r="E7" s="598"/>
    </row>
    <row r="8" spans="2:5" ht="15.75">
      <c r="B8" s="595" t="s">
        <v>253</v>
      </c>
      <c r="C8" s="600"/>
      <c r="D8" s="597">
        <f>IF(inputPrYr!H19&gt;0,inputPrYr!G21,inputPrYr!E21)</f>
        <v>0</v>
      </c>
      <c r="E8" s="601" t="s">
        <v>232</v>
      </c>
    </row>
    <row r="9" spans="2:5" ht="15.75">
      <c r="B9" s="595" t="s">
        <v>254</v>
      </c>
      <c r="C9" s="600"/>
      <c r="D9" s="602"/>
      <c r="E9" s="603"/>
    </row>
    <row r="10" spans="2:5" ht="15.75">
      <c r="B10" s="595" t="s">
        <v>255</v>
      </c>
      <c r="C10" s="600"/>
      <c r="D10" s="602"/>
      <c r="E10" s="598">
        <f>mvalloc!G12</f>
        <v>0</v>
      </c>
    </row>
    <row r="11" spans="2:5" ht="15.75">
      <c r="B11" s="595" t="s">
        <v>256</v>
      </c>
      <c r="C11" s="600"/>
      <c r="D11" s="602"/>
      <c r="E11" s="598">
        <f>mvalloc!I12</f>
        <v>0</v>
      </c>
    </row>
    <row r="12" spans="2:5" ht="15.75">
      <c r="B12" s="604" t="s">
        <v>51</v>
      </c>
      <c r="C12" s="600"/>
      <c r="D12" s="602"/>
      <c r="E12" s="598">
        <f>mvalloc!J12</f>
        <v>0</v>
      </c>
    </row>
    <row r="13" spans="2:5" ht="15.75">
      <c r="B13" s="605"/>
      <c r="C13" s="600"/>
      <c r="D13" s="602"/>
      <c r="E13" s="606"/>
    </row>
    <row r="14" spans="2:5" ht="15.75">
      <c r="B14" s="605"/>
      <c r="C14" s="600"/>
      <c r="D14" s="602"/>
      <c r="E14" s="603"/>
    </row>
    <row r="15" spans="2:5" ht="15.75">
      <c r="B15" s="605"/>
      <c r="C15" s="600"/>
      <c r="D15" s="602"/>
      <c r="E15" s="603"/>
    </row>
    <row r="16" spans="2:5" ht="15.75">
      <c r="B16" s="605"/>
      <c r="C16" s="600"/>
      <c r="D16" s="602"/>
      <c r="E16" s="603"/>
    </row>
    <row r="17" spans="2:5" ht="15.75">
      <c r="B17" s="607" t="s">
        <v>259</v>
      </c>
      <c r="C17" s="600"/>
      <c r="D17" s="602"/>
      <c r="E17" s="603"/>
    </row>
    <row r="18" spans="2:5" ht="15.75">
      <c r="B18" s="595" t="s">
        <v>205</v>
      </c>
      <c r="C18" s="608"/>
      <c r="D18" s="602"/>
      <c r="E18" s="603"/>
    </row>
    <row r="19" spans="2:5" ht="15.75">
      <c r="B19" s="595" t="s">
        <v>827</v>
      </c>
      <c r="C19" s="609">
        <f>IF(C20*0.1&lt;C18,"Exceed 10% Rule","")</f>
      </c>
      <c r="D19" s="609">
        <f>IF(D20*0.1&lt;D18,"Exceeds 10% Rule","")</f>
      </c>
      <c r="E19" s="610">
        <f>IF(E20*0.1&lt;E18,"Exceed 10% Rule","")</f>
      </c>
    </row>
    <row r="20" spans="2:5" ht="15.75">
      <c r="B20" s="611" t="s">
        <v>260</v>
      </c>
      <c r="C20" s="612">
        <f>SUM(C8:C18)</f>
        <v>0</v>
      </c>
      <c r="D20" s="612">
        <f>SUM(D8:D18)</f>
        <v>0</v>
      </c>
      <c r="E20" s="613">
        <f>SUM(E9:E18)</f>
        <v>0</v>
      </c>
    </row>
    <row r="21" spans="2:5" ht="15.75">
      <c r="B21" s="611" t="s">
        <v>261</v>
      </c>
      <c r="C21" s="612">
        <f>C6+C20</f>
        <v>0</v>
      </c>
      <c r="D21" s="612">
        <f>D6+D20</f>
        <v>0</v>
      </c>
      <c r="E21" s="613">
        <f>E6+E20</f>
        <v>0</v>
      </c>
    </row>
    <row r="22" spans="2:5" ht="15.75">
      <c r="B22" s="595" t="s">
        <v>262</v>
      </c>
      <c r="C22" s="595"/>
      <c r="D22" s="597"/>
      <c r="E22" s="598"/>
    </row>
    <row r="23" spans="2:5" ht="15.75">
      <c r="B23" s="605"/>
      <c r="C23" s="600"/>
      <c r="D23" s="602"/>
      <c r="E23" s="603"/>
    </row>
    <row r="24" spans="2:10" ht="15.75">
      <c r="B24" s="605"/>
      <c r="C24" s="600"/>
      <c r="D24" s="602"/>
      <c r="E24" s="603"/>
      <c r="G24" s="858" t="str">
        <f>CONCATENATE("Desired Carryover Into ",E1+1,"")</f>
        <v>Desired Carryover Into 2016</v>
      </c>
      <c r="H24" s="859"/>
      <c r="I24" s="859"/>
      <c r="J24" s="860"/>
    </row>
    <row r="25" spans="2:10" ht="15.75">
      <c r="B25" s="605"/>
      <c r="C25" s="602"/>
      <c r="D25" s="602"/>
      <c r="E25" s="603"/>
      <c r="G25" s="614"/>
      <c r="H25" s="615"/>
      <c r="I25" s="616"/>
      <c r="J25" s="617"/>
    </row>
    <row r="26" spans="2:10" ht="15.75">
      <c r="B26" s="605"/>
      <c r="C26" s="600"/>
      <c r="D26" s="602"/>
      <c r="E26" s="603"/>
      <c r="G26" s="618" t="s">
        <v>698</v>
      </c>
      <c r="H26" s="616"/>
      <c r="I26" s="616"/>
      <c r="J26" s="619">
        <v>0</v>
      </c>
    </row>
    <row r="27" spans="2:10" ht="15.75">
      <c r="B27" s="605"/>
      <c r="C27" s="600"/>
      <c r="D27" s="602"/>
      <c r="E27" s="603"/>
      <c r="G27" s="614" t="s">
        <v>699</v>
      </c>
      <c r="H27" s="615"/>
      <c r="I27" s="615"/>
      <c r="J27" s="620">
        <f>IF(J26=0,"",ROUND((J26+E40-G39)/inputOth!E11*1000,3)-G44)</f>
      </c>
    </row>
    <row r="28" spans="2:10" ht="15.75">
      <c r="B28" s="605"/>
      <c r="C28" s="600"/>
      <c r="D28" s="602"/>
      <c r="E28" s="603"/>
      <c r="G28" s="621" t="str">
        <f>CONCATENATE("",E1," Tot Exp/Non-Appr Must Be:")</f>
        <v>2015 Tot Exp/Non-Appr Must Be:</v>
      </c>
      <c r="H28" s="622"/>
      <c r="I28" s="623"/>
      <c r="J28" s="624">
        <f>IF(J26&gt;0,IF(E37&lt;E21,IF(J26=G39,E37,((J26-G39)*(1-D39))+E21),E37+(J26-G39)),0)</f>
        <v>0</v>
      </c>
    </row>
    <row r="29" spans="2:10" ht="15.75">
      <c r="B29" s="605"/>
      <c r="C29" s="600"/>
      <c r="D29" s="602"/>
      <c r="E29" s="603"/>
      <c r="G29" s="625" t="s">
        <v>828</v>
      </c>
      <c r="H29" s="626"/>
      <c r="I29" s="626"/>
      <c r="J29" s="627">
        <f>IF(J26&gt;0,J28-E37,0)</f>
        <v>0</v>
      </c>
    </row>
    <row r="30" spans="2:5" ht="15.75">
      <c r="B30" s="628" t="s">
        <v>207</v>
      </c>
      <c r="C30" s="600"/>
      <c r="D30" s="602"/>
      <c r="E30" s="598">
        <f>nhood!E7</f>
      </c>
    </row>
    <row r="31" spans="2:10" ht="15.75">
      <c r="B31" s="628" t="s">
        <v>205</v>
      </c>
      <c r="C31" s="608"/>
      <c r="D31" s="602"/>
      <c r="E31" s="603"/>
      <c r="G31" s="858" t="str">
        <f>CONCATENATE("Projected Carryover Into ",E1+1,"")</f>
        <v>Projected Carryover Into 2016</v>
      </c>
      <c r="H31" s="861"/>
      <c r="I31" s="861"/>
      <c r="J31" s="862"/>
    </row>
    <row r="32" spans="2:10" ht="15.75">
      <c r="B32" s="628" t="s">
        <v>695</v>
      </c>
      <c r="C32" s="609">
        <f>IF(C33*0.1&lt;C31,"Exceed 10% Rule","")</f>
      </c>
      <c r="D32" s="609">
        <f>IF(D33*0.1&lt;D31,"Exceed 10% Rule","")</f>
      </c>
      <c r="E32" s="610">
        <f>IF(E33*0.1&lt;E31,"Exceed 10% Rule","")</f>
      </c>
      <c r="G32" s="614"/>
      <c r="H32" s="616"/>
      <c r="I32" s="616"/>
      <c r="J32" s="629"/>
    </row>
    <row r="33" spans="2:10" ht="15.75">
      <c r="B33" s="611" t="s">
        <v>263</v>
      </c>
      <c r="C33" s="630">
        <f>SUM(C23:C31)</f>
        <v>0</v>
      </c>
      <c r="D33" s="630">
        <f>SUM(D23:D31)</f>
        <v>0</v>
      </c>
      <c r="E33" s="631">
        <f>SUM(E23:E31)</f>
        <v>0</v>
      </c>
      <c r="G33" s="632">
        <f>D34</f>
        <v>0</v>
      </c>
      <c r="H33" s="633" t="str">
        <f>CONCATENATE("",E1-1," Ending Cash Balance (est.)")</f>
        <v>2014 Ending Cash Balance (est.)</v>
      </c>
      <c r="I33" s="634"/>
      <c r="J33" s="629"/>
    </row>
    <row r="34" spans="2:10" ht="15.75">
      <c r="B34" s="595" t="s">
        <v>61</v>
      </c>
      <c r="C34" s="635">
        <f>C21-C33</f>
        <v>0</v>
      </c>
      <c r="D34" s="635">
        <f>D21-D33</f>
        <v>0</v>
      </c>
      <c r="E34" s="601" t="s">
        <v>232</v>
      </c>
      <c r="F34" s="636"/>
      <c r="G34" s="632">
        <f>E20</f>
        <v>0</v>
      </c>
      <c r="H34" s="616" t="str">
        <f>CONCATENATE("",E1," Non-AV Receipts (est.)")</f>
        <v>2015 Non-AV Receipts (est.)</v>
      </c>
      <c r="I34" s="634"/>
      <c r="J34" s="629"/>
    </row>
    <row r="35" spans="2:11" ht="15.75">
      <c r="B35" s="725" t="str">
        <f>CONCATENATE("",E1-2,"/",E1-1,"/",E1," Budget Authority Amount:")</f>
        <v>2013/2014/2015 Budget Authority Amount:</v>
      </c>
      <c r="C35" s="724">
        <f>inputOth!B84</f>
        <v>0</v>
      </c>
      <c r="D35" s="723">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75">
      <c r="B36" s="637"/>
      <c r="C36" s="846" t="s">
        <v>692</v>
      </c>
      <c r="D36" s="847"/>
      <c r="E36" s="603"/>
      <c r="F36" s="641">
        <f>IF(E33/0.95-E33&lt;E36,"Exceeds 5%","")</f>
      </c>
      <c r="G36" s="632">
        <f>SUM(G33:G35)</f>
        <v>0</v>
      </c>
      <c r="H36" s="616" t="str">
        <f>CONCATENATE("Total ",E1," Resources Available")</f>
        <v>Total 2015 Resources Available</v>
      </c>
      <c r="I36" s="634"/>
      <c r="J36" s="629"/>
    </row>
    <row r="37" spans="2:10" ht="15.75">
      <c r="B37" s="642" t="str">
        <f>CONCATENATE(C93,"     ",D93)</f>
        <v>     </v>
      </c>
      <c r="C37" s="848" t="s">
        <v>693</v>
      </c>
      <c r="D37" s="849"/>
      <c r="E37" s="598">
        <f>E33+E36</f>
        <v>0</v>
      </c>
      <c r="F37" s="636"/>
      <c r="G37" s="643"/>
      <c r="H37" s="616"/>
      <c r="I37" s="616"/>
      <c r="J37" s="629"/>
    </row>
    <row r="38" spans="2:10" ht="15.75">
      <c r="B38" s="642" t="str">
        <f>CONCATENATE(C94,"     ",D94)</f>
        <v>     </v>
      </c>
      <c r="C38" s="644"/>
      <c r="D38" s="583" t="s">
        <v>265</v>
      </c>
      <c r="E38" s="645">
        <f>IF(E37-E21&gt;0,E37-E21,0)</f>
        <v>0</v>
      </c>
      <c r="F38" s="636"/>
      <c r="G38" s="639">
        <f>C33</f>
        <v>0</v>
      </c>
      <c r="H38" s="616" t="str">
        <f>CONCATENATE("Less ",E1-2," Expenditures")</f>
        <v>Less 2013 Expenditures</v>
      </c>
      <c r="I38" s="616"/>
      <c r="J38" s="629"/>
    </row>
    <row r="39" spans="2:10" ht="15.75">
      <c r="B39" s="583"/>
      <c r="C39" s="471" t="s">
        <v>694</v>
      </c>
      <c r="D39" s="646">
        <f>inputOth!E77</f>
        <v>0</v>
      </c>
      <c r="E39" s="598">
        <f>ROUND(IF(D39&gt;0,(E38*D39),0),0)</f>
        <v>0</v>
      </c>
      <c r="F39" s="636"/>
      <c r="G39" s="647">
        <f>G36-G38</f>
        <v>0</v>
      </c>
      <c r="H39" s="648" t="str">
        <f>CONCATENATE("Projected ",E1+1," carryover (est.)")</f>
        <v>Projected 2016 carryover (est.)</v>
      </c>
      <c r="I39" s="649"/>
      <c r="J39" s="650"/>
    </row>
    <row r="40" spans="2:6" ht="16.5" thickBot="1">
      <c r="B40" s="580"/>
      <c r="C40" s="863" t="str">
        <f>CONCATENATE("Amount of  ",E1-1," Ad Valorem Tax")</f>
        <v>Amount of  2014 Ad Valorem Tax</v>
      </c>
      <c r="D40" s="864"/>
      <c r="E40" s="652">
        <f>SUM(E38:E39)</f>
        <v>0</v>
      </c>
      <c r="F40" s="636"/>
    </row>
    <row r="41" spans="2:10" ht="16.5" thickTop="1">
      <c r="B41" s="580"/>
      <c r="C41" s="863"/>
      <c r="D41" s="864"/>
      <c r="E41" s="653"/>
      <c r="F41" s="636"/>
      <c r="G41" s="865" t="s">
        <v>829</v>
      </c>
      <c r="H41" s="866"/>
      <c r="I41" s="866"/>
      <c r="J41" s="867"/>
    </row>
    <row r="42" spans="2:10" ht="15.75">
      <c r="B42" s="580"/>
      <c r="C42" s="651"/>
      <c r="D42" s="580"/>
      <c r="E42" s="580"/>
      <c r="F42" s="636"/>
      <c r="G42" s="654"/>
      <c r="H42" s="633"/>
      <c r="I42" s="655"/>
      <c r="J42" s="656"/>
    </row>
    <row r="43" spans="2:10" ht="15.75">
      <c r="B43" s="587"/>
      <c r="C43" s="587"/>
      <c r="D43" s="585"/>
      <c r="E43" s="585"/>
      <c r="F43" s="636"/>
      <c r="G43" s="657" t="str">
        <f>summ!H19</f>
        <v> </v>
      </c>
      <c r="H43" s="633" t="str">
        <f>CONCATENATE("",E1," Fund Mill Rate")</f>
        <v>2015 Fund Mill Rate</v>
      </c>
      <c r="I43" s="655"/>
      <c r="J43" s="656"/>
    </row>
    <row r="44" spans="2:10" ht="15.75">
      <c r="B44" s="587" t="s">
        <v>247</v>
      </c>
      <c r="C44" s="588" t="s">
        <v>824</v>
      </c>
      <c r="D44" s="589" t="s">
        <v>825</v>
      </c>
      <c r="E44" s="590" t="s">
        <v>826</v>
      </c>
      <c r="F44" s="636"/>
      <c r="G44" s="658" t="str">
        <f>summ!E19</f>
        <v>  </v>
      </c>
      <c r="H44" s="633" t="str">
        <f>CONCATENATE("",E1-1," Fund Mill Rate")</f>
        <v>2014 Fund Mill Rate</v>
      </c>
      <c r="I44" s="655"/>
      <c r="J44" s="656"/>
    </row>
    <row r="45" spans="2:10" ht="15.75">
      <c r="B45" s="659" t="str">
        <f>inputPrYr!B22</f>
        <v>Library</v>
      </c>
      <c r="C45" s="592" t="str">
        <f>CONCATENATE("Actual for ",$E$1-2,"")</f>
        <v>Actual for 2013</v>
      </c>
      <c r="D45" s="593" t="str">
        <f>CONCATENATE("Estimate for ",$E$1-1,"")</f>
        <v>Estimate for 2014</v>
      </c>
      <c r="E45" s="594" t="str">
        <f>CONCATENATE("Year for ",$E$1,"")</f>
        <v>Year for 2015</v>
      </c>
      <c r="F45" s="636"/>
      <c r="G45" s="660">
        <f>summ!H36</f>
        <v>17.049</v>
      </c>
      <c r="H45" s="633" t="str">
        <f>CONCATENATE("Total ",E1," Mill Rate")</f>
        <v>Total 2015 Mill Rate</v>
      </c>
      <c r="I45" s="655"/>
      <c r="J45" s="656"/>
    </row>
    <row r="46" spans="2:10" ht="15.75">
      <c r="B46" s="595" t="s">
        <v>72</v>
      </c>
      <c r="C46" s="600">
        <v>130</v>
      </c>
      <c r="D46" s="597">
        <f>C74</f>
        <v>211</v>
      </c>
      <c r="E46" s="598">
        <f>D74</f>
        <v>81</v>
      </c>
      <c r="F46" s="636"/>
      <c r="G46" s="658">
        <f>summ!E36</f>
        <v>19.204</v>
      </c>
      <c r="H46" s="661" t="str">
        <f>CONCATENATE("Total ",E1-1," Mill Rate")</f>
        <v>Total 2014 Mill Rate</v>
      </c>
      <c r="I46" s="662"/>
      <c r="J46" s="663"/>
    </row>
    <row r="47" spans="2:6" ht="15.75">
      <c r="B47" s="664" t="s">
        <v>62</v>
      </c>
      <c r="C47" s="595"/>
      <c r="D47" s="597"/>
      <c r="E47" s="598"/>
      <c r="F47" s="636"/>
    </row>
    <row r="48" spans="2:9" ht="15.75">
      <c r="B48" s="595" t="s">
        <v>253</v>
      </c>
      <c r="C48" s="608">
        <f>271+5596+631</f>
        <v>6498</v>
      </c>
      <c r="D48" s="597">
        <f>IF(inputPrYr!H19&gt;0,inputPrYr!G22,inputPrYr!E22)</f>
        <v>6393</v>
      </c>
      <c r="E48" s="601" t="s">
        <v>232</v>
      </c>
      <c r="F48" s="636"/>
      <c r="G48" s="752" t="s">
        <v>928</v>
      </c>
      <c r="H48" s="710"/>
      <c r="I48" s="709" t="str">
        <f>cert!E41</f>
        <v>No</v>
      </c>
    </row>
    <row r="49" spans="2:6" ht="15.75">
      <c r="B49" s="595" t="s">
        <v>254</v>
      </c>
      <c r="C49" s="608">
        <v>28</v>
      </c>
      <c r="D49" s="602">
        <v>0</v>
      </c>
      <c r="E49" s="603"/>
      <c r="F49" s="636"/>
    </row>
    <row r="50" spans="2:6" ht="15.75">
      <c r="B50" s="595" t="s">
        <v>255</v>
      </c>
      <c r="C50" s="608">
        <v>844</v>
      </c>
      <c r="D50" s="602">
        <v>885</v>
      </c>
      <c r="E50" s="598">
        <f>mvalloc!G13</f>
        <v>668</v>
      </c>
      <c r="F50" s="636"/>
    </row>
    <row r="51" spans="2:6" ht="15.75">
      <c r="B51" s="595" t="s">
        <v>256</v>
      </c>
      <c r="C51" s="608">
        <v>14</v>
      </c>
      <c r="D51" s="602">
        <v>17</v>
      </c>
      <c r="E51" s="598">
        <f>mvalloc!I13</f>
        <v>11</v>
      </c>
      <c r="F51" s="636"/>
    </row>
    <row r="52" spans="2:5" ht="15.75">
      <c r="B52" s="604" t="s">
        <v>51</v>
      </c>
      <c r="C52" s="608">
        <v>82</v>
      </c>
      <c r="D52" s="602">
        <v>75</v>
      </c>
      <c r="E52" s="598">
        <f>mvalloc!J13</f>
        <v>59</v>
      </c>
    </row>
    <row r="53" spans="2:5" ht="15.75">
      <c r="B53" s="605" t="s">
        <v>966</v>
      </c>
      <c r="C53" s="608">
        <v>0</v>
      </c>
      <c r="D53" s="602">
        <v>0</v>
      </c>
      <c r="E53" s="608">
        <v>13.53</v>
      </c>
    </row>
    <row r="54" spans="2:5" ht="15.75">
      <c r="B54" s="605"/>
      <c r="C54" s="608"/>
      <c r="D54" s="602"/>
      <c r="E54" s="606"/>
    </row>
    <row r="55" spans="2:5" ht="15.75">
      <c r="B55" s="605"/>
      <c r="C55" s="608"/>
      <c r="D55" s="602"/>
      <c r="E55" s="603"/>
    </row>
    <row r="56" spans="2:5" ht="15.75">
      <c r="B56" s="605"/>
      <c r="C56" s="608"/>
      <c r="D56" s="602"/>
      <c r="E56" s="603"/>
    </row>
    <row r="57" spans="2:5" ht="15.75">
      <c r="B57" s="607" t="s">
        <v>259</v>
      </c>
      <c r="C57" s="608"/>
      <c r="D57" s="602"/>
      <c r="E57" s="603"/>
    </row>
    <row r="58" spans="2:5" ht="15.75">
      <c r="B58" s="595" t="s">
        <v>205</v>
      </c>
      <c r="C58" s="608"/>
      <c r="D58" s="608"/>
      <c r="E58" s="665"/>
    </row>
    <row r="59" spans="2:5" ht="15.75">
      <c r="B59" s="595" t="s">
        <v>827</v>
      </c>
      <c r="C59" s="609">
        <f>IF(C60*0.1&lt;C58,"Exceed 10% Rule","")</f>
      </c>
      <c r="D59" s="609">
        <f>IF(D60*0.1&lt;D58,"Exceeds 10% Rule","")</f>
      </c>
      <c r="E59" s="610">
        <f>IF(E60*0.1&lt;E58,"Exceed 10% Rule","")</f>
      </c>
    </row>
    <row r="60" spans="2:5" ht="15.75">
      <c r="B60" s="611" t="s">
        <v>260</v>
      </c>
      <c r="C60" s="630">
        <f>SUM(C48:C58)</f>
        <v>7466</v>
      </c>
      <c r="D60" s="630">
        <f>SUM(D48:D58)</f>
        <v>7370</v>
      </c>
      <c r="E60" s="631">
        <f>SUM(E49:E58)</f>
        <v>751.53</v>
      </c>
    </row>
    <row r="61" spans="2:5" ht="15.75">
      <c r="B61" s="611" t="s">
        <v>261</v>
      </c>
      <c r="C61" s="630">
        <f>C46+C60</f>
        <v>7596</v>
      </c>
      <c r="D61" s="630">
        <f>D46+D60</f>
        <v>7581</v>
      </c>
      <c r="E61" s="631">
        <f>E46+E60</f>
        <v>832.53</v>
      </c>
    </row>
    <row r="62" spans="2:5" ht="15.75">
      <c r="B62" s="595" t="s">
        <v>262</v>
      </c>
      <c r="C62" s="595"/>
      <c r="D62" s="597"/>
      <c r="E62" s="598"/>
    </row>
    <row r="63" spans="2:5" ht="15.75">
      <c r="B63" s="605"/>
      <c r="C63" s="600"/>
      <c r="D63" s="602"/>
      <c r="E63" s="603"/>
    </row>
    <row r="64" spans="2:10" ht="15.75">
      <c r="B64" s="605" t="s">
        <v>957</v>
      </c>
      <c r="C64" s="600">
        <v>7385</v>
      </c>
      <c r="D64" s="602">
        <v>7500</v>
      </c>
      <c r="E64" s="603">
        <v>7500</v>
      </c>
      <c r="G64" s="858" t="str">
        <f>CONCATENATE("Desired Carryover Into ",E1+1,"")</f>
        <v>Desired Carryover Into 2016</v>
      </c>
      <c r="H64" s="859"/>
      <c r="I64" s="859"/>
      <c r="J64" s="860"/>
    </row>
    <row r="65" spans="2:10" ht="15.75">
      <c r="B65" s="605"/>
      <c r="C65" s="600"/>
      <c r="D65" s="602"/>
      <c r="E65" s="603"/>
      <c r="G65" s="614"/>
      <c r="H65" s="615"/>
      <c r="I65" s="616"/>
      <c r="J65" s="617"/>
    </row>
    <row r="66" spans="2:10" ht="15.75">
      <c r="B66" s="605"/>
      <c r="C66" s="600"/>
      <c r="D66" s="602"/>
      <c r="E66" s="603"/>
      <c r="G66" s="618" t="s">
        <v>698</v>
      </c>
      <c r="H66" s="616"/>
      <c r="I66" s="616"/>
      <c r="J66" s="619">
        <v>0</v>
      </c>
    </row>
    <row r="67" spans="2:10" ht="15.75">
      <c r="B67" s="605"/>
      <c r="C67" s="600"/>
      <c r="D67" s="602"/>
      <c r="E67" s="603"/>
      <c r="G67" s="614" t="s">
        <v>699</v>
      </c>
      <c r="H67" s="615"/>
      <c r="I67" s="615"/>
      <c r="J67" s="620">
        <f>IF(J66=0,"",ROUND((J66+E80-G79)/inputOth!E11*1000,3)-G84)</f>
      </c>
    </row>
    <row r="68" spans="2:10" ht="15.75">
      <c r="B68" s="605"/>
      <c r="C68" s="600"/>
      <c r="D68" s="602"/>
      <c r="E68" s="603"/>
      <c r="G68" s="621" t="str">
        <f>CONCATENATE("",E1," Tot Exp/Non-Appr Must Be:")</f>
        <v>2015 Tot Exp/Non-Appr Must Be:</v>
      </c>
      <c r="H68" s="622"/>
      <c r="I68" s="623"/>
      <c r="J68" s="624">
        <f>IF(J66&gt;0,IF(E77&lt;E61,IF(J66=G79,E77,((J66-G79)*(1-D79))+E61),E77+(J66-G79)),0)</f>
        <v>0</v>
      </c>
    </row>
    <row r="69" spans="2:10" ht="15.75">
      <c r="B69" s="605"/>
      <c r="C69" s="600"/>
      <c r="D69" s="602"/>
      <c r="E69" s="603"/>
      <c r="G69" s="625" t="s">
        <v>828</v>
      </c>
      <c r="H69" s="626"/>
      <c r="I69" s="626"/>
      <c r="J69" s="627">
        <f>IF(J66&gt;0,J68-E77,0)</f>
        <v>0</v>
      </c>
    </row>
    <row r="70" spans="2:6" ht="15.75">
      <c r="B70" s="604" t="s">
        <v>207</v>
      </c>
      <c r="C70" s="600"/>
      <c r="D70" s="602"/>
      <c r="E70" s="598">
        <f>nhood!E8</f>
      </c>
      <c r="F70" s="636"/>
    </row>
    <row r="71" spans="2:10" ht="15.75">
      <c r="B71" s="604" t="s">
        <v>205</v>
      </c>
      <c r="C71" s="608"/>
      <c r="D71" s="602"/>
      <c r="E71" s="603"/>
      <c r="F71" s="636"/>
      <c r="G71" s="858" t="str">
        <f>CONCATENATE("Projected Carryover Into ",E1+1,"")</f>
        <v>Projected Carryover Into 2016</v>
      </c>
      <c r="H71" s="868"/>
      <c r="I71" s="868"/>
      <c r="J71" s="862"/>
    </row>
    <row r="72" spans="2:10" ht="15.75">
      <c r="B72" s="604" t="s">
        <v>695</v>
      </c>
      <c r="C72" s="609">
        <f>IF(C73*0.1&lt;C71,"Exceed 10% Rule","")</f>
      </c>
      <c r="D72" s="609">
        <f>IF(D73*0.1&lt;D71,"Exceed 10% Rule","")</f>
      </c>
      <c r="E72" s="610">
        <f>IF(E73*0.1&lt;E71,"Exceed 10% Rule","")</f>
      </c>
      <c r="F72" s="636"/>
      <c r="G72" s="666"/>
      <c r="H72" s="615"/>
      <c r="I72" s="615"/>
      <c r="J72" s="667"/>
    </row>
    <row r="73" spans="2:10" ht="15.75">
      <c r="B73" s="611" t="s">
        <v>263</v>
      </c>
      <c r="C73" s="630">
        <f>SUM(C63:C71)</f>
        <v>7385</v>
      </c>
      <c r="D73" s="630">
        <f>SUM(D63:D71)</f>
        <v>7500</v>
      </c>
      <c r="E73" s="631">
        <f>SUM(E63:E71)</f>
        <v>7500</v>
      </c>
      <c r="F73" s="636"/>
      <c r="G73" s="632">
        <f>D74</f>
        <v>81</v>
      </c>
      <c r="H73" s="633" t="str">
        <f>CONCATENATE("",E1-1," Ending Cash Balance (est.)")</f>
        <v>2014 Ending Cash Balance (est.)</v>
      </c>
      <c r="I73" s="634"/>
      <c r="J73" s="667"/>
    </row>
    <row r="74" spans="2:10" ht="15.75">
      <c r="B74" s="595" t="s">
        <v>61</v>
      </c>
      <c r="C74" s="635">
        <f>C61-C73</f>
        <v>211</v>
      </c>
      <c r="D74" s="635">
        <f>D61-D73</f>
        <v>81</v>
      </c>
      <c r="E74" s="601" t="s">
        <v>232</v>
      </c>
      <c r="F74" s="636"/>
      <c r="G74" s="632">
        <f>E60</f>
        <v>751.53</v>
      </c>
      <c r="H74" s="616" t="str">
        <f>CONCATENATE("",E1," Non-AV Receipts (est.)")</f>
        <v>2015 Non-AV Receipts (est.)</v>
      </c>
      <c r="I74" s="634"/>
      <c r="J74" s="667"/>
    </row>
    <row r="75" spans="2:11" ht="15.75">
      <c r="B75" s="725" t="str">
        <f>CONCATENATE("",E1-2,"/",E1-1,"/",E1," Budget Authority Amount:")</f>
        <v>2013/2014/2015 Budget Authority Amount:</v>
      </c>
      <c r="C75" s="724">
        <f>inputOth!B85</f>
        <v>7500</v>
      </c>
      <c r="D75" s="724">
        <f>inputPrYr!D22</f>
        <v>7500</v>
      </c>
      <c r="E75" s="598">
        <f>E73</f>
        <v>7500</v>
      </c>
      <c r="F75" s="638"/>
      <c r="G75" s="639">
        <f>IF(E79&gt;0,E78,E80)</f>
        <v>6667.47</v>
      </c>
      <c r="H75" s="616" t="str">
        <f>CONCATENATE("",E1," Ad Valorem Tax (est.)")</f>
        <v>2015 Ad Valorem Tax (est.)</v>
      </c>
      <c r="I75" s="634"/>
      <c r="J75" s="667"/>
      <c r="K75" s="640">
        <f>IF(G75=E80,"","Note: Does not include Delinquent Taxes")</f>
      </c>
    </row>
    <row r="76" spans="2:10" ht="15.75">
      <c r="B76" s="637"/>
      <c r="C76" s="846" t="s">
        <v>692</v>
      </c>
      <c r="D76" s="847"/>
      <c r="E76" s="603"/>
      <c r="F76" s="668">
        <f>IF(E73/0.95-E73&lt;E76,"Exceeds 5%","")</f>
      </c>
      <c r="G76" s="669">
        <f>SUM(G73:G75)</f>
        <v>7500</v>
      </c>
      <c r="H76" s="616" t="str">
        <f>CONCATENATE("Total ",E1," Resources Available")</f>
        <v>Total 2015 Resources Available</v>
      </c>
      <c r="I76" s="670"/>
      <c r="J76" s="667"/>
    </row>
    <row r="77" spans="2:10" ht="15.75">
      <c r="B77" s="642" t="str">
        <f>CONCATENATE(C95,"     ",D95)</f>
        <v>     </v>
      </c>
      <c r="C77" s="848" t="s">
        <v>693</v>
      </c>
      <c r="D77" s="849"/>
      <c r="E77" s="598">
        <f>E73+E76</f>
        <v>7500</v>
      </c>
      <c r="F77" s="636"/>
      <c r="G77" s="671"/>
      <c r="H77" s="672"/>
      <c r="I77" s="615"/>
      <c r="J77" s="667"/>
    </row>
    <row r="78" spans="2:10" ht="15.75">
      <c r="B78" s="642" t="str">
        <f>CONCATENATE(C96,"     ",D96)</f>
        <v>     </v>
      </c>
      <c r="C78" s="644"/>
      <c r="D78" s="583" t="s">
        <v>265</v>
      </c>
      <c r="E78" s="645">
        <f>IF(E77-E61&gt;0,E77-E61,0)</f>
        <v>6667.47</v>
      </c>
      <c r="F78" s="636"/>
      <c r="G78" s="639">
        <f>ROUND(C73*0.05+C73,0)</f>
        <v>7754</v>
      </c>
      <c r="H78" s="616" t="str">
        <f>CONCATENATE("Less ",E1-2," Expenditures + 5%")</f>
        <v>Less 2013 Expenditures + 5%</v>
      </c>
      <c r="I78" s="670"/>
      <c r="J78" s="667"/>
    </row>
    <row r="79" spans="2:10" ht="15.75">
      <c r="B79" s="583"/>
      <c r="C79" s="471" t="s">
        <v>694</v>
      </c>
      <c r="D79" s="646">
        <f>inputOth!E77</f>
        <v>0</v>
      </c>
      <c r="E79" s="598">
        <f>ROUND(IF(E78&gt;0,(E78*D79),0),0)</f>
        <v>0</v>
      </c>
      <c r="F79" s="636"/>
      <c r="G79" s="647">
        <f>G76-G78</f>
        <v>-254</v>
      </c>
      <c r="H79" s="648" t="str">
        <f>CONCATENATE("Projected ",E1+1," carryover (est.)")</f>
        <v>Projected 2016 carryover (est.)</v>
      </c>
      <c r="I79" s="673"/>
      <c r="J79" s="674"/>
    </row>
    <row r="80" spans="2:6" ht="16.5" thickBot="1">
      <c r="B80" s="580"/>
      <c r="C80" s="863" t="str">
        <f>CONCATENATE("Amount of  ",E1-1," Ad Valorem Tax")</f>
        <v>Amount of  2014 Ad Valorem Tax</v>
      </c>
      <c r="D80" s="864"/>
      <c r="E80" s="652">
        <f>E78+E79</f>
        <v>6667.47</v>
      </c>
      <c r="F80" s="675" t="str">
        <f>IF('Library Grant'!F33="","",IF('Library Grant'!F33="Qualify","Qualifies for State Library Grant","See 'Library Grant' tab"))</f>
        <v>Qualifies for State Library Grant</v>
      </c>
    </row>
    <row r="81" spans="2:10" ht="16.5" thickTop="1">
      <c r="B81" s="583"/>
      <c r="C81" s="863"/>
      <c r="D81" s="864"/>
      <c r="E81" s="653"/>
      <c r="F81" s="636"/>
      <c r="G81" s="865" t="s">
        <v>829</v>
      </c>
      <c r="H81" s="866"/>
      <c r="I81" s="866"/>
      <c r="J81" s="867"/>
    </row>
    <row r="82" spans="2:10" ht="15.75">
      <c r="B82" s="583"/>
      <c r="C82" s="583"/>
      <c r="D82" s="583"/>
      <c r="E82" s="583"/>
      <c r="G82" s="654"/>
      <c r="H82" s="633"/>
      <c r="I82" s="655"/>
      <c r="J82" s="656"/>
    </row>
    <row r="83" spans="2:10" ht="15.75">
      <c r="B83" s="583" t="s">
        <v>246</v>
      </c>
      <c r="C83" s="676">
        <v>9</v>
      </c>
      <c r="D83" s="583"/>
      <c r="E83" s="583"/>
      <c r="F83" s="636"/>
      <c r="G83" s="657">
        <f>summ!H20</f>
        <v>1.911</v>
      </c>
      <c r="H83" s="633" t="str">
        <f>CONCATENATE("",E1," Fund Mill Rate")</f>
        <v>2015 Fund Mill Rate</v>
      </c>
      <c r="I83" s="655"/>
      <c r="J83" s="656"/>
    </row>
    <row r="84" spans="7:10" ht="15.75">
      <c r="G84" s="658">
        <f>summ!E20</f>
        <v>2</v>
      </c>
      <c r="H84" s="633" t="str">
        <f>CONCATENATE("",E1-1," Fund Mill Rate")</f>
        <v>2014 Fund Mill Rate</v>
      </c>
      <c r="I84" s="655"/>
      <c r="J84" s="656"/>
    </row>
    <row r="85" spans="7:10" ht="15.75">
      <c r="G85" s="660">
        <f>summ!H36</f>
        <v>17.049</v>
      </c>
      <c r="H85" s="633" t="str">
        <f>CONCATENATE("Total ",E1," Mill Rate")</f>
        <v>Total 2015 Mill Rate</v>
      </c>
      <c r="I85" s="655"/>
      <c r="J85" s="656"/>
    </row>
    <row r="86" spans="7:10" ht="15.75">
      <c r="G86" s="658">
        <f>summ!E36</f>
        <v>19.204</v>
      </c>
      <c r="H86" s="661" t="str">
        <f>CONCATENATE("Total ",E1-1," Mill Rate")</f>
        <v>Total 2014 Mill Rate</v>
      </c>
      <c r="I86" s="662"/>
      <c r="J86" s="663"/>
    </row>
    <row r="87" spans="7:10" ht="15.75">
      <c r="G87" s="677"/>
      <c r="H87" s="677"/>
      <c r="I87" s="677"/>
      <c r="J87" s="677"/>
    </row>
    <row r="88" spans="3:9" ht="15.75">
      <c r="C88" s="678" t="s">
        <v>830</v>
      </c>
      <c r="D88" s="678" t="s">
        <v>830</v>
      </c>
      <c r="G88" s="753" t="s">
        <v>928</v>
      </c>
      <c r="H88" s="710"/>
      <c r="I88" s="709" t="str">
        <f>cert!E41</f>
        <v>No</v>
      </c>
    </row>
    <row r="89" spans="3:4" ht="15.75">
      <c r="C89" s="678" t="s">
        <v>830</v>
      </c>
      <c r="D89" s="678" t="s">
        <v>830</v>
      </c>
    </row>
    <row r="91" spans="3:4" ht="15.75">
      <c r="C91" s="678" t="s">
        <v>830</v>
      </c>
      <c r="D91" s="678" t="s">
        <v>830</v>
      </c>
    </row>
    <row r="92" spans="3:4" ht="15.75">
      <c r="C92" s="678" t="s">
        <v>830</v>
      </c>
      <c r="D92" s="678" t="s">
        <v>830</v>
      </c>
    </row>
    <row r="93" spans="3:4" ht="15.75" hidden="1">
      <c r="C93" s="679">
        <f>IF(C33&gt;C35,"See Tab A","")</f>
      </c>
      <c r="D93" s="679">
        <f>IF(D33&gt;D35,"See Tab C","")</f>
      </c>
    </row>
    <row r="94" spans="3:4" ht="15.75" hidden="1">
      <c r="C94" s="679">
        <f>IF(C34&lt;0,"See Tab B","")</f>
      </c>
      <c r="D94" s="679">
        <f>IF(D34&lt;0,"See Tab D","")</f>
      </c>
    </row>
    <row r="95" spans="3:4" ht="15.75" hidden="1">
      <c r="C95" s="680">
        <f>IF(C73&gt;C75,"See Tab A","")</f>
      </c>
      <c r="D95" s="680">
        <f>IF(D73&gt;D75,"See Tab C","")</f>
      </c>
    </row>
    <row r="96" spans="3:4" ht="15.75" hidden="1">
      <c r="C96" s="680">
        <f>IF(C74&lt;0,"See Tab B","")</f>
      </c>
      <c r="D96" s="680">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7">
      <selection activeCell="E24" sqref="E2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Greeley Township</v>
      </c>
      <c r="C1" s="48"/>
      <c r="D1" s="48"/>
      <c r="E1" s="204">
        <f>inputPrYr!D9</f>
        <v>2015</v>
      </c>
    </row>
    <row r="2" spans="2:5" ht="15.75">
      <c r="B2" s="513" t="s">
        <v>734</v>
      </c>
      <c r="C2" s="48"/>
      <c r="D2" s="187"/>
      <c r="E2" s="307"/>
    </row>
    <row r="3" spans="2:5" ht="15.75">
      <c r="B3" s="48"/>
      <c r="C3" s="53"/>
      <c r="D3" s="53"/>
      <c r="E3" s="53"/>
    </row>
    <row r="4" spans="2:5" ht="15.75">
      <c r="B4" s="55" t="s">
        <v>247</v>
      </c>
      <c r="C4" s="359" t="s">
        <v>248</v>
      </c>
      <c r="D4" s="362" t="s">
        <v>249</v>
      </c>
      <c r="E4" s="57" t="s">
        <v>250</v>
      </c>
    </row>
    <row r="5" spans="2:5" ht="15.75">
      <c r="B5" s="455" t="str">
        <f>inputPrYr!B26</f>
        <v>Fire Protection</v>
      </c>
      <c r="C5" s="360" t="str">
        <f>gen!C5</f>
        <v>Actual for 2013</v>
      </c>
      <c r="D5" s="360" t="str">
        <f>gen!D5</f>
        <v>Estimate for 2014</v>
      </c>
      <c r="E5" s="62" t="str">
        <f>gen!E5</f>
        <v>Year for 2015</v>
      </c>
    </row>
    <row r="6" spans="2:5" ht="15.75">
      <c r="B6" s="63" t="s">
        <v>60</v>
      </c>
      <c r="C6" s="286">
        <v>101</v>
      </c>
      <c r="D6" s="361">
        <f>C34</f>
        <v>172.4300000000003</v>
      </c>
      <c r="E6" s="239">
        <f>D34</f>
        <v>72.43000000000029</v>
      </c>
    </row>
    <row r="7" spans="2:5" ht="15.75">
      <c r="B7" s="63" t="s">
        <v>62</v>
      </c>
      <c r="C7" s="361"/>
      <c r="D7" s="361"/>
      <c r="E7" s="288"/>
    </row>
    <row r="8" spans="2:5" ht="15.75">
      <c r="B8" s="63" t="s">
        <v>253</v>
      </c>
      <c r="C8" s="286">
        <f>219.3+4532.41+510.79</f>
        <v>5262.5</v>
      </c>
      <c r="D8" s="361">
        <f>IF(inputPrYr!H19&gt;0,inputPrYr!G26,inputPrYr!E26)</f>
        <v>5496</v>
      </c>
      <c r="E8" s="288" t="s">
        <v>232</v>
      </c>
    </row>
    <row r="9" spans="2:5" ht="15.75">
      <c r="B9" s="63" t="s">
        <v>254</v>
      </c>
      <c r="C9" s="286">
        <v>22</v>
      </c>
      <c r="D9" s="286">
        <v>0</v>
      </c>
      <c r="E9" s="151"/>
    </row>
    <row r="10" spans="2:5" ht="15.75">
      <c r="B10" s="63" t="s">
        <v>255</v>
      </c>
      <c r="C10" s="286">
        <v>683</v>
      </c>
      <c r="D10" s="286">
        <v>717</v>
      </c>
      <c r="E10" s="239">
        <f>mvalloc!G17</f>
        <v>574</v>
      </c>
    </row>
    <row r="11" spans="2:5" ht="15.75">
      <c r="B11" s="63" t="s">
        <v>256</v>
      </c>
      <c r="C11" s="286">
        <v>12</v>
      </c>
      <c r="D11" s="286">
        <v>14</v>
      </c>
      <c r="E11" s="239">
        <f>mvalloc!I17</f>
        <v>10</v>
      </c>
    </row>
    <row r="12" spans="2:5" ht="15.75">
      <c r="B12" s="63" t="s">
        <v>51</v>
      </c>
      <c r="C12" s="286">
        <f>62.93</f>
        <v>62.93</v>
      </c>
      <c r="D12" s="286">
        <v>61</v>
      </c>
      <c r="E12" s="239">
        <f>mvalloc!J17</f>
        <v>51</v>
      </c>
    </row>
    <row r="13" spans="2:5" ht="15.75">
      <c r="B13" s="290" t="s">
        <v>966</v>
      </c>
      <c r="C13" s="286">
        <v>0</v>
      </c>
      <c r="D13" s="286">
        <v>0</v>
      </c>
      <c r="E13" s="151">
        <v>11.63</v>
      </c>
    </row>
    <row r="14" spans="2:5" ht="15.75">
      <c r="B14" s="290"/>
      <c r="C14" s="286"/>
      <c r="D14" s="286"/>
      <c r="E14" s="151"/>
    </row>
    <row r="15" spans="2:5" ht="15.75">
      <c r="B15" s="290"/>
      <c r="C15" s="286"/>
      <c r="D15" s="286"/>
      <c r="E15" s="151"/>
    </row>
    <row r="16" spans="2:5" ht="15.75">
      <c r="B16" s="291"/>
      <c r="C16" s="286"/>
      <c r="D16" s="286"/>
      <c r="E16" s="151"/>
    </row>
    <row r="17" spans="2:5" ht="15.75">
      <c r="B17" s="291" t="s">
        <v>259</v>
      </c>
      <c r="C17" s="286"/>
      <c r="D17" s="286"/>
      <c r="E17" s="151"/>
    </row>
    <row r="18" spans="2:5" ht="15.75">
      <c r="B18" s="292" t="s">
        <v>205</v>
      </c>
      <c r="C18" s="286"/>
      <c r="D18" s="286"/>
      <c r="E18" s="151"/>
    </row>
    <row r="19" spans="2:5" ht="15.75">
      <c r="B19" s="292" t="s">
        <v>206</v>
      </c>
      <c r="C19" s="363">
        <f>IF(C20*0.1&lt;C18,"Exceed 10% Rule","")</f>
      </c>
      <c r="D19" s="363">
        <f>IF(D20*0.1&lt;D18,"Exceed 10% Rule","")</f>
      </c>
      <c r="E19" s="296">
        <f>IF(E20*0.1+E40&lt;E18,"Exceed 10% Rule","")</f>
      </c>
    </row>
    <row r="20" spans="2:5" ht="15.75">
      <c r="B20" s="294" t="s">
        <v>260</v>
      </c>
      <c r="C20" s="364">
        <f>SUM(C8:C18)</f>
        <v>6042.43</v>
      </c>
      <c r="D20" s="364">
        <f>SUM(D8:D18)</f>
        <v>6288</v>
      </c>
      <c r="E20" s="295">
        <f>SUM(E8:E18)</f>
        <v>646.63</v>
      </c>
    </row>
    <row r="21" spans="2:5" ht="15.75">
      <c r="B21" s="81" t="s">
        <v>261</v>
      </c>
      <c r="C21" s="364">
        <f>C20+C6</f>
        <v>6143.43</v>
      </c>
      <c r="D21" s="364">
        <f>D20+D6</f>
        <v>6460.43</v>
      </c>
      <c r="E21" s="295">
        <f>E20+E6</f>
        <v>719.0600000000003</v>
      </c>
    </row>
    <row r="22" spans="2:5" ht="15.75">
      <c r="B22" s="63" t="s">
        <v>262</v>
      </c>
      <c r="C22" s="361"/>
      <c r="D22" s="361"/>
      <c r="E22" s="239"/>
    </row>
    <row r="23" spans="2:5" ht="15.75">
      <c r="B23" s="291"/>
      <c r="C23" s="286"/>
      <c r="D23" s="286"/>
      <c r="E23" s="151"/>
    </row>
    <row r="24" spans="2:11" ht="15.75">
      <c r="B24" s="291" t="s">
        <v>957</v>
      </c>
      <c r="C24" s="286">
        <v>5971</v>
      </c>
      <c r="D24" s="286">
        <v>6388</v>
      </c>
      <c r="E24" s="151">
        <v>6976</v>
      </c>
      <c r="G24" s="858" t="str">
        <f>CONCATENATE("Desired Carryover Into ",E1+1,"")</f>
        <v>Desired Carryover Into 2016</v>
      </c>
      <c r="H24" s="859"/>
      <c r="I24" s="859"/>
      <c r="J24" s="860"/>
      <c r="K24" s="582"/>
    </row>
    <row r="25" spans="2:11" ht="15.75">
      <c r="B25" s="291"/>
      <c r="C25" s="286"/>
      <c r="D25" s="286"/>
      <c r="E25" s="151"/>
      <c r="G25" s="614"/>
      <c r="H25" s="615"/>
      <c r="I25" s="616"/>
      <c r="J25" s="617"/>
      <c r="K25" s="582"/>
    </row>
    <row r="26" spans="2:11" ht="15.75">
      <c r="B26" s="291"/>
      <c r="C26" s="286"/>
      <c r="D26" s="286"/>
      <c r="E26" s="151"/>
      <c r="G26" s="618" t="s">
        <v>698</v>
      </c>
      <c r="H26" s="616"/>
      <c r="I26" s="616"/>
      <c r="J26" s="619">
        <v>0</v>
      </c>
      <c r="K26" s="582"/>
    </row>
    <row r="27" spans="2:11" ht="15.75">
      <c r="B27" s="291"/>
      <c r="C27" s="286"/>
      <c r="D27" s="286"/>
      <c r="E27" s="151"/>
      <c r="G27" s="614" t="s">
        <v>699</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828</v>
      </c>
      <c r="H29" s="626"/>
      <c r="I29" s="626"/>
      <c r="J29" s="627">
        <f>IF(J26&gt;0,J28-E37,0)</f>
        <v>0</v>
      </c>
      <c r="K29" s="582"/>
    </row>
    <row r="30" spans="2:11" ht="15.75">
      <c r="B30" s="289" t="s">
        <v>207</v>
      </c>
      <c r="C30" s="286"/>
      <c r="D30" s="286"/>
      <c r="E30" s="162">
        <f>nhood!E12</f>
      </c>
      <c r="G30" s="582"/>
      <c r="H30" s="582"/>
      <c r="I30" s="582"/>
      <c r="J30" s="582"/>
      <c r="K30" s="582"/>
    </row>
    <row r="31" spans="2:11" ht="15.75">
      <c r="B31" s="289" t="s">
        <v>205</v>
      </c>
      <c r="C31" s="286"/>
      <c r="D31" s="286"/>
      <c r="E31" s="151"/>
      <c r="G31" s="858" t="str">
        <f>CONCATENATE("Projected Carryover Into ",E1+1,"")</f>
        <v>Projected Carryover Into 2016</v>
      </c>
      <c r="H31" s="861"/>
      <c r="I31" s="861"/>
      <c r="J31" s="862"/>
      <c r="K31" s="582"/>
    </row>
    <row r="32" spans="2:11" ht="15.75">
      <c r="B32" s="289" t="s">
        <v>695</v>
      </c>
      <c r="C32" s="363">
        <f>IF(C33*0.1&lt;C31,"Exceed 10% Rule","")</f>
      </c>
      <c r="D32" s="363">
        <f>IF(D33*0.1&lt;D31,"Exceed 10% Rule","")</f>
      </c>
      <c r="E32" s="296">
        <f>IF(E33*0.1&lt;E31,"Exceed 10% Rule","")</f>
      </c>
      <c r="G32" s="614"/>
      <c r="H32" s="616"/>
      <c r="I32" s="616"/>
      <c r="J32" s="629"/>
      <c r="K32" s="582"/>
    </row>
    <row r="33" spans="2:11" ht="15.75">
      <c r="B33" s="81" t="s">
        <v>263</v>
      </c>
      <c r="C33" s="364">
        <f>SUM(C23:C31)</f>
        <v>5971</v>
      </c>
      <c r="D33" s="364">
        <f>SUM(D23:D31)</f>
        <v>6388</v>
      </c>
      <c r="E33" s="295">
        <f>SUM(E23:E31)</f>
        <v>6976</v>
      </c>
      <c r="G33" s="632">
        <f>D34</f>
        <v>72.43000000000029</v>
      </c>
      <c r="H33" s="633" t="str">
        <f>CONCATENATE("",E1-1," Ending Cash Balance (est.)")</f>
        <v>2014 Ending Cash Balance (est.)</v>
      </c>
      <c r="I33" s="634"/>
      <c r="J33" s="629"/>
      <c r="K33" s="582"/>
    </row>
    <row r="34" spans="2:11" ht="15.75">
      <c r="B34" s="63" t="s">
        <v>61</v>
      </c>
      <c r="C34" s="365">
        <f>C21-C33</f>
        <v>172.4300000000003</v>
      </c>
      <c r="D34" s="365">
        <f>D21-D33</f>
        <v>72.43000000000029</v>
      </c>
      <c r="E34" s="288" t="s">
        <v>232</v>
      </c>
      <c r="G34" s="632">
        <f>E20</f>
        <v>646.63</v>
      </c>
      <c r="H34" s="616" t="str">
        <f>CONCATENATE("",E1," Non-AV Receipts (est.)")</f>
        <v>2015 Non-AV Receipts (est.)</v>
      </c>
      <c r="I34" s="634"/>
      <c r="J34" s="629"/>
      <c r="K34" s="582"/>
    </row>
    <row r="35" spans="2:11" ht="15.75">
      <c r="B35" s="98" t="str">
        <f>CONCATENATE("",E1-2,"/",E1-1,"/",E1," Budget Authority Amount:")</f>
        <v>2013/2014/2015 Budget Authority Amount:</v>
      </c>
      <c r="C35" s="722">
        <f>inputOth!$B89</f>
        <v>6076</v>
      </c>
      <c r="D35" s="722">
        <f>inputPrYr!$D26</f>
        <v>6388</v>
      </c>
      <c r="E35" s="239">
        <f>E33</f>
        <v>6976</v>
      </c>
      <c r="F35" s="297"/>
      <c r="G35" s="639">
        <f>IF(E39&gt;0,E38,E40)</f>
        <v>6256.94</v>
      </c>
      <c r="H35" s="616" t="str">
        <f>CONCATENATE("",E1," Ad Valorem Tax (est.)")</f>
        <v>2015 Ad Valorem Tax (est.)</v>
      </c>
      <c r="I35" s="634"/>
      <c r="J35" s="629"/>
      <c r="K35" s="640">
        <f>IF(G35=E40,"","Note: Does not include Delinquent Taxes")</f>
      </c>
    </row>
    <row r="36" spans="2:11" ht="15.75">
      <c r="B36" s="99"/>
      <c r="C36" s="846" t="s">
        <v>692</v>
      </c>
      <c r="D36" s="847"/>
      <c r="E36" s="151"/>
      <c r="F36" s="699">
        <f>IF(E33/0.95-E33&lt;E36,"Exceeds 5%","")</f>
      </c>
      <c r="G36" s="632">
        <f>SUM(G33:G35)</f>
        <v>6976</v>
      </c>
      <c r="H36" s="616" t="str">
        <f>CONCATENATE("Total ",E1," Resources Available")</f>
        <v>Total 2015 Resources Available</v>
      </c>
      <c r="I36" s="634"/>
      <c r="J36" s="629"/>
      <c r="K36" s="582"/>
    </row>
    <row r="37" spans="2:11" ht="15.75">
      <c r="B37" s="470" t="str">
        <f>CONCATENATE(C85,"     ",D85)</f>
        <v>     </v>
      </c>
      <c r="C37" s="848" t="s">
        <v>693</v>
      </c>
      <c r="D37" s="849"/>
      <c r="E37" s="239">
        <f>E33+E36</f>
        <v>6976</v>
      </c>
      <c r="G37" s="643"/>
      <c r="H37" s="616"/>
      <c r="I37" s="616"/>
      <c r="J37" s="629"/>
      <c r="K37" s="582"/>
    </row>
    <row r="38" spans="2:11" ht="15.75">
      <c r="B38" s="470" t="str">
        <f>CONCATENATE(C86,"     ",D86)</f>
        <v>     </v>
      </c>
      <c r="C38" s="473"/>
      <c r="D38" s="472" t="s">
        <v>265</v>
      </c>
      <c r="E38" s="162">
        <f>IF(E37-E21&gt;0,E37-E21,0)</f>
        <v>6256.94</v>
      </c>
      <c r="G38" s="639">
        <f>C33*0.05+C33</f>
        <v>6269.55</v>
      </c>
      <c r="H38" s="616" t="str">
        <f>CONCATENATE("Less ",E1-2," Expenditures + 5%")</f>
        <v>Less 2013 Expenditures + 5%</v>
      </c>
      <c r="I38" s="616"/>
      <c r="J38" s="629"/>
      <c r="K38" s="582"/>
    </row>
    <row r="39" spans="2:11" ht="15.75">
      <c r="B39" s="190"/>
      <c r="C39" s="471" t="s">
        <v>694</v>
      </c>
      <c r="D39" s="683">
        <f>inputOth!$E$77</f>
        <v>0</v>
      </c>
      <c r="E39" s="239">
        <f>ROUND(IF(D39&gt;0,(E38*D39),0),0)</f>
        <v>0</v>
      </c>
      <c r="G39" s="647">
        <f>G36-G38</f>
        <v>706.4499999999998</v>
      </c>
      <c r="H39" s="648" t="str">
        <f>CONCATENATE("Projected ",E1+1," carryover (est.)")</f>
        <v>Projected 2016 carryover (est.)</v>
      </c>
      <c r="I39" s="649"/>
      <c r="J39" s="650"/>
      <c r="K39" s="582"/>
    </row>
    <row r="40" spans="2:11" ht="15.75">
      <c r="B40" s="48"/>
      <c r="C40" s="850" t="str">
        <f>CONCATENATE("Amount of  ",$E$1-1," Ad Valorem Tax")</f>
        <v>Amount of  2014 Ad Valorem Tax</v>
      </c>
      <c r="D40" s="851"/>
      <c r="E40" s="162">
        <f>E38+E39</f>
        <v>6256.94</v>
      </c>
      <c r="G40" s="582"/>
      <c r="H40" s="582"/>
      <c r="I40" s="582"/>
      <c r="J40" s="582"/>
      <c r="K40" s="582"/>
    </row>
    <row r="41" spans="2:11" ht="15.75">
      <c r="B41" s="48"/>
      <c r="C41" s="529"/>
      <c r="D41" s="48"/>
      <c r="E41" s="48"/>
      <c r="G41" s="865" t="s">
        <v>829</v>
      </c>
      <c r="H41" s="866"/>
      <c r="I41" s="866"/>
      <c r="J41" s="867"/>
      <c r="K41" s="582"/>
    </row>
    <row r="42" spans="2:11" ht="15.75">
      <c r="B42" s="48"/>
      <c r="C42" s="529"/>
      <c r="D42" s="48"/>
      <c r="E42" s="48"/>
      <c r="G42" s="654"/>
      <c r="H42" s="633"/>
      <c r="I42" s="655"/>
      <c r="J42" s="656"/>
      <c r="K42" s="582"/>
    </row>
    <row r="43" spans="2:11" ht="15.75">
      <c r="B43" s="55" t="s">
        <v>247</v>
      </c>
      <c r="C43" s="53"/>
      <c r="D43" s="53"/>
      <c r="E43" s="53"/>
      <c r="G43" s="657">
        <f>summ!H24</f>
        <v>1.794</v>
      </c>
      <c r="H43" s="633" t="str">
        <f>CONCATENATE("",E1," Fund Mill Rate")</f>
        <v>2015 Fund Mill Rate</v>
      </c>
      <c r="I43" s="655"/>
      <c r="J43" s="656"/>
      <c r="K43" s="582"/>
    </row>
    <row r="44" spans="2:11" ht="15.75">
      <c r="B44" s="48"/>
      <c r="C44" s="359" t="s">
        <v>248</v>
      </c>
      <c r="D44" s="362" t="s">
        <v>249</v>
      </c>
      <c r="E44" s="57" t="s">
        <v>250</v>
      </c>
      <c r="G44" s="658">
        <f>summ!E24</f>
        <v>1.72</v>
      </c>
      <c r="H44" s="633" t="str">
        <f>CONCATENATE("",E1-1," Fund Mill Rate")</f>
        <v>2014 Fund Mill Rate</v>
      </c>
      <c r="I44" s="655"/>
      <c r="J44" s="656"/>
      <c r="K44" s="582"/>
    </row>
    <row r="45" spans="2:11" ht="15.75">
      <c r="B45" s="456">
        <f>inputPrYr!B27</f>
        <v>0</v>
      </c>
      <c r="C45" s="360" t="str">
        <f>C5</f>
        <v>Actual for 2013</v>
      </c>
      <c r="D45" s="360" t="str">
        <f>D5</f>
        <v>Estimate for 2014</v>
      </c>
      <c r="E45" s="62" t="str">
        <f>E5</f>
        <v>Year for 2015</v>
      </c>
      <c r="G45" s="660">
        <f>summ!H36</f>
        <v>17.049</v>
      </c>
      <c r="H45" s="633" t="str">
        <f>CONCATENATE("Total ",E1," Mill Rate")</f>
        <v>Total 2015 Mill Rate</v>
      </c>
      <c r="I45" s="655"/>
      <c r="J45" s="656"/>
      <c r="K45" s="582"/>
    </row>
    <row r="46" spans="2:11" ht="15.75">
      <c r="B46" s="63" t="s">
        <v>60</v>
      </c>
      <c r="C46" s="286"/>
      <c r="D46" s="361">
        <f>C74</f>
        <v>0</v>
      </c>
      <c r="E46" s="239">
        <f>D74</f>
        <v>0</v>
      </c>
      <c r="G46" s="658">
        <f>summ!E36</f>
        <v>19.204</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253</v>
      </c>
      <c r="C48" s="286"/>
      <c r="D48" s="361">
        <f>IF(inputPrYr!H19&gt;0,inputPrYr!G27,inputPrYr!E27)</f>
        <v>0</v>
      </c>
      <c r="E48" s="288" t="s">
        <v>232</v>
      </c>
      <c r="G48" s="757" t="s">
        <v>928</v>
      </c>
      <c r="H48" s="710"/>
      <c r="I48" s="709" t="str">
        <f>cert!E41</f>
        <v>No</v>
      </c>
      <c r="J48" s="582"/>
      <c r="K48" s="582"/>
    </row>
    <row r="49" spans="2:11" ht="15.75">
      <c r="B49" s="63" t="s">
        <v>254</v>
      </c>
      <c r="C49" s="286"/>
      <c r="D49" s="286"/>
      <c r="E49" s="151"/>
      <c r="G49" s="582"/>
      <c r="H49" s="582"/>
      <c r="I49" s="582"/>
      <c r="J49" s="582"/>
      <c r="K49" s="582"/>
    </row>
    <row r="50" spans="2:11" ht="15.75">
      <c r="B50" s="63" t="s">
        <v>255</v>
      </c>
      <c r="C50" s="286"/>
      <c r="D50" s="286"/>
      <c r="E50" s="239">
        <f>mvalloc!G18</f>
        <v>0</v>
      </c>
      <c r="G50" s="582"/>
      <c r="H50" s="582"/>
      <c r="I50" s="582"/>
      <c r="J50" s="582"/>
      <c r="K50" s="582"/>
    </row>
    <row r="51" spans="2:11" ht="15.75">
      <c r="B51" s="63" t="s">
        <v>256</v>
      </c>
      <c r="C51" s="286"/>
      <c r="D51" s="286"/>
      <c r="E51" s="239">
        <f>mvalloc!I18</f>
        <v>0</v>
      </c>
      <c r="G51" s="582"/>
      <c r="H51" s="582"/>
      <c r="I51" s="582"/>
      <c r="J51" s="582"/>
      <c r="K51" s="582"/>
    </row>
    <row r="52" spans="2:11" ht="15.75">
      <c r="B52" s="63" t="s">
        <v>51</v>
      </c>
      <c r="C52" s="286"/>
      <c r="D52" s="286"/>
      <c r="E52" s="239">
        <f>mvalloc!J18</f>
        <v>0</v>
      </c>
      <c r="G52" s="582"/>
      <c r="H52" s="582"/>
      <c r="I52" s="582"/>
      <c r="J52" s="582"/>
      <c r="K52" s="582"/>
    </row>
    <row r="53" spans="2:11" ht="15.75">
      <c r="B53" s="291"/>
      <c r="C53" s="286"/>
      <c r="D53" s="286"/>
      <c r="E53" s="151"/>
      <c r="G53" s="582"/>
      <c r="H53" s="582"/>
      <c r="I53" s="582"/>
      <c r="J53" s="582"/>
      <c r="K53" s="582"/>
    </row>
    <row r="54" spans="2:11" ht="15.75">
      <c r="B54" s="291"/>
      <c r="C54" s="286"/>
      <c r="D54" s="286"/>
      <c r="E54" s="151"/>
      <c r="G54" s="582"/>
      <c r="H54" s="582"/>
      <c r="I54" s="582"/>
      <c r="J54" s="582"/>
      <c r="K54" s="582"/>
    </row>
    <row r="55" spans="2:11" ht="15.75">
      <c r="B55" s="291"/>
      <c r="C55" s="286"/>
      <c r="D55" s="286"/>
      <c r="E55" s="151"/>
      <c r="G55" s="582"/>
      <c r="H55" s="582"/>
      <c r="I55" s="582"/>
      <c r="J55" s="582"/>
      <c r="K55" s="582"/>
    </row>
    <row r="56" spans="2:11" ht="15.75">
      <c r="B56" s="291"/>
      <c r="C56" s="286"/>
      <c r="D56" s="286"/>
      <c r="E56" s="151"/>
      <c r="G56" s="582"/>
      <c r="H56" s="582"/>
      <c r="I56" s="582"/>
      <c r="J56" s="582"/>
      <c r="K56" s="582"/>
    </row>
    <row r="57" spans="2:11" ht="15.75">
      <c r="B57" s="291" t="s">
        <v>259</v>
      </c>
      <c r="C57" s="286"/>
      <c r="D57" s="286"/>
      <c r="E57" s="151"/>
      <c r="G57" s="582"/>
      <c r="H57" s="582"/>
      <c r="I57" s="582"/>
      <c r="J57" s="582"/>
      <c r="K57" s="582"/>
    </row>
    <row r="58" spans="2:11" ht="15.75">
      <c r="B58" s="292" t="s">
        <v>205</v>
      </c>
      <c r="C58" s="286"/>
      <c r="D58" s="286"/>
      <c r="E58" s="151"/>
      <c r="G58" s="582"/>
      <c r="H58" s="582"/>
      <c r="I58" s="582"/>
      <c r="J58" s="582"/>
      <c r="K58" s="582"/>
    </row>
    <row r="59" spans="2:11" ht="15.75">
      <c r="B59" s="292" t="s">
        <v>206</v>
      </c>
      <c r="C59" s="363">
        <f>IF(C60*0.1&lt;C58,"Exceed 10% Rule","")</f>
      </c>
      <c r="D59" s="363">
        <f>IF(D60*0.1&lt;D58,"Exceed 10% Rule","")</f>
      </c>
      <c r="E59" s="296">
        <f>IF(E60*0.1+E80&lt;E58,"Exceed 10% Rule","")</f>
      </c>
      <c r="G59" s="582"/>
      <c r="H59" s="582"/>
      <c r="I59" s="582"/>
      <c r="J59" s="582"/>
      <c r="K59" s="582"/>
    </row>
    <row r="60" spans="2:11" ht="15.75">
      <c r="B60" s="294" t="s">
        <v>260</v>
      </c>
      <c r="C60" s="364">
        <f>SUM(C48:C58)</f>
        <v>0</v>
      </c>
      <c r="D60" s="364">
        <f>SUM(D48:D58)</f>
        <v>0</v>
      </c>
      <c r="E60" s="295">
        <f>SUM(E48:E58)</f>
        <v>0</v>
      </c>
      <c r="G60" s="582"/>
      <c r="H60" s="582"/>
      <c r="I60" s="582"/>
      <c r="J60" s="582"/>
      <c r="K60" s="582"/>
    </row>
    <row r="61" spans="2:11" ht="15.75">
      <c r="B61" s="81" t="s">
        <v>261</v>
      </c>
      <c r="C61" s="364">
        <f>C60+C46</f>
        <v>0</v>
      </c>
      <c r="D61" s="364">
        <f>D60+D46</f>
        <v>0</v>
      </c>
      <c r="E61" s="295">
        <f>E60+E46</f>
        <v>0</v>
      </c>
      <c r="G61" s="582"/>
      <c r="H61" s="582"/>
      <c r="I61" s="582"/>
      <c r="J61" s="582"/>
      <c r="K61" s="582"/>
    </row>
    <row r="62" spans="2:11" ht="15.75">
      <c r="B62" s="63" t="s">
        <v>262</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58" t="str">
        <f>CONCATENATE("Desired Carryover Into ",E1+1,"")</f>
        <v>Desired Carryover Into 2016</v>
      </c>
      <c r="H64" s="859"/>
      <c r="I64" s="859"/>
      <c r="J64" s="860"/>
      <c r="K64" s="582"/>
    </row>
    <row r="65" spans="2:11" ht="15.75">
      <c r="B65" s="291"/>
      <c r="C65" s="286"/>
      <c r="D65" s="286"/>
      <c r="E65" s="151"/>
      <c r="G65" s="614"/>
      <c r="H65" s="615"/>
      <c r="I65" s="616"/>
      <c r="J65" s="617"/>
      <c r="K65" s="582"/>
    </row>
    <row r="66" spans="2:11" ht="15.75">
      <c r="B66" s="291"/>
      <c r="C66" s="286"/>
      <c r="D66" s="286"/>
      <c r="E66" s="151"/>
      <c r="G66" s="618" t="s">
        <v>698</v>
      </c>
      <c r="H66" s="616"/>
      <c r="I66" s="616"/>
      <c r="J66" s="619">
        <v>0</v>
      </c>
      <c r="K66" s="582"/>
    </row>
    <row r="67" spans="2:11" ht="15.75">
      <c r="B67" s="291"/>
      <c r="C67" s="286"/>
      <c r="D67" s="286"/>
      <c r="E67" s="151"/>
      <c r="G67" s="614" t="s">
        <v>699</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828</v>
      </c>
      <c r="H69" s="626"/>
      <c r="I69" s="626"/>
      <c r="J69" s="627">
        <f>IF(J66&gt;0,J68-E77,0)</f>
        <v>0</v>
      </c>
      <c r="K69" s="582"/>
    </row>
    <row r="70" spans="2:11" ht="15.75">
      <c r="B70" s="289" t="s">
        <v>207</v>
      </c>
      <c r="C70" s="286"/>
      <c r="D70" s="286"/>
      <c r="E70" s="162">
        <f>nhood!E13</f>
      </c>
      <c r="G70" s="582"/>
      <c r="H70" s="582"/>
      <c r="I70" s="582"/>
      <c r="J70" s="582"/>
      <c r="K70" s="582"/>
    </row>
    <row r="71" spans="2:11" ht="15.75">
      <c r="B71" s="289" t="s">
        <v>205</v>
      </c>
      <c r="C71" s="286"/>
      <c r="D71" s="286"/>
      <c r="E71" s="151"/>
      <c r="G71" s="858" t="str">
        <f>CONCATENATE("Projected Carryover Into ",E1+1,"")</f>
        <v>Projected Carryover Into 2016</v>
      </c>
      <c r="H71" s="868"/>
      <c r="I71" s="868"/>
      <c r="J71" s="862"/>
      <c r="K71" s="582"/>
    </row>
    <row r="72" spans="2:11" ht="15.75">
      <c r="B72" s="289" t="s">
        <v>695</v>
      </c>
      <c r="C72" s="363">
        <f>IF(C73*0.1&lt;C71,"Exceed 10% Rule","")</f>
      </c>
      <c r="D72" s="363">
        <f>IF(D73*0.1&lt;D71,"Exceed 10% Rule","")</f>
      </c>
      <c r="E72" s="296">
        <f>IF(E73*0.1&lt;E71,"Exceed 10% Rule","")</f>
      </c>
      <c r="G72" s="666"/>
      <c r="H72" s="615"/>
      <c r="I72" s="615"/>
      <c r="J72" s="667"/>
      <c r="K72" s="582"/>
    </row>
    <row r="73" spans="2:11" ht="15.75">
      <c r="B73" s="81" t="s">
        <v>263</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232</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2">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6" t="s">
        <v>692</v>
      </c>
      <c r="D76" s="847"/>
      <c r="E76" s="151"/>
      <c r="F76" s="699">
        <f>IF(E73/0.95-E73&lt;E76,"Exceeds 5%","")</f>
      </c>
      <c r="G76" s="632">
        <f>SUM(G73:G75)</f>
        <v>0</v>
      </c>
      <c r="H76" s="616" t="str">
        <f>CONCATENATE("Total ",E1," Resources Available")</f>
        <v>Total 2015 Resources Available</v>
      </c>
      <c r="I76" s="670"/>
      <c r="J76" s="667"/>
      <c r="K76" s="582"/>
    </row>
    <row r="77" spans="2:11" ht="15.75">
      <c r="B77" s="470" t="str">
        <f>CONCATENATE(C87,"     ",D87)</f>
        <v>     </v>
      </c>
      <c r="C77" s="848" t="s">
        <v>693</v>
      </c>
      <c r="D77" s="849"/>
      <c r="E77" s="239">
        <f>E73+E76</f>
        <v>0</v>
      </c>
      <c r="G77" s="671"/>
      <c r="H77" s="672"/>
      <c r="I77" s="615"/>
      <c r="J77" s="667"/>
      <c r="K77" s="582"/>
    </row>
    <row r="78" spans="2:11" ht="15.75">
      <c r="B78" s="470" t="str">
        <f>CONCATENATE(C88,"     ",D88)</f>
        <v>     </v>
      </c>
      <c r="C78" s="473"/>
      <c r="D78" s="472" t="s">
        <v>265</v>
      </c>
      <c r="E78" s="162">
        <f>IF(E77-E61&gt;0,E77-E61,0)</f>
        <v>0</v>
      </c>
      <c r="G78" s="639">
        <f>ROUND(C73*0.05+C73,0)</f>
        <v>0</v>
      </c>
      <c r="H78" s="616" t="str">
        <f>CONCATENATE("Less ",E1-2," Expenditures + 5%")</f>
        <v>Less 2013 Expenditures + 5%</v>
      </c>
      <c r="I78" s="670"/>
      <c r="J78" s="667"/>
      <c r="K78" s="582"/>
    </row>
    <row r="79" spans="2:11" ht="15.75">
      <c r="B79" s="190"/>
      <c r="C79" s="471" t="s">
        <v>694</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0" t="str">
        <f>CONCATENATE("Amount of  ",$E$1-1," Ad Valorem Tax")</f>
        <v>Amount of  2014 Ad Valorem Tax</v>
      </c>
      <c r="D80" s="851"/>
      <c r="E80" s="162">
        <f>E78+E79</f>
        <v>0</v>
      </c>
      <c r="G80" s="582"/>
      <c r="H80" s="582"/>
      <c r="I80" s="582"/>
      <c r="J80" s="582"/>
      <c r="K80" s="582"/>
    </row>
    <row r="81" spans="2:11" ht="15.75">
      <c r="B81" s="190" t="s">
        <v>246</v>
      </c>
      <c r="C81" s="301">
        <v>10</v>
      </c>
      <c r="D81" s="48"/>
      <c r="E81" s="48"/>
      <c r="G81" s="865" t="s">
        <v>829</v>
      </c>
      <c r="H81" s="866"/>
      <c r="I81" s="866"/>
      <c r="J81" s="867"/>
      <c r="K81" s="582"/>
    </row>
    <row r="82" spans="2:11" ht="15.75">
      <c r="B82" s="95"/>
      <c r="G82" s="654"/>
      <c r="H82" s="633"/>
      <c r="I82" s="655"/>
      <c r="J82" s="656"/>
      <c r="K82" s="582"/>
    </row>
    <row r="83" spans="7:11" ht="15.75">
      <c r="G83" s="657" t="str">
        <f>summ!H25</f>
        <v> </v>
      </c>
      <c r="H83" s="633" t="str">
        <f>CONCATENATE("",E1," Fund Mill Rate")</f>
        <v>2015 Fund Mill Rate</v>
      </c>
      <c r="I83" s="655"/>
      <c r="J83" s="656"/>
      <c r="K83" s="582"/>
    </row>
    <row r="84" spans="7:11" ht="15.75">
      <c r="G84" s="658" t="str">
        <f>summ!E25</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17.049</v>
      </c>
      <c r="H89" s="633" t="str">
        <f>CONCATENATE("Total ",E1," Mill Rate")</f>
        <v>Total 2015 Mill Rate</v>
      </c>
      <c r="I89" s="655"/>
      <c r="J89" s="656"/>
    </row>
    <row r="90" spans="7:10" ht="15.75">
      <c r="G90" s="658">
        <f>summ!E36</f>
        <v>19.204</v>
      </c>
      <c r="H90" s="661" t="str">
        <f>CONCATENATE("Total ",E1-1," Mill Rate")</f>
        <v>Total 2014 Mill Rate</v>
      </c>
      <c r="I90" s="662"/>
      <c r="J90" s="663"/>
    </row>
    <row r="92" spans="7:9" ht="15.75">
      <c r="G92" s="758" t="s">
        <v>928</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6">
      <selection activeCell="H21" sqref="H21"/>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75">
      <c r="A1" s="48"/>
      <c r="B1" s="48"/>
      <c r="C1" s="48"/>
      <c r="D1" s="48"/>
      <c r="E1" s="48"/>
      <c r="F1" s="48"/>
      <c r="G1" s="48"/>
      <c r="H1" s="49">
        <f>inputPrYr!D9</f>
        <v>2015</v>
      </c>
    </row>
    <row r="2" spans="1:8" ht="15.75">
      <c r="A2" s="830" t="s">
        <v>23</v>
      </c>
      <c r="B2" s="806"/>
      <c r="C2" s="806"/>
      <c r="D2" s="806"/>
      <c r="E2" s="806"/>
      <c r="F2" s="806"/>
      <c r="G2" s="806"/>
      <c r="H2" s="806"/>
    </row>
    <row r="3" spans="1:8" ht="15.75">
      <c r="A3" s="48"/>
      <c r="B3" s="48"/>
      <c r="C3" s="48"/>
      <c r="D3" s="48"/>
      <c r="E3" s="48"/>
      <c r="F3" s="55" t="s">
        <v>273</v>
      </c>
      <c r="G3" s="55" t="s">
        <v>274</v>
      </c>
      <c r="H3" s="48"/>
    </row>
    <row r="4" spans="1:8" ht="15.75">
      <c r="A4" s="817" t="s">
        <v>275</v>
      </c>
      <c r="B4" s="817"/>
      <c r="C4" s="817"/>
      <c r="D4" s="817"/>
      <c r="E4" s="817"/>
      <c r="F4" s="817"/>
      <c r="G4" s="817"/>
      <c r="H4" s="817"/>
    </row>
    <row r="5" spans="1:8" ht="15.75">
      <c r="A5" s="819" t="str">
        <f>inputPrYr!D3</f>
        <v>Greeley Township</v>
      </c>
      <c r="B5" s="819"/>
      <c r="C5" s="819"/>
      <c r="D5" s="819"/>
      <c r="E5" s="819"/>
      <c r="F5" s="819"/>
      <c r="G5" s="819"/>
      <c r="H5" s="819"/>
    </row>
    <row r="6" spans="1:8" ht="15.75">
      <c r="A6" s="819" t="str">
        <f>inputPrYr!D4</f>
        <v>Sedgwick County</v>
      </c>
      <c r="B6" s="819"/>
      <c r="C6" s="819"/>
      <c r="D6" s="819"/>
      <c r="E6" s="819"/>
      <c r="F6" s="819"/>
      <c r="G6" s="819"/>
      <c r="H6" s="819"/>
    </row>
    <row r="7" spans="1:8" ht="15.75">
      <c r="A7" s="881" t="str">
        <f>CONCATENATE("will meet on ",inputBudSum!B8," at ",inputBudSum!B10," at ",inputBudSum!B12," for the purpose of hearing and")</f>
        <v>will meet on August 21, 2014 at 7:00 pm at Greeley Township Hall, Mt. Hope, KS for the purpose of hearing and</v>
      </c>
      <c r="B7" s="881"/>
      <c r="C7" s="881"/>
      <c r="D7" s="881"/>
      <c r="E7" s="881"/>
      <c r="F7" s="881"/>
      <c r="G7" s="881"/>
      <c r="H7" s="881"/>
    </row>
    <row r="8" spans="1:8" ht="15.75">
      <c r="A8" s="817" t="s">
        <v>377</v>
      </c>
      <c r="B8" s="818"/>
      <c r="C8" s="818"/>
      <c r="D8" s="818"/>
      <c r="E8" s="818"/>
      <c r="F8" s="818"/>
      <c r="G8" s="818"/>
      <c r="H8" s="818"/>
    </row>
    <row r="9" spans="1:8" ht="15.75">
      <c r="A9" s="827" t="str">
        <f>CONCATENATE("Detailed budget information is available at ",inputBudSum!B15," and will be available at this hearing.")</f>
        <v>Detailed budget information is available at Sedgwick County Clerk's Office, 525 N Main, #211, Wichita and will be available at this hearing.</v>
      </c>
      <c r="B9" s="806"/>
      <c r="C9" s="806"/>
      <c r="D9" s="806"/>
      <c r="E9" s="806"/>
      <c r="F9" s="806"/>
      <c r="G9" s="806"/>
      <c r="H9" s="806"/>
    </row>
    <row r="10" spans="1:8" ht="15.75">
      <c r="A10" s="830" t="s">
        <v>24</v>
      </c>
      <c r="B10" s="818"/>
      <c r="C10" s="818"/>
      <c r="D10" s="818"/>
      <c r="E10" s="818"/>
      <c r="F10" s="818"/>
      <c r="G10" s="818"/>
      <c r="H10" s="818"/>
    </row>
    <row r="11" spans="1:8" ht="15.75">
      <c r="A11" s="817" t="str">
        <f>CONCATENATE("Proposed Budget ",H1," Expenditures and Amount of ",H1-1," Ad Valorem Tax establish the maximum limits")</f>
        <v>Proposed Budget 2015 Expenditures and Amount of 2014 Ad Valorem Tax establish the maximum limits</v>
      </c>
      <c r="B11" s="818"/>
      <c r="C11" s="818"/>
      <c r="D11" s="818"/>
      <c r="E11" s="818"/>
      <c r="F11" s="818"/>
      <c r="G11" s="818"/>
      <c r="H11" s="818"/>
    </row>
    <row r="12" spans="1:8" ht="15.75">
      <c r="A12" s="817" t="str">
        <f>CONCATENATE("of the ",H1," budget.  Estimated Tax Rate is subject to change depending on the final assessed valuation.")</f>
        <v>of the 2015 budget.  Estimated Tax Rate is subject to change depending on the final assessed valuation.</v>
      </c>
      <c r="B12" s="818"/>
      <c r="C12" s="818"/>
      <c r="D12" s="818"/>
      <c r="E12" s="818"/>
      <c r="F12" s="818"/>
      <c r="G12" s="818"/>
      <c r="H12" s="818"/>
    </row>
    <row r="13" spans="1:9" ht="15.75">
      <c r="A13" s="55"/>
      <c r="B13" s="54"/>
      <c r="C13" s="54"/>
      <c r="D13" s="54"/>
      <c r="E13" s="54"/>
      <c r="F13" s="54"/>
      <c r="G13" s="54"/>
      <c r="H13" s="54"/>
      <c r="I13" s="178"/>
    </row>
    <row r="14" spans="1:9" ht="15.7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269</v>
      </c>
      <c r="D15" s="57"/>
      <c r="E15" s="57" t="s">
        <v>269</v>
      </c>
      <c r="F15" s="185"/>
      <c r="G15" s="821" t="str">
        <f>CONCATENATE("Amount of ",H1-1," Ad Valorem Tax")</f>
        <v>Amount of 2014 Ad Valorem Tax</v>
      </c>
      <c r="H15" s="57" t="s">
        <v>276</v>
      </c>
      <c r="I15" s="178"/>
    </row>
    <row r="16" spans="1:9" ht="15.75">
      <c r="A16" s="58"/>
      <c r="B16" s="59"/>
      <c r="C16" s="59" t="s">
        <v>277</v>
      </c>
      <c r="D16" s="59"/>
      <c r="E16" s="59" t="s">
        <v>277</v>
      </c>
      <c r="F16" s="466" t="s">
        <v>150</v>
      </c>
      <c r="G16" s="879"/>
      <c r="H16" s="59" t="s">
        <v>277</v>
      </c>
      <c r="I16" s="178"/>
    </row>
    <row r="17" spans="1:10" ht="15.75">
      <c r="A17" s="62" t="s">
        <v>228</v>
      </c>
      <c r="B17" s="62" t="s">
        <v>278</v>
      </c>
      <c r="C17" s="62" t="s">
        <v>279</v>
      </c>
      <c r="D17" s="62" t="s">
        <v>278</v>
      </c>
      <c r="E17" s="62" t="s">
        <v>279</v>
      </c>
      <c r="F17" s="465" t="s">
        <v>691</v>
      </c>
      <c r="G17" s="880"/>
      <c r="H17" s="62" t="s">
        <v>279</v>
      </c>
      <c r="I17" s="178"/>
      <c r="J17" s="493"/>
    </row>
    <row r="18" spans="1:10" ht="15.75">
      <c r="A18" s="73" t="str">
        <f>inputPrYr!B20</f>
        <v>General</v>
      </c>
      <c r="B18" s="73">
        <f>IF(gen!$C$50&lt;&gt;0,gen!$C$50,"  ")</f>
        <v>22196.15</v>
      </c>
      <c r="C18" s="76">
        <f>IF(inputPrYr!D49&gt;0,inputPrYr!D49,"  ")</f>
        <v>2.085</v>
      </c>
      <c r="D18" s="73">
        <f>IF(gen!$D$50&lt;&gt;0,gen!$D$50,"  ")</f>
        <v>26200</v>
      </c>
      <c r="E18" s="76">
        <f>IF(inputOth!D37&gt;0,inputOth!D37,"  ")</f>
        <v>2.108</v>
      </c>
      <c r="F18" s="73">
        <f>IF(gen!$E$50&lt;&gt;0,gen!$E$50,"  ")</f>
        <v>26200</v>
      </c>
      <c r="G18" s="73">
        <f>IF(gen!$E$57&lt;&gt;0,gen!$E$57,"")</f>
        <v>21359.61</v>
      </c>
      <c r="H18" s="76">
        <f>IF(gen!E57&gt;0,ROUND(G18/F40*1000,3)," ")</f>
        <v>2.878</v>
      </c>
      <c r="I18" s="178"/>
      <c r="J18" s="493"/>
    </row>
    <row r="19" spans="1:9" ht="15.75">
      <c r="A19" s="73" t="s">
        <v>286</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75">
      <c r="A20" s="73" t="str">
        <f>IF(inputPrYr!$B22&gt;"  ",inputPrYr!$B22,"  ")</f>
        <v>Library</v>
      </c>
      <c r="B20" s="73">
        <f>IF('DebtSvs-Library'!C73&lt;&gt;0,'DebtSvs-Library'!C73,"  ")</f>
        <v>7385</v>
      </c>
      <c r="C20" s="76">
        <f>IF(inputPrYr!D51&gt;0,inputPrYr!D51,"  ")</f>
        <v>2.147</v>
      </c>
      <c r="D20" s="73">
        <f>IF('DebtSvs-Library'!D73&lt;&gt;0,'DebtSvs-Library'!D73,"  ")</f>
        <v>7500</v>
      </c>
      <c r="E20" s="76">
        <f>IF(inputOth!D39&gt;0,inputOth!D39,"  ")</f>
        <v>2</v>
      </c>
      <c r="F20" s="73">
        <f>IF('DebtSvs-Library'!E73&lt;&gt;0,'DebtSvs-Library'!E73,"  ")</f>
        <v>7500</v>
      </c>
      <c r="G20" s="73">
        <f>IF('DebtSvs-Library'!E80&lt;&gt;0,'DebtSvs-Library'!E80," ")</f>
        <v>6667.47</v>
      </c>
      <c r="H20" s="76">
        <f>IF('DebtSvs-Library'!E80&gt;0,ROUND(G20/F41*1000,3)," ")</f>
        <v>1.911</v>
      </c>
      <c r="I20" s="178"/>
    </row>
    <row r="21" spans="1:8" ht="15.75">
      <c r="A21" s="73" t="str">
        <f>IF(inputPrYr!$B23&gt;"  ",inputPrYr!$B23,"  ")</f>
        <v>Road</v>
      </c>
      <c r="B21" s="73">
        <f>IF(road!$C$43&lt;&gt;0,road!$C$43,"  ")</f>
        <v>78993</v>
      </c>
      <c r="C21" s="76">
        <f>IF(inputPrYr!D52&gt;0,inputPrYr!D52,"  ")</f>
        <v>14.008</v>
      </c>
      <c r="D21" s="73">
        <f>IF(road!$D$43&lt;&gt;0,road!$D$43,"  ")</f>
        <v>70361</v>
      </c>
      <c r="E21" s="76">
        <f>IF(inputOth!D40&gt;0,inputOth!D40,"  ")</f>
        <v>13.376</v>
      </c>
      <c r="F21" s="73">
        <f>IF(road!$E$43&lt;&gt;0,road!$E$43,"  ")</f>
        <v>82466</v>
      </c>
      <c r="G21" s="73">
        <f>IF(road!$E$50&lt;&gt;0,road!$E$50,"  ")</f>
        <v>36509.49000000001</v>
      </c>
      <c r="H21" s="76">
        <f>IF(road!E50&gt;0,ROUND(G21/F41*1000,3)," ")</f>
        <v>10.466</v>
      </c>
    </row>
    <row r="22" spans="1:8" ht="15.7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7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f>IF(Fire!$C$33&lt;&gt;0,Fire!$C$33,"  ")</f>
        <v>5971</v>
      </c>
      <c r="C24" s="76">
        <f>IF(inputPrYr!D55&gt;0,inputPrYr!D55,"  ")</f>
        <v>1.739</v>
      </c>
      <c r="D24" s="73">
        <f>IF(Fire!$D$33&lt;&gt;0,Fire!$D$33,"  ")</f>
        <v>6388</v>
      </c>
      <c r="E24" s="76">
        <f>IF(inputOth!D43&gt;0,inputOth!D43,"  ")</f>
        <v>1.72</v>
      </c>
      <c r="F24" s="73">
        <f>IF(Fire!$E$33&lt;&gt;0,Fire!$E$33,"  ")</f>
        <v>6976</v>
      </c>
      <c r="G24" s="73">
        <f>IF(Fire!$E$40&lt;&gt;0,Fire!$E$40,"  ")</f>
        <v>6256.94</v>
      </c>
      <c r="H24" s="76">
        <f>IF(Fire!E40&gt;0,ROUND(G24/F41*1000,3)," ")</f>
        <v>1.794</v>
      </c>
      <c r="J24" s="871" t="str">
        <f>CONCATENATE("Estimated Value Of One Mill For ",H1,"")</f>
        <v>Estimated Value Of One Mill For 2015</v>
      </c>
      <c r="K24" s="876"/>
      <c r="L24" s="876"/>
      <c r="M24" s="877"/>
    </row>
    <row r="25" spans="1:13" ht="15.75">
      <c r="A25" s="73" t="str">
        <f>IF(inputPrYr!$B27&gt;"  ",inputPrYr!$B27,"  ")</f>
        <v>  </v>
      </c>
      <c r="B25" s="73" t="str">
        <f>IF(Fire!$C$73&lt;&gt;0,Fire!$C$73,"  ")</f>
        <v>  </v>
      </c>
      <c r="C25" s="76" t="str">
        <f>IF(inputPrYr!D56&gt;0,inputPrYr!D56,"  ")</f>
        <v>  </v>
      </c>
      <c r="D25" s="73" t="str">
        <f>IF(Fire!$D$73&lt;&gt;0,Fire!$D$73,"  ")</f>
        <v>  </v>
      </c>
      <c r="E25" s="76" t="str">
        <f>IF(inputOth!D44&gt;0,inputOth!D44,"  ")</f>
        <v>  </v>
      </c>
      <c r="F25" s="73" t="str">
        <f>IF(Fire!$E$73&lt;&gt;0,Fire!$E$73,"  ")</f>
        <v>  </v>
      </c>
      <c r="G25" s="73" t="str">
        <f>IF(Fire!$E$80&lt;&gt;0,Fire!$E$80,"  ")</f>
        <v>  </v>
      </c>
      <c r="H25" s="76" t="str">
        <f>IF(Fire!E80&gt;0,ROUND(G25/F40*1000,3)," ")</f>
        <v> </v>
      </c>
      <c r="J25" s="492"/>
      <c r="K25" s="9"/>
      <c r="L25" s="9"/>
      <c r="M25" s="491"/>
    </row>
    <row r="26" spans="1:13" ht="15.7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703</v>
      </c>
      <c r="K26" s="54"/>
      <c r="L26" s="54"/>
      <c r="M26" s="489">
        <f>ROUND(F40/1000,0)</f>
        <v>7423</v>
      </c>
    </row>
    <row r="27" spans="1:13" ht="15.7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704</v>
      </c>
      <c r="K27" s="13"/>
      <c r="L27" s="13"/>
      <c r="M27" s="489">
        <f>ROUND(F41/1000,0)</f>
        <v>3488</v>
      </c>
    </row>
    <row r="28" spans="1:8" ht="15.7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1" t="str">
        <f>CONCATENATE("Want The Mill Rate The Same As For ",H1-1,"?")</f>
        <v>Want The Mill Rate The Same As For 2014?</v>
      </c>
      <c r="K29" s="872"/>
      <c r="L29" s="872"/>
      <c r="M29" s="873"/>
    </row>
    <row r="30" spans="1:13" ht="15.7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7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19.204</v>
      </c>
    </row>
    <row r="32" spans="1:13" ht="15.7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7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710</v>
      </c>
      <c r="K33" s="484"/>
      <c r="L33" s="484"/>
      <c r="M33" s="483">
        <f>M45*-1</f>
        <v>9895.569999999985</v>
      </c>
    </row>
    <row r="34" spans="1:13" ht="15.75">
      <c r="A34" s="73" t="str">
        <f>IF((inputPrYr!$B41&gt;"  "),(nonbud!$A3),"  ")</f>
        <v>  </v>
      </c>
      <c r="B34" s="700" t="str">
        <f>IF((nonbud!$K$28)&lt;&gt;0,(nonbud!$K$28),"  ")</f>
        <v>  </v>
      </c>
      <c r="C34" s="311"/>
      <c r="D34" s="73"/>
      <c r="E34" s="76"/>
      <c r="F34" s="73"/>
      <c r="G34" s="73"/>
      <c r="H34" s="76"/>
      <c r="J34" s="482" t="s">
        <v>711</v>
      </c>
      <c r="K34" s="479"/>
      <c r="L34" s="479"/>
      <c r="M34" s="481">
        <f>M46*-1</f>
        <v>2464.9199999999983</v>
      </c>
    </row>
    <row r="35" spans="1:13" ht="16.5" thickBot="1">
      <c r="A35" s="87" t="s">
        <v>230</v>
      </c>
      <c r="B35" s="448">
        <f>IF(road!C64&lt;&gt;0,road!C64,"  ")</f>
        <v>24144</v>
      </c>
      <c r="C35" s="449"/>
      <c r="D35" s="449"/>
      <c r="E35" s="449"/>
      <c r="F35" s="449"/>
      <c r="G35" s="449"/>
      <c r="H35" s="449"/>
      <c r="J35" s="480"/>
      <c r="K35" s="480"/>
      <c r="L35" s="480"/>
      <c r="M35" s="480"/>
    </row>
    <row r="36" spans="1:13" ht="15.75">
      <c r="A36" s="87" t="s">
        <v>231</v>
      </c>
      <c r="B36" s="446">
        <f aca="true" t="shared" si="0" ref="B36:H36">SUM(B18:B35)</f>
        <v>138689.15</v>
      </c>
      <c r="C36" s="447">
        <f t="shared" si="0"/>
        <v>19.979</v>
      </c>
      <c r="D36" s="446">
        <f t="shared" si="0"/>
        <v>110449</v>
      </c>
      <c r="E36" s="447">
        <f t="shared" si="0"/>
        <v>19.204</v>
      </c>
      <c r="F36" s="446">
        <f t="shared" si="0"/>
        <v>123142</v>
      </c>
      <c r="G36" s="446">
        <f t="shared" si="0"/>
        <v>70793.51000000001</v>
      </c>
      <c r="H36" s="447">
        <f t="shared" si="0"/>
        <v>17.049</v>
      </c>
      <c r="J36" s="871" t="str">
        <f>CONCATENATE("Impact On Keeping The Same Mill Rate As For ",H1-1,"")</f>
        <v>Impact On Keeping The Same Mill Rate As For 2014</v>
      </c>
      <c r="K36" s="874"/>
      <c r="L36" s="874"/>
      <c r="M36" s="875"/>
    </row>
    <row r="37" spans="1:13" ht="15.75">
      <c r="A37" s="87" t="s">
        <v>280</v>
      </c>
      <c r="B37" s="73">
        <f>transfer!C29</f>
        <v>18500</v>
      </c>
      <c r="C37" s="48"/>
      <c r="D37" s="73">
        <f>transfer!D29</f>
        <v>0</v>
      </c>
      <c r="E37" s="187"/>
      <c r="F37" s="73">
        <f>transfer!E29</f>
        <v>0</v>
      </c>
      <c r="G37" s="48"/>
      <c r="H37" s="48"/>
      <c r="J37" s="488"/>
      <c r="K37" s="9"/>
      <c r="L37" s="9"/>
      <c r="M37" s="487"/>
    </row>
    <row r="38" spans="1:13" ht="16.5" thickBot="1">
      <c r="A38" s="87" t="s">
        <v>281</v>
      </c>
      <c r="B38" s="450">
        <f>B36-B37</f>
        <v>120189.15</v>
      </c>
      <c r="C38" s="48"/>
      <c r="D38" s="450">
        <f>D36-D37</f>
        <v>110449</v>
      </c>
      <c r="E38" s="48"/>
      <c r="F38" s="450">
        <f>F36-F37</f>
        <v>123142</v>
      </c>
      <c r="G38" s="48"/>
      <c r="H38" s="48"/>
      <c r="J38" s="488" t="str">
        <f>CONCATENATE("",H1," Ad Valorem Tax Rev(Township Only):")</f>
        <v>2015 Ad Valorem Tax Rev(Township Only):</v>
      </c>
      <c r="K38" s="9"/>
      <c r="L38" s="9"/>
      <c r="M38" s="491">
        <f>SUM(G21:G24)</f>
        <v>42766.430000000015</v>
      </c>
    </row>
    <row r="39" spans="1:13" ht="16.5" thickTop="1">
      <c r="A39" s="87" t="s">
        <v>0</v>
      </c>
      <c r="B39" s="209">
        <f>inputPrYr!E63</f>
        <v>68847</v>
      </c>
      <c r="C39" s="187"/>
      <c r="D39" s="209">
        <f>inputPrYr!E32</f>
        <v>69696</v>
      </c>
      <c r="E39" s="48"/>
      <c r="F39" s="451" t="s">
        <v>232</v>
      </c>
      <c r="G39" s="48"/>
      <c r="H39" s="48"/>
      <c r="J39" s="488" t="str">
        <f>CONCATENATE("",H1," Ad Valorem Tax Rev(Township Tot):")</f>
        <v>2015 Ad Valorem Tax Rev(Township Tot):</v>
      </c>
      <c r="K39" s="9"/>
      <c r="L39" s="9"/>
      <c r="M39" s="504">
        <f>SUM(G18,G19,G20,G25,G26,G27,G28,G29)</f>
        <v>28027.08</v>
      </c>
    </row>
    <row r="40" spans="1:13" ht="15.75">
      <c r="A40" s="87" t="s">
        <v>157</v>
      </c>
      <c r="B40" s="73">
        <f>inputPrYr!E64</f>
        <v>6944559</v>
      </c>
      <c r="C40" s="187"/>
      <c r="D40" s="73">
        <f>inputOth!E55</f>
        <v>7140540</v>
      </c>
      <c r="E40" s="187"/>
      <c r="F40" s="73">
        <f>inputOth!E11</f>
        <v>7422526</v>
      </c>
      <c r="G40" s="48"/>
      <c r="H40" s="48"/>
      <c r="J40" s="488" t="str">
        <f>CONCATENATE("Total ",H1," Ad Valorem Tax Revenue:")</f>
        <v>Total 2015 Ad Valorem Tax Revenue:</v>
      </c>
      <c r="K40" s="54"/>
      <c r="L40" s="54"/>
      <c r="M40" s="505">
        <f>M38+M39</f>
        <v>70793.51000000001</v>
      </c>
    </row>
    <row r="41" spans="1:14" ht="15.75">
      <c r="A41" s="63" t="s">
        <v>212</v>
      </c>
      <c r="B41" s="188"/>
      <c r="C41" s="48"/>
      <c r="D41" s="158"/>
      <c r="E41" s="48"/>
      <c r="F41" s="73">
        <f>inputOth!E8</f>
        <v>3488453</v>
      </c>
      <c r="G41" s="48"/>
      <c r="H41" s="48"/>
      <c r="J41" s="488" t="str">
        <f>CONCATENATE("",H1-1," Ad Valorem Tax Rev(Township Only):")</f>
        <v>2014 Ad Valorem Tax Rev(Township Only):</v>
      </c>
      <c r="K41" s="9"/>
      <c r="L41" s="9"/>
      <c r="M41" s="506">
        <f>ROUND(SUM(E21:E24)*F41/1000,0)</f>
        <v>52662</v>
      </c>
      <c r="N41" s="498"/>
    </row>
    <row r="42" spans="1:15" ht="15.75">
      <c r="A42" s="90"/>
      <c r="B42" s="158"/>
      <c r="C42" s="48"/>
      <c r="D42" s="158"/>
      <c r="E42" s="48"/>
      <c r="F42" s="158"/>
      <c r="G42" s="48"/>
      <c r="H42" s="48"/>
      <c r="J42" s="488" t="str">
        <f>CONCATENATE("",H1-1," Ad Valorem Tax Rev(Township Tot):")</f>
        <v>2014 Ad Valorem Tax Rev(Township Tot):</v>
      </c>
      <c r="K42" s="54"/>
      <c r="L42" s="54"/>
      <c r="M42" s="507">
        <f>ROUND(SUM(E18,E19,E20,(E25,E26,E27,E28,E29))*F40/1000,0)</f>
        <v>30492</v>
      </c>
      <c r="N42" s="498"/>
      <c r="O42" s="498"/>
    </row>
    <row r="43" spans="1:15" ht="15.75">
      <c r="A43" s="55" t="s">
        <v>1</v>
      </c>
      <c r="B43" s="48"/>
      <c r="C43" s="48"/>
      <c r="D43" s="48"/>
      <c r="E43" s="48"/>
      <c r="F43" s="48"/>
      <c r="G43" s="48"/>
      <c r="H43" s="48"/>
      <c r="J43" s="474" t="str">
        <f>CONCATENATE("Total ",H1-1," Ad Valorem Tax Revenue:")</f>
        <v>Total 2014 Ad Valorem Tax Revenue:</v>
      </c>
      <c r="K43" s="54"/>
      <c r="L43" s="54"/>
      <c r="M43" s="508">
        <f>M41+M42</f>
        <v>83154</v>
      </c>
      <c r="O43" s="498"/>
    </row>
    <row r="44" spans="1:13" ht="15.75">
      <c r="A44" s="55" t="s">
        <v>2</v>
      </c>
      <c r="B44" s="189">
        <f>H1-3</f>
        <v>2012</v>
      </c>
      <c r="C44" s="48"/>
      <c r="D44" s="189">
        <f>H1-2</f>
        <v>2013</v>
      </c>
      <c r="E44" s="48"/>
      <c r="F44" s="189">
        <f>H1-1</f>
        <v>2014</v>
      </c>
      <c r="G44" s="48"/>
      <c r="H44" s="48"/>
      <c r="J44" s="485" t="s">
        <v>701</v>
      </c>
      <c r="K44" s="484"/>
      <c r="L44" s="484"/>
      <c r="M44" s="483">
        <f>M40-M43</f>
        <v>-12360.48999999999</v>
      </c>
    </row>
    <row r="45" spans="1:13" ht="15.75">
      <c r="A45" s="55" t="s">
        <v>3</v>
      </c>
      <c r="B45" s="66">
        <f>inputPrYr!D67</f>
        <v>0</v>
      </c>
      <c r="C45" s="52"/>
      <c r="D45" s="66">
        <f>inputPrYr!E67</f>
        <v>0</v>
      </c>
      <c r="E45" s="52"/>
      <c r="F45" s="66">
        <f>debt!F11</f>
        <v>0</v>
      </c>
      <c r="G45" s="48"/>
      <c r="H45" s="48"/>
      <c r="J45" s="509" t="s">
        <v>706</v>
      </c>
      <c r="K45" s="510"/>
      <c r="L45" s="510"/>
      <c r="M45" s="505">
        <f>M38-M41</f>
        <v>-9895.569999999985</v>
      </c>
    </row>
    <row r="46" spans="1:13" ht="15.75">
      <c r="A46" s="55" t="s">
        <v>258</v>
      </c>
      <c r="B46" s="66">
        <f>inputPrYr!D68</f>
        <v>0</v>
      </c>
      <c r="C46" s="52"/>
      <c r="D46" s="66">
        <f>inputPrYr!E68</f>
        <v>0</v>
      </c>
      <c r="E46" s="52"/>
      <c r="F46" s="66">
        <f>debt!F15</f>
        <v>0</v>
      </c>
      <c r="G46" s="48"/>
      <c r="H46" s="48"/>
      <c r="J46" s="482" t="s">
        <v>705</v>
      </c>
      <c r="K46" s="479"/>
      <c r="L46" s="479"/>
      <c r="M46" s="481">
        <f>M39-M42</f>
        <v>-2464.9199999999983</v>
      </c>
    </row>
    <row r="47" spans="1:8" ht="15.75">
      <c r="A47" s="55" t="s">
        <v>697</v>
      </c>
      <c r="B47" s="66">
        <f>inputPrYr!D69</f>
        <v>0</v>
      </c>
      <c r="C47" s="52"/>
      <c r="D47" s="66">
        <f>inputPrYr!E69</f>
        <v>0</v>
      </c>
      <c r="E47" s="52"/>
      <c r="F47" s="66">
        <f>debt!G36</f>
        <v>78985</v>
      </c>
      <c r="G47" s="48"/>
      <c r="H47" s="48"/>
    </row>
    <row r="48" spans="1:13" ht="16.5" thickBot="1">
      <c r="A48" s="55" t="s">
        <v>4</v>
      </c>
      <c r="B48" s="83">
        <f>SUM(B45:B47)</f>
        <v>0</v>
      </c>
      <c r="C48" s="52"/>
      <c r="D48" s="83">
        <f>SUM(D45:D47)</f>
        <v>0</v>
      </c>
      <c r="E48" s="52"/>
      <c r="F48" s="83">
        <f>SUM(F45:F47)</f>
        <v>78985</v>
      </c>
      <c r="G48" s="48"/>
      <c r="H48" s="48"/>
      <c r="J48" s="871" t="s">
        <v>702</v>
      </c>
      <c r="K48" s="872"/>
      <c r="L48" s="872"/>
      <c r="M48" s="873"/>
    </row>
    <row r="49" spans="1:13" ht="16.5" thickTop="1">
      <c r="A49" s="55" t="s">
        <v>5</v>
      </c>
      <c r="B49" s="48"/>
      <c r="C49" s="48"/>
      <c r="D49" s="48"/>
      <c r="E49" s="48"/>
      <c r="F49" s="48"/>
      <c r="G49" s="48"/>
      <c r="H49" s="48"/>
      <c r="J49" s="488"/>
      <c r="K49" s="9"/>
      <c r="L49" s="9"/>
      <c r="M49" s="487"/>
    </row>
    <row r="50" spans="1:13" ht="15.75">
      <c r="A50" s="48"/>
      <c r="B50" s="48"/>
      <c r="C50" s="48"/>
      <c r="D50" s="48"/>
      <c r="E50" s="48"/>
      <c r="F50" s="48"/>
      <c r="G50" s="48"/>
      <c r="H50" s="48"/>
      <c r="J50" s="495" t="str">
        <f>CONCATENATE("Enter Desired ",$H$1," Mill Rate:")</f>
        <v>Enter Desired 2015 Mill Rate:</v>
      </c>
      <c r="K50" s="496"/>
      <c r="L50" s="497"/>
      <c r="M50" s="494">
        <v>12</v>
      </c>
    </row>
    <row r="51" spans="1:13" ht="15.75">
      <c r="A51" s="878" t="str">
        <f>inputBudSum!B4</f>
        <v>Keith Hamill</v>
      </c>
      <c r="B51" s="878"/>
      <c r="C51" s="48"/>
      <c r="D51" s="48"/>
      <c r="E51" s="48"/>
      <c r="F51" s="48"/>
      <c r="G51" s="48"/>
      <c r="H51" s="48"/>
      <c r="J51" s="488" t="str">
        <f>CONCATENATE("Current ",$H$1," Estimated Mill Rate:")</f>
        <v>Current 2015 Estimated Mill Rate:</v>
      </c>
      <c r="K51" s="9"/>
      <c r="L51" s="9"/>
      <c r="M51" s="501">
        <f>IF(M50=0,0,$H$36)</f>
        <v>17.049</v>
      </c>
    </row>
    <row r="52" spans="1:13" ht="15.75">
      <c r="A52" s="882" t="str">
        <f>inputBudSum!B6</f>
        <v>Greeley Township Treasurer</v>
      </c>
      <c r="B52" s="883"/>
      <c r="C52" s="48"/>
      <c r="D52" s="48"/>
      <c r="E52" s="48"/>
      <c r="F52" s="48"/>
      <c r="G52" s="48"/>
      <c r="H52" s="48"/>
      <c r="J52" s="488" t="s">
        <v>707</v>
      </c>
      <c r="K52" s="9"/>
      <c r="L52" s="9"/>
      <c r="M52" s="502">
        <f>M50-M51</f>
        <v>-5.0489999999999995</v>
      </c>
    </row>
    <row r="53" spans="1:13" ht="15.75">
      <c r="A53" s="48"/>
      <c r="B53" s="48"/>
      <c r="C53" s="48"/>
      <c r="D53" s="48"/>
      <c r="E53" s="48"/>
      <c r="F53" s="48"/>
      <c r="G53" s="48"/>
      <c r="H53" s="48"/>
      <c r="J53" s="474" t="s">
        <v>708</v>
      </c>
      <c r="K53" s="54"/>
      <c r="L53" s="54"/>
      <c r="M53" s="499">
        <f>IF(M50=0,0,ROUND(SUM(H21:H24)/M51,2))</f>
        <v>0.72</v>
      </c>
    </row>
    <row r="54" spans="1:13" ht="15.75">
      <c r="A54" s="48"/>
      <c r="B54" s="190" t="s">
        <v>246</v>
      </c>
      <c r="C54" s="191">
        <v>11</v>
      </c>
      <c r="D54" s="48"/>
      <c r="E54" s="48"/>
      <c r="F54" s="48"/>
      <c r="G54" s="48"/>
      <c r="H54" s="48"/>
      <c r="J54" s="474" t="s">
        <v>709</v>
      </c>
      <c r="K54" s="54"/>
      <c r="L54" s="54"/>
      <c r="M54" s="499" t="e">
        <f>IF(M50=0,0,ROUND(SUM(H18+H19+H20+H25+H26+H27+H28+H29)/M51,2))</f>
        <v>#VALUE!</v>
      </c>
    </row>
    <row r="55" spans="1:13" ht="15.75">
      <c r="A55" s="95"/>
      <c r="B55" s="95"/>
      <c r="C55" s="95"/>
      <c r="H55" s="500"/>
      <c r="J55" s="485" t="str">
        <f>CONCATENATE("",$H$1," Tax Levy Fund Total Exp. Changed By:")</f>
        <v>2015 Tax Levy Fund Total Exp. Changed By:</v>
      </c>
      <c r="K55" s="484"/>
      <c r="L55" s="484"/>
      <c r="M55" s="491"/>
    </row>
    <row r="56" spans="10:13" ht="15.75">
      <c r="J56" s="509" t="s">
        <v>710</v>
      </c>
      <c r="K56" s="510"/>
      <c r="L56" s="510"/>
      <c r="M56" s="505">
        <f>ROUND(F41*M52*M53/1000,0)</f>
        <v>-12682</v>
      </c>
    </row>
    <row r="57" spans="1:13" ht="15.75">
      <c r="A57" s="95"/>
      <c r="B57" s="95"/>
      <c r="C57" s="95"/>
      <c r="D57" s="95"/>
      <c r="E57" s="95"/>
      <c r="F57" s="95"/>
      <c r="G57" s="95"/>
      <c r="J57" s="482" t="s">
        <v>711</v>
      </c>
      <c r="K57" s="479"/>
      <c r="L57" s="479"/>
      <c r="M57" s="481" t="e">
        <f>ROUND(F40*M52*M54/1000,0)</f>
        <v>#VALUE!</v>
      </c>
    </row>
    <row r="58" spans="8:13" ht="15.75">
      <c r="H58" s="95"/>
      <c r="M58" s="503"/>
    </row>
    <row r="59" ht="15.75">
      <c r="M59" s="503"/>
    </row>
    <row r="79" spans="1:6" ht="15.75">
      <c r="A79" s="95"/>
      <c r="B79" s="95"/>
      <c r="C79" s="95"/>
      <c r="D79" s="95"/>
      <c r="E79" s="95"/>
      <c r="F79" s="95"/>
    </row>
    <row r="86" spans="1:7" ht="15.75">
      <c r="A86" s="95"/>
      <c r="B86" s="95"/>
      <c r="C86" s="95"/>
      <c r="D86" s="95"/>
      <c r="E86" s="95"/>
      <c r="F86" s="95"/>
      <c r="G86" s="95"/>
    </row>
    <row r="87" ht="15.75">
      <c r="H87" s="95"/>
    </row>
    <row r="92" spans="1:7" ht="15.75">
      <c r="A92" s="95"/>
      <c r="B92" s="95"/>
      <c r="C92" s="95"/>
      <c r="D92" s="95"/>
      <c r="E92" s="95"/>
      <c r="F92" s="95"/>
      <c r="G92" s="95"/>
    </row>
    <row r="93" ht="15.75">
      <c r="H93" s="95"/>
    </row>
    <row r="113" spans="1:7" ht="15.75">
      <c r="A113" s="95"/>
      <c r="B113" s="95"/>
      <c r="C113" s="95"/>
      <c r="D113" s="95"/>
      <c r="E113" s="95"/>
      <c r="F113" s="95"/>
      <c r="G113" s="95"/>
    </row>
  </sheetData>
  <sheetProtection/>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36" sqref="K36"/>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Greeley Township</v>
      </c>
      <c r="C1" s="55" t="s">
        <v>272</v>
      </c>
      <c r="D1" s="48"/>
      <c r="E1" s="204">
        <f>inputPrYr!D9</f>
        <v>2015</v>
      </c>
    </row>
    <row r="2" spans="2:5" ht="15.75">
      <c r="B2" s="513" t="s">
        <v>734</v>
      </c>
      <c r="C2" s="48"/>
      <c r="D2" s="48"/>
      <c r="E2" s="306"/>
    </row>
    <row r="3" spans="2:5" ht="15.75">
      <c r="B3" s="48"/>
      <c r="C3" s="53"/>
      <c r="D3" s="53"/>
      <c r="E3" s="48"/>
    </row>
    <row r="4" spans="2:5" ht="15.75">
      <c r="B4" s="55" t="s">
        <v>247</v>
      </c>
      <c r="C4" s="359" t="s">
        <v>248</v>
      </c>
      <c r="D4" s="362" t="s">
        <v>249</v>
      </c>
      <c r="E4" s="57" t="s">
        <v>250</v>
      </c>
    </row>
    <row r="5" spans="2:5" ht="15.75">
      <c r="B5" s="455" t="str">
        <f>inputPrYr!B24</f>
        <v>Special Road</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253</v>
      </c>
      <c r="C8" s="286"/>
      <c r="D8" s="361">
        <f>IF(inputPrYr!H19&gt;0,inputPrYr!G24,inputPrYr!E24)</f>
        <v>0</v>
      </c>
      <c r="E8" s="288" t="s">
        <v>232</v>
      </c>
    </row>
    <row r="9" spans="2:5" ht="15.75">
      <c r="B9" s="63" t="s">
        <v>254</v>
      </c>
      <c r="C9" s="286"/>
      <c r="D9" s="286"/>
      <c r="E9" s="151"/>
    </row>
    <row r="10" spans="2:5" ht="15.75">
      <c r="B10" s="63" t="s">
        <v>255</v>
      </c>
      <c r="C10" s="286"/>
      <c r="D10" s="286"/>
      <c r="E10" s="239">
        <f>mvalloc!G15</f>
        <v>0</v>
      </c>
    </row>
    <row r="11" spans="2:5" ht="15.75">
      <c r="B11" s="63" t="s">
        <v>256</v>
      </c>
      <c r="C11" s="286"/>
      <c r="D11" s="286"/>
      <c r="E11" s="239">
        <f>mvalloc!I15</f>
        <v>0</v>
      </c>
    </row>
    <row r="12" spans="2:5" ht="15.75">
      <c r="B12" s="289" t="s">
        <v>21</v>
      </c>
      <c r="C12" s="286"/>
      <c r="D12" s="286"/>
      <c r="E12" s="239">
        <f>mvalloc!J15</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259</v>
      </c>
      <c r="C17" s="286"/>
      <c r="D17" s="286"/>
      <c r="E17" s="151"/>
    </row>
    <row r="18" spans="2:5" ht="15.75">
      <c r="B18" s="292" t="s">
        <v>205</v>
      </c>
      <c r="C18" s="286"/>
      <c r="D18" s="286"/>
      <c r="E18" s="151"/>
    </row>
    <row r="19" spans="2:5" ht="15.75">
      <c r="B19" s="292" t="s">
        <v>206</v>
      </c>
      <c r="C19" s="363">
        <f>IF(C20*0.1&lt;C18,"Exceed 10% Rule","")</f>
      </c>
      <c r="D19" s="363">
        <f>IF(D20*0.1&lt;D18,"Exceed 10% Rule","")</f>
      </c>
      <c r="E19" s="296">
        <f>IF(E20*0.1+E40&lt;E18,"Exceed 10% Rule","")</f>
      </c>
    </row>
    <row r="20" spans="2:5" ht="15.75">
      <c r="B20" s="294" t="s">
        <v>260</v>
      </c>
      <c r="C20" s="364">
        <f>SUM(C8:C18)</f>
        <v>0</v>
      </c>
      <c r="D20" s="364">
        <f>SUM(D8:D18)</f>
        <v>0</v>
      </c>
      <c r="E20" s="295">
        <f>SUM(E8:E18)</f>
        <v>0</v>
      </c>
    </row>
    <row r="21" spans="2:5" ht="15.75">
      <c r="B21" s="81" t="s">
        <v>261</v>
      </c>
      <c r="C21" s="364">
        <f>C20+C6</f>
        <v>0</v>
      </c>
      <c r="D21" s="364">
        <f>D20+D6</f>
        <v>0</v>
      </c>
      <c r="E21" s="295">
        <f>E20+E6</f>
        <v>0</v>
      </c>
    </row>
    <row r="22" spans="2:5" ht="15.75">
      <c r="B22" s="63" t="s">
        <v>262</v>
      </c>
      <c r="C22" s="361"/>
      <c r="D22" s="361"/>
      <c r="E22" s="239"/>
    </row>
    <row r="23" spans="2:5" ht="15.75">
      <c r="B23" s="291"/>
      <c r="C23" s="286"/>
      <c r="D23" s="286"/>
      <c r="E23" s="151"/>
    </row>
    <row r="24" spans="2:11" ht="15.75">
      <c r="B24" s="291"/>
      <c r="C24" s="286"/>
      <c r="D24" s="286"/>
      <c r="E24" s="151"/>
      <c r="G24" s="858" t="str">
        <f>CONCATENATE("Desired Carryover Into ",E1+1,"")</f>
        <v>Desired Carryover Into 2016</v>
      </c>
      <c r="H24" s="859"/>
      <c r="I24" s="859"/>
      <c r="J24" s="860"/>
      <c r="K24" s="582"/>
    </row>
    <row r="25" spans="2:11" ht="15.75">
      <c r="B25" s="291"/>
      <c r="C25" s="286"/>
      <c r="D25" s="286"/>
      <c r="E25" s="151"/>
      <c r="G25" s="614"/>
      <c r="H25" s="615"/>
      <c r="I25" s="616"/>
      <c r="J25" s="617"/>
      <c r="K25" s="582"/>
    </row>
    <row r="26" spans="2:11" ht="15.75">
      <c r="B26" s="291"/>
      <c r="C26" s="286"/>
      <c r="D26" s="286"/>
      <c r="E26" s="151"/>
      <c r="G26" s="618" t="s">
        <v>698</v>
      </c>
      <c r="H26" s="616"/>
      <c r="I26" s="616"/>
      <c r="J26" s="619">
        <v>0</v>
      </c>
      <c r="K26" s="582"/>
    </row>
    <row r="27" spans="2:11" ht="15.75">
      <c r="B27" s="291"/>
      <c r="C27" s="286"/>
      <c r="D27" s="286"/>
      <c r="E27" s="151"/>
      <c r="G27" s="614" t="s">
        <v>699</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828</v>
      </c>
      <c r="H29" s="626"/>
      <c r="I29" s="626"/>
      <c r="J29" s="627">
        <f>IF(J26&gt;0,J28-E37,0)</f>
        <v>0</v>
      </c>
      <c r="K29" s="582"/>
    </row>
    <row r="30" spans="2:11" ht="15.75">
      <c r="B30" s="289" t="s">
        <v>207</v>
      </c>
      <c r="C30" s="286"/>
      <c r="D30" s="286"/>
      <c r="E30" s="162">
        <f>nhood!E10</f>
      </c>
      <c r="G30" s="582"/>
      <c r="H30" s="582"/>
      <c r="I30" s="582"/>
      <c r="J30" s="582"/>
      <c r="K30" s="582"/>
    </row>
    <row r="31" spans="2:11" ht="15.75">
      <c r="B31" s="289" t="s">
        <v>205</v>
      </c>
      <c r="C31" s="286"/>
      <c r="D31" s="286"/>
      <c r="E31" s="151"/>
      <c r="G31" s="858" t="str">
        <f>CONCATENATE("Projected Carryover Into ",E1+1,"")</f>
        <v>Projected Carryover Into 2016</v>
      </c>
      <c r="H31" s="861"/>
      <c r="I31" s="861"/>
      <c r="J31" s="862"/>
      <c r="K31" s="582"/>
    </row>
    <row r="32" spans="2:11" ht="15.75">
      <c r="B32" s="289" t="s">
        <v>695</v>
      </c>
      <c r="C32" s="363">
        <f>IF(C33*0.1&lt;C31,"Exceed 10% Rule","")</f>
      </c>
      <c r="D32" s="363">
        <f>IF(D33*0.1&lt;D31,"Exceed 10% Rule","")</f>
      </c>
      <c r="E32" s="296">
        <f>IF(E33*0.1&lt;E31,"Exceed 10% Rule","")</f>
      </c>
      <c r="G32" s="614"/>
      <c r="H32" s="616"/>
      <c r="I32" s="616"/>
      <c r="J32" s="629"/>
      <c r="K32" s="582"/>
    </row>
    <row r="33" spans="2:11" ht="15.75">
      <c r="B33" s="81" t="s">
        <v>263</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232</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2">
        <f>inputOth!$B87</f>
        <v>0</v>
      </c>
      <c r="D35" s="722">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6" t="s">
        <v>692</v>
      </c>
      <c r="D36" s="847"/>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48" t="s">
        <v>693</v>
      </c>
      <c r="D37" s="849"/>
      <c r="E37" s="239">
        <f>E33+E36</f>
        <v>0</v>
      </c>
      <c r="G37" s="643"/>
      <c r="H37" s="616"/>
      <c r="I37" s="616"/>
      <c r="J37" s="629"/>
      <c r="K37" s="582"/>
    </row>
    <row r="38" spans="2:11" ht="15.75">
      <c r="B38" s="470" t="str">
        <f>CONCATENATE(C86,"     ",D86)</f>
        <v>     </v>
      </c>
      <c r="C38" s="473"/>
      <c r="D38" s="472" t="s">
        <v>265</v>
      </c>
      <c r="E38" s="162">
        <f>IF(E37-E21&gt;0,E37-E21,0)</f>
        <v>0</v>
      </c>
      <c r="G38" s="639">
        <f>C33*0.05+C33</f>
        <v>0</v>
      </c>
      <c r="H38" s="616" t="str">
        <f>CONCATENATE("Less ",E1-2," Expenditures + 5%")</f>
        <v>Less 2013 Expenditures + 5%</v>
      </c>
      <c r="I38" s="616"/>
      <c r="J38" s="629"/>
      <c r="K38" s="582"/>
    </row>
    <row r="39" spans="2:11" ht="15.75">
      <c r="B39" s="190"/>
      <c r="C39" s="471" t="s">
        <v>694</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0" t="str">
        <f>CONCATENATE("Amount of  ",$E$1-1," Ad Valorem Tax")</f>
        <v>Amount of  2014 Ad Valorem Tax</v>
      </c>
      <c r="D40" s="851"/>
      <c r="E40" s="162">
        <f>E38+E39</f>
        <v>0</v>
      </c>
      <c r="G40" s="582"/>
      <c r="H40" s="582"/>
      <c r="I40" s="582"/>
      <c r="J40" s="582"/>
      <c r="K40" s="582"/>
    </row>
    <row r="41" spans="2:11" ht="15.75">
      <c r="B41" s="48"/>
      <c r="C41" s="529"/>
      <c r="D41" s="48"/>
      <c r="E41" s="48"/>
      <c r="G41" s="865" t="s">
        <v>829</v>
      </c>
      <c r="H41" s="866"/>
      <c r="I41" s="866"/>
      <c r="J41" s="867"/>
      <c r="K41" s="582"/>
    </row>
    <row r="42" spans="2:11" ht="15.75">
      <c r="B42" s="48"/>
      <c r="C42" s="529"/>
      <c r="D42" s="48"/>
      <c r="E42" s="48"/>
      <c r="G42" s="654"/>
      <c r="H42" s="633"/>
      <c r="I42" s="655"/>
      <c r="J42" s="656"/>
      <c r="K42" s="582"/>
    </row>
    <row r="43" spans="2:11" ht="15.75">
      <c r="B43" s="55" t="s">
        <v>247</v>
      </c>
      <c r="C43" s="53"/>
      <c r="D43" s="53"/>
      <c r="E43" s="53"/>
      <c r="G43" s="657" t="str">
        <f>summ!H22</f>
        <v> </v>
      </c>
      <c r="H43" s="633" t="str">
        <f>CONCATENATE("",E1," Fund Mill Rate")</f>
        <v>2015 Fund Mill Rate</v>
      </c>
      <c r="I43" s="655"/>
      <c r="J43" s="656"/>
      <c r="K43" s="582"/>
    </row>
    <row r="44" spans="2:11" ht="15.75">
      <c r="B44" s="48"/>
      <c r="C44" s="359" t="s">
        <v>248</v>
      </c>
      <c r="D44" s="362" t="s">
        <v>249</v>
      </c>
      <c r="E44" s="57" t="s">
        <v>250</v>
      </c>
      <c r="G44" s="658" t="str">
        <f>summ!E22</f>
        <v>  </v>
      </c>
      <c r="H44" s="633" t="str">
        <f>CONCATENATE("",E1-1," Fund Mill Rate")</f>
        <v>2014 Fund Mill Rate</v>
      </c>
      <c r="I44" s="655"/>
      <c r="J44" s="656"/>
      <c r="K44" s="582"/>
    </row>
    <row r="45" spans="2:11" ht="15.75">
      <c r="B45" s="456" t="str">
        <f>inputPrYr!B25</f>
        <v>Noxious Weed</v>
      </c>
      <c r="C45" s="360" t="str">
        <f>C5</f>
        <v>Actual for 2013</v>
      </c>
      <c r="D45" s="360" t="str">
        <f>D5</f>
        <v>Estimate for 2014</v>
      </c>
      <c r="E45" s="62" t="str">
        <f>E5</f>
        <v>Year for 2015</v>
      </c>
      <c r="G45" s="660">
        <f>summ!H36</f>
        <v>17.049</v>
      </c>
      <c r="H45" s="633" t="str">
        <f>CONCATENATE("Total ",E1," Mill Rate")</f>
        <v>Total 2015 Mill Rate</v>
      </c>
      <c r="I45" s="655"/>
      <c r="J45" s="656"/>
      <c r="K45" s="582"/>
    </row>
    <row r="46" spans="2:11" ht="15.75">
      <c r="B46" s="63" t="s">
        <v>60</v>
      </c>
      <c r="C46" s="286"/>
      <c r="D46" s="361">
        <f>C74</f>
        <v>0</v>
      </c>
      <c r="E46" s="239">
        <f>D74</f>
        <v>0</v>
      </c>
      <c r="G46" s="658">
        <f>summ!E36</f>
        <v>19.204</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253</v>
      </c>
      <c r="C48" s="286"/>
      <c r="D48" s="361">
        <f>IF(inputPrYr!H19&gt;0,inputPrYr!G25,inputPrYr!E25)</f>
        <v>0</v>
      </c>
      <c r="E48" s="288" t="s">
        <v>232</v>
      </c>
      <c r="G48" s="755" t="s">
        <v>928</v>
      </c>
      <c r="H48" s="710"/>
      <c r="I48" s="709" t="str">
        <f>cert!E41</f>
        <v>No</v>
      </c>
      <c r="J48" s="582"/>
      <c r="K48" s="582"/>
    </row>
    <row r="49" spans="2:11" ht="15.75">
      <c r="B49" s="63" t="s">
        <v>254</v>
      </c>
      <c r="C49" s="286"/>
      <c r="D49" s="286"/>
      <c r="E49" s="151"/>
      <c r="G49" s="582"/>
      <c r="H49" s="582"/>
      <c r="I49" s="582"/>
      <c r="J49" s="582"/>
      <c r="K49" s="582"/>
    </row>
    <row r="50" spans="2:11" ht="15.75">
      <c r="B50" s="63" t="s">
        <v>255</v>
      </c>
      <c r="C50" s="286"/>
      <c r="D50" s="286"/>
      <c r="E50" s="239">
        <f>mvalloc!G16</f>
        <v>0</v>
      </c>
      <c r="G50" s="582"/>
      <c r="H50" s="582"/>
      <c r="I50" s="582"/>
      <c r="J50" s="582"/>
      <c r="K50" s="582"/>
    </row>
    <row r="51" spans="2:11" ht="15.75">
      <c r="B51" s="63" t="s">
        <v>256</v>
      </c>
      <c r="C51" s="286"/>
      <c r="D51" s="286"/>
      <c r="E51" s="239">
        <f>mvalloc!I16</f>
        <v>0</v>
      </c>
      <c r="G51" s="582"/>
      <c r="H51" s="582"/>
      <c r="I51" s="582"/>
      <c r="J51" s="582"/>
      <c r="K51" s="582"/>
    </row>
    <row r="52" spans="2:11" ht="15.75">
      <c r="B52" s="63" t="s">
        <v>51</v>
      </c>
      <c r="C52" s="286"/>
      <c r="D52" s="286"/>
      <c r="E52" s="239">
        <f>mvalloc!J16</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259</v>
      </c>
      <c r="C57" s="286"/>
      <c r="D57" s="286"/>
      <c r="E57" s="151"/>
      <c r="G57" s="582"/>
      <c r="H57" s="582"/>
      <c r="I57" s="582"/>
      <c r="J57" s="582"/>
      <c r="K57" s="582"/>
    </row>
    <row r="58" spans="2:11" ht="15.75">
      <c r="B58" s="292" t="s">
        <v>205</v>
      </c>
      <c r="C58" s="286"/>
      <c r="D58" s="286"/>
      <c r="E58" s="151"/>
      <c r="G58" s="582"/>
      <c r="H58" s="582"/>
      <c r="I58" s="582"/>
      <c r="J58" s="582"/>
      <c r="K58" s="582"/>
    </row>
    <row r="59" spans="2:11" ht="15.75">
      <c r="B59" s="292" t="s">
        <v>206</v>
      </c>
      <c r="C59" s="363">
        <f>IF(C60*0.1&lt;C58,"Exceed 10% Rule","")</f>
      </c>
      <c r="D59" s="363">
        <f>IF(D60*0.1&lt;D58,"Exceed 10% Rule","")</f>
      </c>
      <c r="E59" s="296">
        <f>IF(E60*0.1+E80&lt;E58,"Exceed 10% Rule","")</f>
      </c>
      <c r="G59" s="582"/>
      <c r="H59" s="582"/>
      <c r="I59" s="582"/>
      <c r="J59" s="582"/>
      <c r="K59" s="582"/>
    </row>
    <row r="60" spans="2:11" ht="15.75">
      <c r="B60" s="294" t="s">
        <v>260</v>
      </c>
      <c r="C60" s="364">
        <f>SUM(C48:C58)</f>
        <v>0</v>
      </c>
      <c r="D60" s="364">
        <f>SUM(D48:D58)</f>
        <v>0</v>
      </c>
      <c r="E60" s="295">
        <f>SUM(E48:E58)</f>
        <v>0</v>
      </c>
      <c r="G60" s="582"/>
      <c r="H60" s="582"/>
      <c r="I60" s="582"/>
      <c r="J60" s="582"/>
      <c r="K60" s="582"/>
    </row>
    <row r="61" spans="2:11" ht="15.75">
      <c r="B61" s="81" t="s">
        <v>261</v>
      </c>
      <c r="C61" s="364">
        <f>C60+C46</f>
        <v>0</v>
      </c>
      <c r="D61" s="364">
        <f>D60+D46</f>
        <v>0</v>
      </c>
      <c r="E61" s="295">
        <f>E60+E46</f>
        <v>0</v>
      </c>
      <c r="G61" s="582"/>
      <c r="H61" s="582"/>
      <c r="I61" s="582"/>
      <c r="J61" s="582"/>
      <c r="K61" s="582"/>
    </row>
    <row r="62" spans="2:11" ht="15.75">
      <c r="B62" s="63" t="s">
        <v>262</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58" t="str">
        <f>CONCATENATE("Desired Carryover Into ",E1+1,"")</f>
        <v>Desired Carryover Into 2016</v>
      </c>
      <c r="H64" s="859"/>
      <c r="I64" s="859"/>
      <c r="J64" s="860"/>
      <c r="K64" s="582"/>
    </row>
    <row r="65" spans="2:11" ht="15.75">
      <c r="B65" s="291"/>
      <c r="C65" s="286"/>
      <c r="D65" s="286"/>
      <c r="E65" s="151"/>
      <c r="G65" s="614"/>
      <c r="H65" s="615"/>
      <c r="I65" s="616"/>
      <c r="J65" s="617"/>
      <c r="K65" s="582"/>
    </row>
    <row r="66" spans="2:11" ht="15.75">
      <c r="B66" s="291"/>
      <c r="C66" s="286"/>
      <c r="D66" s="286"/>
      <c r="E66" s="151"/>
      <c r="G66" s="618" t="s">
        <v>698</v>
      </c>
      <c r="H66" s="616"/>
      <c r="I66" s="616"/>
      <c r="J66" s="619">
        <v>0</v>
      </c>
      <c r="K66" s="582"/>
    </row>
    <row r="67" spans="2:11" ht="15.75">
      <c r="B67" s="291"/>
      <c r="C67" s="286"/>
      <c r="D67" s="286"/>
      <c r="E67" s="151"/>
      <c r="G67" s="614" t="s">
        <v>699</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828</v>
      </c>
      <c r="H69" s="626"/>
      <c r="I69" s="626"/>
      <c r="J69" s="627">
        <f>IF(J66&gt;0,J68-E77,0)</f>
        <v>0</v>
      </c>
      <c r="K69" s="582"/>
    </row>
    <row r="70" spans="2:11" ht="15.75">
      <c r="B70" s="289" t="s">
        <v>207</v>
      </c>
      <c r="C70" s="286"/>
      <c r="D70" s="286"/>
      <c r="E70" s="162">
        <f>nhood!E11</f>
      </c>
      <c r="G70" s="582"/>
      <c r="H70" s="582"/>
      <c r="I70" s="582"/>
      <c r="J70" s="582"/>
      <c r="K70" s="582"/>
    </row>
    <row r="71" spans="2:11" ht="15.75">
      <c r="B71" s="289" t="s">
        <v>205</v>
      </c>
      <c r="C71" s="286"/>
      <c r="D71" s="286"/>
      <c r="E71" s="151"/>
      <c r="G71" s="858" t="str">
        <f>CONCATENATE("Projected Carryover Into ",E1+1,"")</f>
        <v>Projected Carryover Into 2016</v>
      </c>
      <c r="H71" s="868"/>
      <c r="I71" s="868"/>
      <c r="J71" s="862"/>
      <c r="K71" s="582"/>
    </row>
    <row r="72" spans="2:11" ht="15.75">
      <c r="B72" s="289" t="s">
        <v>695</v>
      </c>
      <c r="C72" s="363">
        <f>IF(C73*0.1&lt;C71,"Exceed 10% Rule","")</f>
      </c>
      <c r="D72" s="363">
        <f>IF(D73*0.1&lt;D71,"Exceed 10% Rule","")</f>
      </c>
      <c r="E72" s="296">
        <f>IF(E73*0.1&lt;E71,"Exceed 10% Rule","")</f>
      </c>
      <c r="G72" s="666"/>
      <c r="H72" s="615"/>
      <c r="I72" s="615"/>
      <c r="J72" s="667"/>
      <c r="K72" s="582"/>
    </row>
    <row r="73" spans="2:11" ht="15.75">
      <c r="B73" s="81" t="s">
        <v>263</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232</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2">
        <f>inputOth!$B88</f>
        <v>0</v>
      </c>
      <c r="D75" s="722">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6" t="s">
        <v>692</v>
      </c>
      <c r="D76" s="847"/>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48" t="s">
        <v>693</v>
      </c>
      <c r="D77" s="849"/>
      <c r="E77" s="239">
        <f>E73+E76</f>
        <v>0</v>
      </c>
      <c r="G77" s="671"/>
      <c r="H77" s="672"/>
      <c r="I77" s="615"/>
      <c r="J77" s="667"/>
      <c r="K77" s="582"/>
    </row>
    <row r="78" spans="2:11" ht="15.75">
      <c r="B78" s="470" t="str">
        <f>CONCATENATE(C88,"     ",D88)</f>
        <v>     </v>
      </c>
      <c r="C78" s="473"/>
      <c r="D78" s="472" t="s">
        <v>265</v>
      </c>
      <c r="E78" s="162">
        <f>IF(E77-E61&gt;0,E77-E61,0)</f>
        <v>0</v>
      </c>
      <c r="G78" s="639">
        <f>ROUND(C73*0.05+C73,0)</f>
        <v>0</v>
      </c>
      <c r="H78" s="616" t="str">
        <f>CONCATENATE("Less ",E1-2," Expenditures + 5%")</f>
        <v>Less 2013 Expenditures + 5%</v>
      </c>
      <c r="I78" s="670"/>
      <c r="J78" s="667"/>
      <c r="K78" s="582"/>
    </row>
    <row r="79" spans="2:11" ht="15.75">
      <c r="B79" s="190"/>
      <c r="C79" s="471" t="s">
        <v>694</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0" t="str">
        <f>CONCATENATE("Amount of  ",$E$1-1," Ad Valorem Tax")</f>
        <v>Amount of  2014 Ad Valorem Tax</v>
      </c>
      <c r="D80" s="851"/>
      <c r="E80" s="162">
        <f>E78+E79</f>
        <v>0</v>
      </c>
      <c r="G80" s="582"/>
      <c r="H80" s="582"/>
      <c r="I80" s="582"/>
      <c r="J80" s="582"/>
      <c r="K80" s="582"/>
    </row>
    <row r="81" spans="2:11" ht="15.75">
      <c r="B81" s="190" t="s">
        <v>246</v>
      </c>
      <c r="C81" s="301"/>
      <c r="D81" s="48"/>
      <c r="E81" s="48"/>
      <c r="G81" s="865" t="s">
        <v>829</v>
      </c>
      <c r="H81" s="866"/>
      <c r="I81" s="866"/>
      <c r="J81" s="867"/>
      <c r="K81" s="582"/>
    </row>
    <row r="82" spans="2:11" ht="15.75">
      <c r="B82" s="95"/>
      <c r="G82" s="654"/>
      <c r="H82" s="633"/>
      <c r="I82" s="655"/>
      <c r="J82" s="656"/>
      <c r="K82" s="582"/>
    </row>
    <row r="83" spans="7:11" ht="15.75">
      <c r="G83" s="657" t="str">
        <f>summ!H23</f>
        <v> </v>
      </c>
      <c r="H83" s="633" t="str">
        <f>CONCATENATE("",E1," Fund Mill Rate")</f>
        <v>2015 Fund Mill Rate</v>
      </c>
      <c r="I83" s="655"/>
      <c r="J83" s="656"/>
      <c r="K83" s="582"/>
    </row>
    <row r="84" spans="7:11" ht="15.75">
      <c r="G84" s="658" t="str">
        <f>summ!E23</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17.049</v>
      </c>
      <c r="H89" s="633" t="str">
        <f>CONCATENATE("Total ",E1," Mill Rate")</f>
        <v>Total 2015 Mill Rate</v>
      </c>
      <c r="I89" s="655"/>
      <c r="J89" s="656"/>
    </row>
    <row r="90" spans="7:10" ht="15.75">
      <c r="G90" s="658">
        <f>summ!E36</f>
        <v>19.204</v>
      </c>
      <c r="H90" s="661" t="str">
        <f>CONCATENATE("Total ",E1-1," Mill Rate")</f>
        <v>Total 2014 Mill Rate</v>
      </c>
      <c r="I90" s="662"/>
      <c r="J90" s="663"/>
    </row>
    <row r="92" spans="7:9" ht="15.75">
      <c r="G92" s="756" t="s">
        <v>928</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Greeley Township</v>
      </c>
      <c r="C1" s="48"/>
      <c r="D1" s="48"/>
      <c r="E1" s="204">
        <f>inputPrYr!D9</f>
        <v>2015</v>
      </c>
    </row>
    <row r="2" spans="2:5" ht="15.75">
      <c r="B2" s="513" t="s">
        <v>734</v>
      </c>
      <c r="C2" s="48"/>
      <c r="D2" s="187"/>
      <c r="E2" s="50"/>
    </row>
    <row r="3" spans="2:5" ht="15.75">
      <c r="B3" s="48"/>
      <c r="C3" s="53"/>
      <c r="D3" s="53"/>
      <c r="E3" s="53"/>
    </row>
    <row r="4" spans="2:5" ht="15.75">
      <c r="B4" s="55" t="s">
        <v>247</v>
      </c>
      <c r="C4" s="359" t="s">
        <v>248</v>
      </c>
      <c r="D4" s="362" t="s">
        <v>249</v>
      </c>
      <c r="E4" s="57" t="s">
        <v>250</v>
      </c>
    </row>
    <row r="5" spans="2:5" ht="15.75">
      <c r="B5" s="455">
        <f>inputPrYr!B28</f>
        <v>0</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253</v>
      </c>
      <c r="C8" s="286"/>
      <c r="D8" s="361">
        <f>IF(inputPrYr!H19&gt;0,inputPrYr!G28,inputPrYr!E28)</f>
        <v>0</v>
      </c>
      <c r="E8" s="288" t="s">
        <v>232</v>
      </c>
    </row>
    <row r="9" spans="2:5" ht="15.75">
      <c r="B9" s="63" t="s">
        <v>254</v>
      </c>
      <c r="C9" s="286"/>
      <c r="D9" s="286"/>
      <c r="E9" s="151"/>
    </row>
    <row r="10" spans="2:5" ht="15.75">
      <c r="B10" s="63" t="s">
        <v>255</v>
      </c>
      <c r="C10" s="286"/>
      <c r="D10" s="286"/>
      <c r="E10" s="239">
        <f>mvalloc!G19</f>
        <v>0</v>
      </c>
    </row>
    <row r="11" spans="2:5" ht="15.75">
      <c r="B11" s="63" t="s">
        <v>256</v>
      </c>
      <c r="C11" s="286"/>
      <c r="D11" s="286"/>
      <c r="E11" s="239">
        <f>mvalloc!I19</f>
        <v>0</v>
      </c>
    </row>
    <row r="12" spans="2:5" ht="15.75">
      <c r="B12" s="63" t="s">
        <v>51</v>
      </c>
      <c r="C12" s="286"/>
      <c r="D12" s="286"/>
      <c r="E12" s="239">
        <f>mvalloc!J19</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259</v>
      </c>
      <c r="C17" s="286"/>
      <c r="D17" s="286"/>
      <c r="E17" s="151"/>
    </row>
    <row r="18" spans="2:5" ht="15.75">
      <c r="B18" s="292" t="s">
        <v>205</v>
      </c>
      <c r="C18" s="286"/>
      <c r="D18" s="286"/>
      <c r="E18" s="151"/>
    </row>
    <row r="19" spans="2:5" ht="15.75">
      <c r="B19" s="292" t="s">
        <v>206</v>
      </c>
      <c r="C19" s="363">
        <f>IF(C20*0.1&lt;C18,"Exceed 10% Rule","")</f>
      </c>
      <c r="D19" s="363">
        <f>IF(D20*0.1&lt;D18,"Exceed 10% Rule","")</f>
      </c>
      <c r="E19" s="296">
        <f>IF(E20*0.1+E40&lt;E18,"Exceed 10% Rule","")</f>
      </c>
    </row>
    <row r="20" spans="2:5" ht="15.75">
      <c r="B20" s="294" t="s">
        <v>260</v>
      </c>
      <c r="C20" s="364">
        <f>SUM(C8:C18)</f>
        <v>0</v>
      </c>
      <c r="D20" s="364">
        <f>SUM(D8:D18)</f>
        <v>0</v>
      </c>
      <c r="E20" s="295">
        <f>SUM(E8:E18)</f>
        <v>0</v>
      </c>
    </row>
    <row r="21" spans="2:5" ht="15.75">
      <c r="B21" s="81" t="s">
        <v>261</v>
      </c>
      <c r="C21" s="364">
        <f>C20+C6</f>
        <v>0</v>
      </c>
      <c r="D21" s="364">
        <f>D20+D6</f>
        <v>0</v>
      </c>
      <c r="E21" s="295">
        <f>E20+E6</f>
        <v>0</v>
      </c>
    </row>
    <row r="22" spans="2:5" ht="15.75">
      <c r="B22" s="63" t="s">
        <v>262</v>
      </c>
      <c r="C22" s="361"/>
      <c r="D22" s="361"/>
      <c r="E22" s="239"/>
    </row>
    <row r="23" spans="2:5" ht="15.75">
      <c r="B23" s="291"/>
      <c r="C23" s="286"/>
      <c r="D23" s="286"/>
      <c r="E23" s="151"/>
    </row>
    <row r="24" spans="2:11" ht="15.75">
      <c r="B24" s="291"/>
      <c r="C24" s="286"/>
      <c r="D24" s="286"/>
      <c r="E24" s="151"/>
      <c r="G24" s="858" t="str">
        <f>CONCATENATE("Desired Carryover Into ",E1+1,"")</f>
        <v>Desired Carryover Into 2016</v>
      </c>
      <c r="H24" s="859"/>
      <c r="I24" s="859"/>
      <c r="J24" s="860"/>
      <c r="K24" s="582"/>
    </row>
    <row r="25" spans="2:11" ht="15.75">
      <c r="B25" s="291"/>
      <c r="C25" s="286"/>
      <c r="D25" s="286"/>
      <c r="E25" s="151"/>
      <c r="G25" s="614"/>
      <c r="H25" s="615"/>
      <c r="I25" s="616"/>
      <c r="J25" s="617"/>
      <c r="K25" s="582"/>
    </row>
    <row r="26" spans="2:11" ht="15.75">
      <c r="B26" s="291"/>
      <c r="C26" s="286"/>
      <c r="D26" s="286"/>
      <c r="E26" s="151"/>
      <c r="G26" s="618" t="s">
        <v>698</v>
      </c>
      <c r="H26" s="616"/>
      <c r="I26" s="616"/>
      <c r="J26" s="619">
        <v>0</v>
      </c>
      <c r="K26" s="582"/>
    </row>
    <row r="27" spans="2:11" ht="15.75">
      <c r="B27" s="286"/>
      <c r="C27" s="286"/>
      <c r="D27" s="286"/>
      <c r="E27" s="151"/>
      <c r="G27" s="614" t="s">
        <v>699</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828</v>
      </c>
      <c r="H29" s="626"/>
      <c r="I29" s="626"/>
      <c r="J29" s="627">
        <f>IF(J26&gt;0,J28-E37,0)</f>
        <v>0</v>
      </c>
      <c r="K29" s="582"/>
    </row>
    <row r="30" spans="2:11" ht="15.75">
      <c r="B30" s="289" t="s">
        <v>207</v>
      </c>
      <c r="C30" s="286"/>
      <c r="D30" s="286"/>
      <c r="E30" s="162">
        <f>nhood!E14</f>
      </c>
      <c r="G30" s="582"/>
      <c r="H30" s="582"/>
      <c r="I30" s="582"/>
      <c r="J30" s="582"/>
      <c r="K30" s="582"/>
    </row>
    <row r="31" spans="2:11" ht="15.75">
      <c r="B31" s="289" t="s">
        <v>205</v>
      </c>
      <c r="C31" s="286"/>
      <c r="D31" s="286"/>
      <c r="E31" s="151"/>
      <c r="G31" s="858" t="str">
        <f>CONCATENATE("Projected Carryover Into ",E1+1,"")</f>
        <v>Projected Carryover Into 2016</v>
      </c>
      <c r="H31" s="861"/>
      <c r="I31" s="861"/>
      <c r="J31" s="862"/>
      <c r="K31" s="582"/>
    </row>
    <row r="32" spans="2:11" ht="15.75">
      <c r="B32" s="289" t="s">
        <v>695</v>
      </c>
      <c r="C32" s="363">
        <f>IF(C33*0.1&lt;C31,"Exceed 10% Rule","")</f>
      </c>
      <c r="D32" s="363">
        <f>IF(D33*0.1&lt;D31,"Exceed 10% Rule","")</f>
      </c>
      <c r="E32" s="296">
        <f>IF(E33*0.1&lt;E31,"Exceed 10% Rule","")</f>
      </c>
      <c r="G32" s="614"/>
      <c r="H32" s="616"/>
      <c r="I32" s="616"/>
      <c r="J32" s="629"/>
      <c r="K32" s="582"/>
    </row>
    <row r="33" spans="2:11" ht="15.75">
      <c r="B33" s="81" t="s">
        <v>263</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232</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2">
        <f>inputOth!$B91</f>
        <v>0</v>
      </c>
      <c r="D35" s="722">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6" t="s">
        <v>692</v>
      </c>
      <c r="D36" s="847"/>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48" t="s">
        <v>693</v>
      </c>
      <c r="D37" s="849"/>
      <c r="E37" s="239">
        <f>E33+E36</f>
        <v>0</v>
      </c>
      <c r="G37" s="643"/>
      <c r="H37" s="616"/>
      <c r="I37" s="616"/>
      <c r="J37" s="629"/>
      <c r="K37" s="582"/>
    </row>
    <row r="38" spans="2:11" ht="15.75">
      <c r="B38" s="470" t="str">
        <f>CONCATENATE(C86,"     ",D86)</f>
        <v>     </v>
      </c>
      <c r="C38" s="473"/>
      <c r="D38" s="472" t="s">
        <v>265</v>
      </c>
      <c r="E38" s="162">
        <f>IF(E37-E21&gt;0,E37-E21,0)</f>
        <v>0</v>
      </c>
      <c r="G38" s="639">
        <f>C33*0.05+C33</f>
        <v>0</v>
      </c>
      <c r="H38" s="616" t="str">
        <f>CONCATENATE("Less ",E1-2," Expenditures + 5%")</f>
        <v>Less 2013 Expenditures + 5%</v>
      </c>
      <c r="I38" s="616"/>
      <c r="J38" s="629"/>
      <c r="K38" s="582"/>
    </row>
    <row r="39" spans="2:11" ht="15.75">
      <c r="B39" s="190"/>
      <c r="C39" s="471" t="s">
        <v>694</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0" t="str">
        <f>CONCATENATE("Amount of  ",$E$1-1," Ad Valorem Tax")</f>
        <v>Amount of  2014 Ad Valorem Tax</v>
      </c>
      <c r="D40" s="851"/>
      <c r="E40" s="162">
        <f>E38+E39</f>
        <v>0</v>
      </c>
      <c r="G40" s="582"/>
      <c r="H40" s="582"/>
      <c r="I40" s="582"/>
      <c r="J40" s="582"/>
      <c r="K40" s="582"/>
    </row>
    <row r="41" spans="2:11" ht="15.75">
      <c r="B41" s="48"/>
      <c r="C41" s="529"/>
      <c r="D41" s="48"/>
      <c r="E41" s="48"/>
      <c r="G41" s="865" t="s">
        <v>829</v>
      </c>
      <c r="H41" s="866"/>
      <c r="I41" s="866"/>
      <c r="J41" s="867"/>
      <c r="K41" s="582"/>
    </row>
    <row r="42" spans="2:11" ht="15.75">
      <c r="B42" s="48"/>
      <c r="C42" s="529"/>
      <c r="D42" s="48"/>
      <c r="E42" s="48"/>
      <c r="G42" s="654"/>
      <c r="H42" s="633"/>
      <c r="I42" s="655"/>
      <c r="J42" s="656"/>
      <c r="K42" s="582"/>
    </row>
    <row r="43" spans="2:11" ht="15.75">
      <c r="B43" s="55" t="s">
        <v>247</v>
      </c>
      <c r="C43" s="53"/>
      <c r="D43" s="53"/>
      <c r="E43" s="53"/>
      <c r="G43" s="657" t="str">
        <f>summ!H26</f>
        <v> </v>
      </c>
      <c r="H43" s="633" t="str">
        <f>CONCATENATE("",E1," Fund Mill Rate")</f>
        <v>2015 Fund Mill Rate</v>
      </c>
      <c r="I43" s="655"/>
      <c r="J43" s="656"/>
      <c r="K43" s="582"/>
    </row>
    <row r="44" spans="2:11" ht="15.75">
      <c r="B44" s="48"/>
      <c r="C44" s="359" t="s">
        <v>248</v>
      </c>
      <c r="D44" s="362" t="s">
        <v>249</v>
      </c>
      <c r="E44" s="57" t="s">
        <v>250</v>
      </c>
      <c r="G44" s="658" t="str">
        <f>summ!E26</f>
        <v>  </v>
      </c>
      <c r="H44" s="633" t="str">
        <f>CONCATENATE("",E1-1," Fund Mill Rate")</f>
        <v>2014 Fund Mill Rate</v>
      </c>
      <c r="I44" s="655"/>
      <c r="J44" s="656"/>
      <c r="K44" s="582"/>
    </row>
    <row r="45" spans="2:11" ht="15.75">
      <c r="B45" s="456">
        <f>inputPrYr!B29</f>
        <v>0</v>
      </c>
      <c r="C45" s="360" t="str">
        <f>C5</f>
        <v>Actual for 2013</v>
      </c>
      <c r="D45" s="360" t="str">
        <f>D5</f>
        <v>Estimate for 2014</v>
      </c>
      <c r="E45" s="62" t="str">
        <f>E5</f>
        <v>Year for 2015</v>
      </c>
      <c r="G45" s="660">
        <f>summ!H36</f>
        <v>17.049</v>
      </c>
      <c r="H45" s="633" t="str">
        <f>CONCATENATE("Total ",E1," Mill Rate")</f>
        <v>Total 2015 Mill Rate</v>
      </c>
      <c r="I45" s="655"/>
      <c r="J45" s="656"/>
      <c r="K45" s="582"/>
    </row>
    <row r="46" spans="2:11" ht="15.75">
      <c r="B46" s="63" t="s">
        <v>60</v>
      </c>
      <c r="C46" s="286"/>
      <c r="D46" s="361">
        <f>C74</f>
        <v>0</v>
      </c>
      <c r="E46" s="239">
        <f>D74</f>
        <v>0</v>
      </c>
      <c r="G46" s="658">
        <f>summ!E36</f>
        <v>19.204</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253</v>
      </c>
      <c r="C48" s="286"/>
      <c r="D48" s="361">
        <f>IF(inputPrYr!H19&gt;0,inputPrYr!G29,inputPrYr!E29)</f>
        <v>0</v>
      </c>
      <c r="E48" s="288" t="s">
        <v>232</v>
      </c>
      <c r="G48" s="759" t="s">
        <v>928</v>
      </c>
      <c r="H48" s="710"/>
      <c r="I48" s="709" t="str">
        <f>cert!E41</f>
        <v>No</v>
      </c>
      <c r="J48" s="582"/>
      <c r="K48" s="582"/>
    </row>
    <row r="49" spans="2:11" ht="15.75">
      <c r="B49" s="63" t="s">
        <v>254</v>
      </c>
      <c r="C49" s="286"/>
      <c r="D49" s="286"/>
      <c r="E49" s="151"/>
      <c r="G49" s="582"/>
      <c r="H49" s="582"/>
      <c r="I49" s="582"/>
      <c r="J49" s="582"/>
      <c r="K49" s="582"/>
    </row>
    <row r="50" spans="2:11" ht="15.75">
      <c r="B50" s="63" t="s">
        <v>255</v>
      </c>
      <c r="C50" s="286"/>
      <c r="D50" s="286"/>
      <c r="E50" s="239">
        <f>mvalloc!G20</f>
        <v>0</v>
      </c>
      <c r="G50" s="582"/>
      <c r="H50" s="582"/>
      <c r="I50" s="582"/>
      <c r="J50" s="582"/>
      <c r="K50" s="582"/>
    </row>
    <row r="51" spans="2:11" ht="15.75">
      <c r="B51" s="63" t="s">
        <v>256</v>
      </c>
      <c r="C51" s="286"/>
      <c r="D51" s="286"/>
      <c r="E51" s="239">
        <f>mvalloc!I20</f>
        <v>0</v>
      </c>
      <c r="G51" s="582"/>
      <c r="H51" s="582"/>
      <c r="I51" s="582"/>
      <c r="J51" s="582"/>
      <c r="K51" s="582"/>
    </row>
    <row r="52" spans="2:11" ht="15.75">
      <c r="B52" s="63" t="s">
        <v>51</v>
      </c>
      <c r="C52" s="286"/>
      <c r="D52" s="286"/>
      <c r="E52" s="239">
        <f>mvalloc!J20</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259</v>
      </c>
      <c r="C57" s="286"/>
      <c r="D57" s="286"/>
      <c r="E57" s="151"/>
      <c r="G57" s="582"/>
      <c r="H57" s="582"/>
      <c r="I57" s="582"/>
      <c r="J57" s="582"/>
      <c r="K57" s="582"/>
    </row>
    <row r="58" spans="2:11" ht="15.75">
      <c r="B58" s="292" t="s">
        <v>205</v>
      </c>
      <c r="C58" s="286"/>
      <c r="D58" s="286"/>
      <c r="E58" s="151"/>
      <c r="G58" s="582"/>
      <c r="H58" s="582"/>
      <c r="I58" s="582"/>
      <c r="J58" s="582"/>
      <c r="K58" s="582"/>
    </row>
    <row r="59" spans="2:11" ht="15.75">
      <c r="B59" s="292" t="s">
        <v>206</v>
      </c>
      <c r="C59" s="363">
        <f>IF(C60*0.1&lt;C58,"Exceed 10% Rule","")</f>
      </c>
      <c r="D59" s="363">
        <f>IF(D60*0.1&lt;D58,"Exceed 10% Rule","")</f>
      </c>
      <c r="E59" s="296">
        <f>IF(E60*0.1+E80&lt;E58,"Exceed 10% Rule","")</f>
      </c>
      <c r="G59" s="582"/>
      <c r="H59" s="582"/>
      <c r="I59" s="582"/>
      <c r="J59" s="582"/>
      <c r="K59" s="582"/>
    </row>
    <row r="60" spans="2:11" ht="15.75">
      <c r="B60" s="294" t="s">
        <v>260</v>
      </c>
      <c r="C60" s="364">
        <f>SUM(C48:C58)</f>
        <v>0</v>
      </c>
      <c r="D60" s="364">
        <f>SUM(D48:D58)</f>
        <v>0</v>
      </c>
      <c r="E60" s="295">
        <f>SUM(E48:E58)</f>
        <v>0</v>
      </c>
      <c r="G60" s="582"/>
      <c r="H60" s="582"/>
      <c r="I60" s="582"/>
      <c r="J60" s="582"/>
      <c r="K60" s="582"/>
    </row>
    <row r="61" spans="2:11" ht="15.75">
      <c r="B61" s="81" t="s">
        <v>261</v>
      </c>
      <c r="C61" s="364">
        <f>C60+C46</f>
        <v>0</v>
      </c>
      <c r="D61" s="364">
        <f>D60+D46</f>
        <v>0</v>
      </c>
      <c r="E61" s="295">
        <f>E60+E46</f>
        <v>0</v>
      </c>
      <c r="G61" s="582"/>
      <c r="H61" s="582"/>
      <c r="I61" s="582"/>
      <c r="J61" s="582"/>
      <c r="K61" s="582"/>
    </row>
    <row r="62" spans="2:11" ht="15.75">
      <c r="B62" s="63" t="s">
        <v>262</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58" t="str">
        <f>CONCATENATE("Desired Carryover Into ",E1+1,"")</f>
        <v>Desired Carryover Into 2016</v>
      </c>
      <c r="H64" s="859"/>
      <c r="I64" s="859"/>
      <c r="J64" s="860"/>
      <c r="K64" s="582"/>
    </row>
    <row r="65" spans="2:11" ht="15.75">
      <c r="B65" s="291"/>
      <c r="C65" s="286"/>
      <c r="D65" s="286"/>
      <c r="E65" s="151"/>
      <c r="G65" s="614"/>
      <c r="H65" s="615"/>
      <c r="I65" s="616"/>
      <c r="J65" s="617"/>
      <c r="K65" s="582"/>
    </row>
    <row r="66" spans="2:11" ht="15.75">
      <c r="B66" s="291"/>
      <c r="C66" s="286"/>
      <c r="D66" s="286"/>
      <c r="E66" s="151"/>
      <c r="G66" s="618" t="s">
        <v>698</v>
      </c>
      <c r="H66" s="616"/>
      <c r="I66" s="616"/>
      <c r="J66" s="619">
        <v>0</v>
      </c>
      <c r="K66" s="582"/>
    </row>
    <row r="67" spans="2:11" ht="15.75">
      <c r="B67" s="291"/>
      <c r="C67" s="286"/>
      <c r="D67" s="286"/>
      <c r="E67" s="151"/>
      <c r="G67" s="614" t="s">
        <v>699</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828</v>
      </c>
      <c r="H69" s="626"/>
      <c r="I69" s="626"/>
      <c r="J69" s="627">
        <f>IF(J66&gt;0,J68-E77,0)</f>
        <v>0</v>
      </c>
      <c r="K69" s="582"/>
    </row>
    <row r="70" spans="2:11" ht="15.75">
      <c r="B70" s="289" t="s">
        <v>207</v>
      </c>
      <c r="C70" s="286"/>
      <c r="D70" s="286"/>
      <c r="E70" s="162">
        <f>nhood!E15</f>
      </c>
      <c r="G70" s="582"/>
      <c r="H70" s="582"/>
      <c r="I70" s="582"/>
      <c r="J70" s="582"/>
      <c r="K70" s="582"/>
    </row>
    <row r="71" spans="2:11" ht="15.75">
      <c r="B71" s="289" t="s">
        <v>205</v>
      </c>
      <c r="C71" s="286"/>
      <c r="D71" s="286"/>
      <c r="E71" s="151"/>
      <c r="G71" s="858" t="str">
        <f>CONCATENATE("Projected Carryover Into ",E1+1,"")</f>
        <v>Projected Carryover Into 2016</v>
      </c>
      <c r="H71" s="868"/>
      <c r="I71" s="868"/>
      <c r="J71" s="862"/>
      <c r="K71" s="582"/>
    </row>
    <row r="72" spans="2:11" ht="15.75">
      <c r="B72" s="289" t="s">
        <v>695</v>
      </c>
      <c r="C72" s="363">
        <f>IF(C73*0.1&lt;C71,"Exceed 10% Rule","")</f>
      </c>
      <c r="D72" s="363">
        <f>IF(D73*0.1&lt;D71,"Exceed 10% Rule","")</f>
      </c>
      <c r="E72" s="296">
        <f>IF(E73*0.1&lt;E71,"Exceed 10% Rule","")</f>
      </c>
      <c r="G72" s="666"/>
      <c r="H72" s="615"/>
      <c r="I72" s="615"/>
      <c r="J72" s="667"/>
      <c r="K72" s="582"/>
    </row>
    <row r="73" spans="2:11" ht="15.75">
      <c r="B73" s="81" t="s">
        <v>263</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232</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2">
        <f>inputOth!$B92</f>
        <v>0</v>
      </c>
      <c r="D75" s="722">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6" t="s">
        <v>692</v>
      </c>
      <c r="D76" s="847"/>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48" t="s">
        <v>693</v>
      </c>
      <c r="D77" s="849"/>
      <c r="E77" s="239">
        <f>E73+E76</f>
        <v>0</v>
      </c>
      <c r="G77" s="671"/>
      <c r="H77" s="672"/>
      <c r="I77" s="615"/>
      <c r="J77" s="667"/>
      <c r="K77" s="582"/>
    </row>
    <row r="78" spans="2:11" ht="15.75">
      <c r="B78" s="470" t="str">
        <f>CONCATENATE(C88,"     ",D88)</f>
        <v>     </v>
      </c>
      <c r="C78" s="473"/>
      <c r="D78" s="472" t="s">
        <v>265</v>
      </c>
      <c r="E78" s="162">
        <f>IF(E77-E61&gt;0,E77-E61,0)</f>
        <v>0</v>
      </c>
      <c r="G78" s="639">
        <f>ROUND(C73*0.05+C73,0)</f>
        <v>0</v>
      </c>
      <c r="H78" s="616" t="str">
        <f>CONCATENATE("Less ",E1-2," Expenditures + 5%")</f>
        <v>Less 2013 Expenditures + 5%</v>
      </c>
      <c r="I78" s="670"/>
      <c r="J78" s="667"/>
      <c r="K78" s="582"/>
    </row>
    <row r="79" spans="2:11" ht="15.75">
      <c r="B79" s="190"/>
      <c r="C79" s="471" t="s">
        <v>694</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0" t="str">
        <f>CONCATENATE("Amount of  ",$E$1-1," Ad Valorem Tax")</f>
        <v>Amount of  2014 Ad Valorem Tax</v>
      </c>
      <c r="D80" s="851"/>
      <c r="E80" s="162">
        <f>E78+E79</f>
        <v>0</v>
      </c>
      <c r="G80" s="582"/>
      <c r="H80" s="582"/>
      <c r="I80" s="582"/>
      <c r="J80" s="582"/>
      <c r="K80" s="582"/>
    </row>
    <row r="81" spans="2:11" ht="15.75">
      <c r="B81" s="190" t="s">
        <v>246</v>
      </c>
      <c r="C81" s="191"/>
      <c r="D81" s="48"/>
      <c r="E81" s="48"/>
      <c r="G81" s="865" t="s">
        <v>829</v>
      </c>
      <c r="H81" s="866"/>
      <c r="I81" s="866"/>
      <c r="J81" s="867"/>
      <c r="K81" s="582"/>
    </row>
    <row r="82" spans="2:11" ht="15.75">
      <c r="B82" s="95"/>
      <c r="G82" s="654"/>
      <c r="H82" s="633"/>
      <c r="I82" s="655"/>
      <c r="J82" s="656"/>
      <c r="K82" s="582"/>
    </row>
    <row r="83" spans="7:11" ht="15.75">
      <c r="G83" s="657" t="str">
        <f>summ!H27</f>
        <v> </v>
      </c>
      <c r="H83" s="633" t="str">
        <f>CONCATENATE("",E1," Fund Mill Rate")</f>
        <v>2015 Fund Mill Rate</v>
      </c>
      <c r="I83" s="655"/>
      <c r="J83" s="656"/>
      <c r="K83" s="582"/>
    </row>
    <row r="84" spans="7:11" ht="15.75">
      <c r="G84" s="658" t="str">
        <f>summ!E27</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17.049</v>
      </c>
      <c r="H89" s="633" t="str">
        <f>CONCATENATE("Total ",E1," Mill Rate")</f>
        <v>Total 2015 Mill Rate</v>
      </c>
      <c r="I89" s="655"/>
      <c r="J89" s="656"/>
    </row>
    <row r="90" spans="7:10" ht="15.75">
      <c r="G90" s="658">
        <f>summ!E36</f>
        <v>19.204</v>
      </c>
      <c r="H90" s="661" t="str">
        <f>CONCATENATE("Total ",E1-1," Mill Rate")</f>
        <v>Total 2014 Mill Rate</v>
      </c>
      <c r="I90" s="662"/>
      <c r="J90" s="663"/>
    </row>
    <row r="92" spans="7:9" ht="15.75">
      <c r="G92" s="760" t="s">
        <v>928</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Greeley Township</v>
      </c>
      <c r="C1" s="48"/>
      <c r="D1" s="48"/>
      <c r="E1" s="204">
        <f>inputPrYr!D9</f>
        <v>2015</v>
      </c>
    </row>
    <row r="2" spans="2:5" ht="15.75">
      <c r="B2" s="513" t="s">
        <v>734</v>
      </c>
      <c r="C2" s="48"/>
      <c r="D2" s="187"/>
      <c r="E2" s="50"/>
    </row>
    <row r="3" spans="2:5" ht="15.75">
      <c r="B3" s="48"/>
      <c r="C3" s="53"/>
      <c r="D3" s="53"/>
      <c r="E3" s="53"/>
    </row>
    <row r="4" spans="2:5" ht="15.75">
      <c r="B4" s="55" t="s">
        <v>247</v>
      </c>
      <c r="C4" s="359" t="s">
        <v>248</v>
      </c>
      <c r="D4" s="362" t="s">
        <v>249</v>
      </c>
      <c r="E4" s="57" t="s">
        <v>250</v>
      </c>
    </row>
    <row r="5" spans="2:5" ht="15.75">
      <c r="B5" s="455">
        <f>inputPrYr!B30</f>
        <v>0</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253</v>
      </c>
      <c r="C8" s="286"/>
      <c r="D8" s="361">
        <f>IF(inputPrYr!H19&gt;0,inputPrYr!G30,inputPrYr!E30)</f>
        <v>0</v>
      </c>
      <c r="E8" s="288" t="s">
        <v>232</v>
      </c>
    </row>
    <row r="9" spans="2:5" ht="15.75">
      <c r="B9" s="63" t="s">
        <v>254</v>
      </c>
      <c r="C9" s="286"/>
      <c r="D9" s="286"/>
      <c r="E9" s="151"/>
    </row>
    <row r="10" spans="2:5" ht="15.75">
      <c r="B10" s="63" t="s">
        <v>255</v>
      </c>
      <c r="C10" s="286"/>
      <c r="D10" s="286"/>
      <c r="E10" s="239">
        <f>mvalloc!G21</f>
        <v>0</v>
      </c>
    </row>
    <row r="11" spans="2:5" ht="15.75">
      <c r="B11" s="63" t="s">
        <v>256</v>
      </c>
      <c r="C11" s="286"/>
      <c r="D11" s="286"/>
      <c r="E11" s="239">
        <f>mvalloc!I21</f>
        <v>0</v>
      </c>
    </row>
    <row r="12" spans="2:5" ht="15.75">
      <c r="B12" s="63" t="s">
        <v>51</v>
      </c>
      <c r="C12" s="286"/>
      <c r="D12" s="286"/>
      <c r="E12" s="239">
        <f>mvalloc!J21</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259</v>
      </c>
      <c r="C17" s="286"/>
      <c r="D17" s="286"/>
      <c r="E17" s="151"/>
    </row>
    <row r="18" spans="2:5" ht="15.75">
      <c r="B18" s="292" t="s">
        <v>205</v>
      </c>
      <c r="C18" s="286"/>
      <c r="D18" s="286"/>
      <c r="E18" s="151"/>
    </row>
    <row r="19" spans="2:5" ht="15.75">
      <c r="B19" s="292" t="s">
        <v>206</v>
      </c>
      <c r="C19" s="363">
        <f>IF(C20*0.1&lt;C18,"Exceed 10% Rule","")</f>
      </c>
      <c r="D19" s="363">
        <f>IF(D20*0.1&lt;D18,"Exceed 10% Rule","")</f>
      </c>
      <c r="E19" s="296">
        <f>IF(E20*0.1+E40&lt;E18,"Exceed 10% Rule","")</f>
      </c>
    </row>
    <row r="20" spans="2:5" ht="15.75">
      <c r="B20" s="294" t="s">
        <v>260</v>
      </c>
      <c r="C20" s="364">
        <f>SUM(C8:C18)</f>
        <v>0</v>
      </c>
      <c r="D20" s="364">
        <f>SUM(D8:D18)</f>
        <v>0</v>
      </c>
      <c r="E20" s="295">
        <f>SUM(E8:E18)</f>
        <v>0</v>
      </c>
    </row>
    <row r="21" spans="2:5" ht="15.75">
      <c r="B21" s="81" t="s">
        <v>261</v>
      </c>
      <c r="C21" s="364">
        <f>C20+C6</f>
        <v>0</v>
      </c>
      <c r="D21" s="364">
        <f>D20+D6</f>
        <v>0</v>
      </c>
      <c r="E21" s="295">
        <f>E20+E6</f>
        <v>0</v>
      </c>
    </row>
    <row r="22" spans="2:5" ht="15.75">
      <c r="B22" s="63" t="s">
        <v>262</v>
      </c>
      <c r="C22" s="361"/>
      <c r="D22" s="361"/>
      <c r="E22" s="239"/>
    </row>
    <row r="23" spans="2:5" ht="15.75">
      <c r="B23" s="291"/>
      <c r="C23" s="286"/>
      <c r="D23" s="286"/>
      <c r="E23" s="151"/>
    </row>
    <row r="24" spans="2:11" ht="15.75">
      <c r="B24" s="291"/>
      <c r="C24" s="286"/>
      <c r="D24" s="286"/>
      <c r="E24" s="151"/>
      <c r="G24" s="858" t="str">
        <f>CONCATENATE("Desired Carryover Into ",E1+1,"")</f>
        <v>Desired Carryover Into 2016</v>
      </c>
      <c r="H24" s="859"/>
      <c r="I24" s="859"/>
      <c r="J24" s="860"/>
      <c r="K24" s="582"/>
    </row>
    <row r="25" spans="2:11" ht="15.75">
      <c r="B25" s="291"/>
      <c r="C25" s="286"/>
      <c r="D25" s="286"/>
      <c r="E25" s="151"/>
      <c r="G25" s="614"/>
      <c r="H25" s="615"/>
      <c r="I25" s="616"/>
      <c r="J25" s="617"/>
      <c r="K25" s="582"/>
    </row>
    <row r="26" spans="2:11" ht="15.75">
      <c r="B26" s="291"/>
      <c r="C26" s="286"/>
      <c r="D26" s="286"/>
      <c r="E26" s="151"/>
      <c r="G26" s="618" t="s">
        <v>698</v>
      </c>
      <c r="H26" s="616"/>
      <c r="I26" s="616"/>
      <c r="J26" s="619">
        <v>0</v>
      </c>
      <c r="K26" s="582"/>
    </row>
    <row r="27" spans="2:11" ht="15.75">
      <c r="B27" s="286"/>
      <c r="C27" s="286"/>
      <c r="D27" s="286"/>
      <c r="E27" s="151"/>
      <c r="G27" s="614" t="s">
        <v>699</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828</v>
      </c>
      <c r="H29" s="626"/>
      <c r="I29" s="626"/>
      <c r="J29" s="627">
        <f>IF(J26&gt;0,J28-E37,0)</f>
        <v>0</v>
      </c>
      <c r="K29" s="582"/>
    </row>
    <row r="30" spans="2:11" ht="15.75">
      <c r="B30" s="289" t="s">
        <v>207</v>
      </c>
      <c r="C30" s="286"/>
      <c r="D30" s="286"/>
      <c r="E30" s="162">
        <f>nhood!E16</f>
      </c>
      <c r="G30" s="582"/>
      <c r="H30" s="582"/>
      <c r="I30" s="582"/>
      <c r="J30" s="582"/>
      <c r="K30" s="582"/>
    </row>
    <row r="31" spans="2:11" ht="15.75">
      <c r="B31" s="289" t="s">
        <v>205</v>
      </c>
      <c r="C31" s="286"/>
      <c r="D31" s="286"/>
      <c r="E31" s="151"/>
      <c r="G31" s="858" t="str">
        <f>CONCATENATE("Projected Carryover Into ",E1+1,"")</f>
        <v>Projected Carryover Into 2016</v>
      </c>
      <c r="H31" s="861"/>
      <c r="I31" s="861"/>
      <c r="J31" s="862"/>
      <c r="K31" s="582"/>
    </row>
    <row r="32" spans="2:11" ht="15.75">
      <c r="B32" s="289" t="s">
        <v>695</v>
      </c>
      <c r="C32" s="363">
        <f>IF(C33*0.1&lt;C31,"Exceed 10% Rule","")</f>
      </c>
      <c r="D32" s="363">
        <f>IF(D33*0.1&lt;D31,"Exceed 10% Rule","")</f>
      </c>
      <c r="E32" s="296">
        <f>IF(E33*0.1&lt;E31,"Exceed 10% Rule","")</f>
      </c>
      <c r="G32" s="614"/>
      <c r="H32" s="616"/>
      <c r="I32" s="616"/>
      <c r="J32" s="629"/>
      <c r="K32" s="582"/>
    </row>
    <row r="33" spans="2:11" ht="15.75">
      <c r="B33" s="81" t="s">
        <v>263</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232</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2">
        <f>inputOth!$B93</f>
        <v>0</v>
      </c>
      <c r="D35" s="722">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6" t="s">
        <v>692</v>
      </c>
      <c r="D36" s="847"/>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48" t="s">
        <v>693</v>
      </c>
      <c r="D37" s="849"/>
      <c r="E37" s="239">
        <f>E33+E36</f>
        <v>0</v>
      </c>
      <c r="G37" s="643"/>
      <c r="H37" s="616"/>
      <c r="I37" s="616"/>
      <c r="J37" s="629"/>
      <c r="K37" s="582"/>
    </row>
    <row r="38" spans="2:11" ht="15.75">
      <c r="B38" s="470" t="str">
        <f>CONCATENATE(C86,"     ",D86)</f>
        <v>     </v>
      </c>
      <c r="C38" s="473"/>
      <c r="D38" s="472" t="s">
        <v>265</v>
      </c>
      <c r="E38" s="162">
        <f>IF(E37-E21&gt;0,E37-E21,0)</f>
        <v>0</v>
      </c>
      <c r="G38" s="639">
        <f>ROUND(C33*0.05+C33,0)</f>
        <v>0</v>
      </c>
      <c r="H38" s="616" t="str">
        <f>CONCATENATE("Less ",E1-2," Expenditures + 5%")</f>
        <v>Less 2013 Expenditures + 5%</v>
      </c>
      <c r="I38" s="616"/>
      <c r="J38" s="629"/>
      <c r="K38" s="582"/>
    </row>
    <row r="39" spans="2:11" ht="15.75">
      <c r="B39" s="190"/>
      <c r="C39" s="471" t="s">
        <v>694</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0" t="str">
        <f>CONCATENATE("Amount of  ",$E$1-1," Ad Valorem Tax")</f>
        <v>Amount of  2014 Ad Valorem Tax</v>
      </c>
      <c r="D40" s="851"/>
      <c r="E40" s="162">
        <f>E38+E39</f>
        <v>0</v>
      </c>
      <c r="G40" s="582"/>
      <c r="H40" s="582"/>
      <c r="I40" s="582"/>
      <c r="J40" s="582"/>
      <c r="K40" s="582"/>
    </row>
    <row r="41" spans="2:11" ht="15.75">
      <c r="B41" s="48"/>
      <c r="C41" s="529"/>
      <c r="D41" s="48"/>
      <c r="E41" s="48"/>
      <c r="G41" s="865" t="s">
        <v>829</v>
      </c>
      <c r="H41" s="866"/>
      <c r="I41" s="866"/>
      <c r="J41" s="867"/>
      <c r="K41" s="582"/>
    </row>
    <row r="42" spans="2:11" ht="15.75">
      <c r="B42" s="48"/>
      <c r="C42" s="529"/>
      <c r="D42" s="48"/>
      <c r="E42" s="48"/>
      <c r="G42" s="654"/>
      <c r="H42" s="633"/>
      <c r="I42" s="655"/>
      <c r="J42" s="656"/>
      <c r="K42" s="582"/>
    </row>
    <row r="43" spans="2:11" ht="15.75">
      <c r="B43" s="55" t="s">
        <v>247</v>
      </c>
      <c r="C43" s="53"/>
      <c r="D43" s="53"/>
      <c r="E43" s="53"/>
      <c r="G43" s="657" t="str">
        <f>summ!H28</f>
        <v> </v>
      </c>
      <c r="H43" s="633" t="str">
        <f>CONCATENATE("",E1," Fund Mill Rate")</f>
        <v>2015 Fund Mill Rate</v>
      </c>
      <c r="I43" s="655"/>
      <c r="J43" s="656"/>
      <c r="K43" s="582"/>
    </row>
    <row r="44" spans="2:11" ht="15.75">
      <c r="B44" s="48"/>
      <c r="C44" s="359" t="s">
        <v>248</v>
      </c>
      <c r="D44" s="362" t="s">
        <v>249</v>
      </c>
      <c r="E44" s="57" t="s">
        <v>250</v>
      </c>
      <c r="G44" s="658" t="str">
        <f>summ!E28</f>
        <v>  </v>
      </c>
      <c r="H44" s="633" t="str">
        <f>CONCATENATE("",E1-1," Fund Mill Rate")</f>
        <v>2014 Fund Mill Rate</v>
      </c>
      <c r="I44" s="655"/>
      <c r="J44" s="656"/>
      <c r="K44" s="582"/>
    </row>
    <row r="45" spans="2:11" ht="15.75">
      <c r="B45" s="456">
        <f>inputPrYr!B31</f>
        <v>0</v>
      </c>
      <c r="C45" s="360" t="str">
        <f>C5</f>
        <v>Actual for 2013</v>
      </c>
      <c r="D45" s="360" t="str">
        <f>D5</f>
        <v>Estimate for 2014</v>
      </c>
      <c r="E45" s="62" t="str">
        <f>E5</f>
        <v>Year for 2015</v>
      </c>
      <c r="G45" s="660">
        <f>summ!H36</f>
        <v>17.049</v>
      </c>
      <c r="H45" s="633" t="str">
        <f>CONCATENATE("Total ",E1," Mill Rate")</f>
        <v>Total 2015 Mill Rate</v>
      </c>
      <c r="I45" s="655"/>
      <c r="J45" s="656"/>
      <c r="K45" s="582"/>
    </row>
    <row r="46" spans="2:11" ht="15.75">
      <c r="B46" s="63" t="s">
        <v>60</v>
      </c>
      <c r="C46" s="286"/>
      <c r="D46" s="361">
        <f>C74</f>
        <v>0</v>
      </c>
      <c r="E46" s="239">
        <f>D74</f>
        <v>0</v>
      </c>
      <c r="G46" s="658">
        <f>summ!E36</f>
        <v>19.204</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253</v>
      </c>
      <c r="C48" s="286"/>
      <c r="D48" s="361">
        <f>IF(inputPrYr!H19&gt;0,inputPrYr!G31,inputPrYr!E31)</f>
        <v>0</v>
      </c>
      <c r="E48" s="288" t="s">
        <v>232</v>
      </c>
      <c r="G48" s="761" t="s">
        <v>928</v>
      </c>
      <c r="H48" s="710"/>
      <c r="I48" s="709" t="str">
        <f>cert!E41</f>
        <v>No</v>
      </c>
      <c r="J48" s="582"/>
      <c r="K48" s="582"/>
    </row>
    <row r="49" spans="2:11" ht="15.75">
      <c r="B49" s="63" t="s">
        <v>254</v>
      </c>
      <c r="C49" s="286"/>
      <c r="D49" s="286"/>
      <c r="E49" s="151"/>
      <c r="G49" s="582"/>
      <c r="H49" s="582"/>
      <c r="I49" s="582"/>
      <c r="J49" s="582"/>
      <c r="K49" s="582"/>
    </row>
    <row r="50" spans="2:11" ht="15.75">
      <c r="B50" s="63" t="s">
        <v>255</v>
      </c>
      <c r="C50" s="286"/>
      <c r="D50" s="286"/>
      <c r="E50" s="239">
        <f>mvalloc!G22</f>
        <v>0</v>
      </c>
      <c r="G50" s="582"/>
      <c r="H50" s="582"/>
      <c r="I50" s="582"/>
      <c r="J50" s="582"/>
      <c r="K50" s="582"/>
    </row>
    <row r="51" spans="2:11" ht="15.75">
      <c r="B51" s="63" t="s">
        <v>256</v>
      </c>
      <c r="C51" s="286"/>
      <c r="D51" s="286"/>
      <c r="E51" s="239">
        <f>mvalloc!I22</f>
        <v>0</v>
      </c>
      <c r="G51" s="582"/>
      <c r="H51" s="582"/>
      <c r="I51" s="582"/>
      <c r="J51" s="582"/>
      <c r="K51" s="582"/>
    </row>
    <row r="52" spans="2:11" ht="15.75">
      <c r="B52" s="63" t="s">
        <v>51</v>
      </c>
      <c r="C52" s="286"/>
      <c r="D52" s="286"/>
      <c r="E52" s="239">
        <f>mvalloc!J22</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259</v>
      </c>
      <c r="C57" s="286"/>
      <c r="D57" s="286"/>
      <c r="E57" s="151"/>
      <c r="G57" s="582"/>
      <c r="H57" s="582"/>
      <c r="I57" s="582"/>
      <c r="J57" s="582"/>
      <c r="K57" s="582"/>
    </row>
    <row r="58" spans="2:11" ht="15.75">
      <c r="B58" s="292" t="s">
        <v>205</v>
      </c>
      <c r="C58" s="286"/>
      <c r="D58" s="286"/>
      <c r="E58" s="151"/>
      <c r="G58" s="582"/>
      <c r="H58" s="582"/>
      <c r="I58" s="582"/>
      <c r="J58" s="582"/>
      <c r="K58" s="582"/>
    </row>
    <row r="59" spans="2:11" ht="15.75">
      <c r="B59" s="292" t="s">
        <v>206</v>
      </c>
      <c r="C59" s="363">
        <f>IF(C60*0.1&lt;C58,"Exceed 10% Rule","")</f>
      </c>
      <c r="D59" s="363">
        <f>IF(D60*0.1&lt;D58,"Exceed 10% Rule","")</f>
      </c>
      <c r="E59" s="296">
        <f>IF(E60*0.1+E80&lt;E58,"Exceed 10% Rule","")</f>
      </c>
      <c r="G59" s="582"/>
      <c r="H59" s="582"/>
      <c r="I59" s="582"/>
      <c r="J59" s="582"/>
      <c r="K59" s="582"/>
    </row>
    <row r="60" spans="2:11" ht="15.75">
      <c r="B60" s="294" t="s">
        <v>260</v>
      </c>
      <c r="C60" s="364">
        <f>SUM(C48:C58)</f>
        <v>0</v>
      </c>
      <c r="D60" s="364">
        <f>SUM(D48:D58)</f>
        <v>0</v>
      </c>
      <c r="E60" s="295">
        <f>SUM(E48:E58)</f>
        <v>0</v>
      </c>
      <c r="G60" s="582"/>
      <c r="H60" s="582"/>
      <c r="I60" s="582"/>
      <c r="J60" s="582"/>
      <c r="K60" s="582"/>
    </row>
    <row r="61" spans="2:11" ht="15.75">
      <c r="B61" s="81" t="s">
        <v>261</v>
      </c>
      <c r="C61" s="364">
        <f>C60+C46</f>
        <v>0</v>
      </c>
      <c r="D61" s="364">
        <f>D60+D46</f>
        <v>0</v>
      </c>
      <c r="E61" s="295">
        <f>E60+E46</f>
        <v>0</v>
      </c>
      <c r="G61" s="582"/>
      <c r="H61" s="582"/>
      <c r="I61" s="582"/>
      <c r="J61" s="582"/>
      <c r="K61" s="582"/>
    </row>
    <row r="62" spans="2:11" ht="15.75">
      <c r="B62" s="63" t="s">
        <v>262</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58" t="str">
        <f>CONCATENATE("Desired Carryover Into ",E1+1,"")</f>
        <v>Desired Carryover Into 2016</v>
      </c>
      <c r="H64" s="859"/>
      <c r="I64" s="859"/>
      <c r="J64" s="860"/>
      <c r="K64" s="582"/>
    </row>
    <row r="65" spans="2:11" ht="15.75">
      <c r="B65" s="291"/>
      <c r="C65" s="286"/>
      <c r="D65" s="286"/>
      <c r="E65" s="151"/>
      <c r="G65" s="614"/>
      <c r="H65" s="615"/>
      <c r="I65" s="616"/>
      <c r="J65" s="617"/>
      <c r="K65" s="582"/>
    </row>
    <row r="66" spans="2:11" ht="15.75">
      <c r="B66" s="291"/>
      <c r="C66" s="286"/>
      <c r="D66" s="286"/>
      <c r="E66" s="151"/>
      <c r="G66" s="618" t="s">
        <v>698</v>
      </c>
      <c r="H66" s="616"/>
      <c r="I66" s="616"/>
      <c r="J66" s="619">
        <v>0</v>
      </c>
      <c r="K66" s="582"/>
    </row>
    <row r="67" spans="2:11" ht="15.75">
      <c r="B67" s="291"/>
      <c r="C67" s="286"/>
      <c r="D67" s="286"/>
      <c r="E67" s="151"/>
      <c r="G67" s="614" t="s">
        <v>699</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828</v>
      </c>
      <c r="H69" s="626"/>
      <c r="I69" s="626"/>
      <c r="J69" s="627">
        <f>IF(J66&gt;0,J68-E77,0)</f>
        <v>0</v>
      </c>
      <c r="K69" s="582"/>
    </row>
    <row r="70" spans="2:11" ht="15.75">
      <c r="B70" s="289" t="s">
        <v>207</v>
      </c>
      <c r="C70" s="286"/>
      <c r="D70" s="286"/>
      <c r="E70" s="162">
        <f>nhood!E17</f>
      </c>
      <c r="G70" s="582"/>
      <c r="H70" s="582"/>
      <c r="I70" s="582"/>
      <c r="J70" s="582"/>
      <c r="K70" s="582"/>
    </row>
    <row r="71" spans="2:11" ht="15.75">
      <c r="B71" s="289" t="s">
        <v>205</v>
      </c>
      <c r="C71" s="286"/>
      <c r="D71" s="286"/>
      <c r="E71" s="151"/>
      <c r="G71" s="858" t="str">
        <f>CONCATENATE("Projected Carryover Into ",E1+1,"")</f>
        <v>Projected Carryover Into 2016</v>
      </c>
      <c r="H71" s="868"/>
      <c r="I71" s="868"/>
      <c r="J71" s="862"/>
      <c r="K71" s="582"/>
    </row>
    <row r="72" spans="2:11" ht="15.75">
      <c r="B72" s="289" t="s">
        <v>695</v>
      </c>
      <c r="C72" s="363">
        <f>IF(C73*0.1&lt;C71,"Exceed 10% Rule","")</f>
      </c>
      <c r="D72" s="363">
        <f>IF(D73*0.1&lt;D71,"Exceed 10% Rule","")</f>
      </c>
      <c r="E72" s="296">
        <f>IF(E73*0.1&lt;E71,"Exceed 10% Rule","")</f>
      </c>
      <c r="G72" s="666"/>
      <c r="H72" s="615"/>
      <c r="I72" s="615"/>
      <c r="J72" s="667"/>
      <c r="K72" s="582"/>
    </row>
    <row r="73" spans="2:11" ht="15.75">
      <c r="B73" s="81" t="s">
        <v>263</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232</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2">
        <f>inputOth!$B94</f>
        <v>0</v>
      </c>
      <c r="D75" s="722">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6" t="s">
        <v>692</v>
      </c>
      <c r="D76" s="847"/>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48" t="s">
        <v>693</v>
      </c>
      <c r="D77" s="849"/>
      <c r="E77" s="239">
        <f>E73+E76</f>
        <v>0</v>
      </c>
      <c r="G77" s="671"/>
      <c r="H77" s="672"/>
      <c r="I77" s="615"/>
      <c r="J77" s="667"/>
      <c r="K77" s="582"/>
    </row>
    <row r="78" spans="2:11" ht="15.75">
      <c r="B78" s="470" t="str">
        <f>CONCATENATE(C88,"     ",D88)</f>
        <v>     </v>
      </c>
      <c r="C78" s="473"/>
      <c r="D78" s="472" t="s">
        <v>265</v>
      </c>
      <c r="E78" s="162">
        <f>IF(E77-E61&gt;0,E77-E61,0)</f>
        <v>0</v>
      </c>
      <c r="G78" s="639">
        <f>ROUND(C73*0.05+C73,0)</f>
        <v>0</v>
      </c>
      <c r="H78" s="616" t="str">
        <f>CONCATENATE("Less ",E1-2," Expenditures + 5%")</f>
        <v>Less 2013 Expenditures + 5%</v>
      </c>
      <c r="I78" s="670"/>
      <c r="J78" s="667"/>
      <c r="K78" s="582"/>
    </row>
    <row r="79" spans="2:11" ht="15.75">
      <c r="B79" s="190"/>
      <c r="C79" s="471" t="s">
        <v>694</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0" t="str">
        <f>CONCATENATE("Amount of  ",$E$1-1," Ad Valorem Tax")</f>
        <v>Amount of  2014 Ad Valorem Tax</v>
      </c>
      <c r="D80" s="851"/>
      <c r="E80" s="162">
        <f>E78+E79</f>
        <v>0</v>
      </c>
      <c r="G80" s="582"/>
      <c r="H80" s="582"/>
      <c r="I80" s="582"/>
      <c r="J80" s="582"/>
      <c r="K80" s="582"/>
    </row>
    <row r="81" spans="2:11" ht="15.75">
      <c r="B81" s="190" t="s">
        <v>246</v>
      </c>
      <c r="C81" s="191"/>
      <c r="D81" s="48"/>
      <c r="E81" s="48"/>
      <c r="G81" s="865" t="s">
        <v>829</v>
      </c>
      <c r="H81" s="866"/>
      <c r="I81" s="866"/>
      <c r="J81" s="867"/>
      <c r="K81" s="582"/>
    </row>
    <row r="82" spans="2:11" ht="15.75">
      <c r="B82" s="95"/>
      <c r="G82" s="654"/>
      <c r="H82" s="633"/>
      <c r="I82" s="655"/>
      <c r="J82" s="656"/>
      <c r="K82" s="582"/>
    </row>
    <row r="83" spans="7:11" ht="15.75">
      <c r="G83" s="657" t="str">
        <f>summ!H29</f>
        <v> </v>
      </c>
      <c r="H83" s="633" t="str">
        <f>CONCATENATE("",E1," Fund Mill Rate")</f>
        <v>2015 Fund Mill Rate</v>
      </c>
      <c r="I83" s="655"/>
      <c r="J83" s="656"/>
      <c r="K83" s="582"/>
    </row>
    <row r="84" spans="7:11" ht="15.75">
      <c r="G84" s="658" t="str">
        <f>summ!E29</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17.049</v>
      </c>
      <c r="H89" s="633" t="str">
        <f>CONCATENATE("Total ",E1," Mill Rate")</f>
        <v>Total 2015 Mill Rate</v>
      </c>
      <c r="I89" s="655"/>
      <c r="J89" s="656"/>
    </row>
    <row r="90" spans="7:10" ht="15.75">
      <c r="G90" s="658">
        <f>summ!E36</f>
        <v>19.204</v>
      </c>
      <c r="H90" s="661" t="str">
        <f>CONCATENATE("Total ",E1-1," Mill Rate")</f>
        <v>Total 2014 Mill Rate</v>
      </c>
      <c r="I90" s="662"/>
      <c r="J90" s="663"/>
    </row>
    <row r="92" spans="7:9" ht="15.75">
      <c r="G92" s="762" t="s">
        <v>928</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5" sqref="E65"/>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75">
      <c r="A1" s="136" t="s">
        <v>122</v>
      </c>
      <c r="B1" s="48"/>
      <c r="C1" s="48"/>
      <c r="D1" s="48"/>
      <c r="E1" s="48"/>
    </row>
    <row r="2" spans="1:5" ht="15.75">
      <c r="A2" s="138" t="s">
        <v>202</v>
      </c>
      <c r="B2" s="48"/>
      <c r="C2" s="48"/>
      <c r="D2" s="48"/>
      <c r="E2" s="48"/>
    </row>
    <row r="3" spans="1:5" ht="15.75">
      <c r="A3" s="138" t="s">
        <v>200</v>
      </c>
      <c r="B3" s="48"/>
      <c r="C3" s="48"/>
      <c r="D3" s="713" t="s">
        <v>955</v>
      </c>
      <c r="E3" s="54"/>
    </row>
    <row r="4" spans="1:5" ht="15.75">
      <c r="A4" s="138" t="s">
        <v>201</v>
      </c>
      <c r="B4" s="48"/>
      <c r="C4" s="48"/>
      <c r="D4" s="713" t="s">
        <v>956</v>
      </c>
      <c r="E4" s="54"/>
    </row>
    <row r="5" spans="1:5" ht="15.75">
      <c r="A5" s="48"/>
      <c r="B5" s="48"/>
      <c r="C5" s="48"/>
      <c r="D5" s="48"/>
      <c r="E5" s="48"/>
    </row>
    <row r="6" spans="1:5" ht="15.75">
      <c r="A6" s="139" t="s">
        <v>123</v>
      </c>
      <c r="B6" s="48"/>
      <c r="C6" s="48"/>
      <c r="D6" s="160" t="s">
        <v>957</v>
      </c>
      <c r="E6" s="48"/>
    </row>
    <row r="7" spans="1:5" ht="15.75">
      <c r="A7" s="139" t="s">
        <v>124</v>
      </c>
      <c r="B7" s="48"/>
      <c r="C7" s="48"/>
      <c r="D7" s="160"/>
      <c r="E7" s="48"/>
    </row>
    <row r="8" spans="1:5" ht="15.75">
      <c r="A8" s="48"/>
      <c r="B8" s="48"/>
      <c r="C8" s="48"/>
      <c r="D8" s="48"/>
      <c r="E8" s="48"/>
    </row>
    <row r="9" spans="1:5" ht="15.75">
      <c r="A9" s="139" t="s">
        <v>74</v>
      </c>
      <c r="B9" s="48"/>
      <c r="C9" s="48"/>
      <c r="D9" s="140">
        <v>2015</v>
      </c>
      <c r="E9" s="48"/>
    </row>
    <row r="10" spans="1:5" ht="15.75">
      <c r="A10" s="48"/>
      <c r="B10" s="48"/>
      <c r="C10" s="48"/>
      <c r="D10" s="48"/>
      <c r="E10" s="48"/>
    </row>
    <row r="11" spans="1:8" ht="15.75">
      <c r="A11" s="141" t="s">
        <v>76</v>
      </c>
      <c r="B11" s="142"/>
      <c r="C11" s="142"/>
      <c r="D11" s="142"/>
      <c r="E11" s="142"/>
      <c r="F11" s="48"/>
      <c r="G11" s="785" t="s">
        <v>770</v>
      </c>
      <c r="H11" s="786"/>
    </row>
    <row r="12" spans="1:8" ht="15.75">
      <c r="A12" s="141" t="s">
        <v>140</v>
      </c>
      <c r="B12" s="142"/>
      <c r="C12" s="142"/>
      <c r="D12" s="142"/>
      <c r="E12" s="142"/>
      <c r="F12" s="48"/>
      <c r="G12" s="787"/>
      <c r="H12" s="786"/>
    </row>
    <row r="13" spans="1:8" ht="15.75">
      <c r="A13" s="48"/>
      <c r="B13" s="48"/>
      <c r="C13" s="48"/>
      <c r="D13" s="48"/>
      <c r="E13" s="48"/>
      <c r="F13" s="48"/>
      <c r="G13" s="787"/>
      <c r="H13" s="786"/>
    </row>
    <row r="14" spans="1:8" ht="15.75">
      <c r="A14" s="783" t="s">
        <v>84</v>
      </c>
      <c r="B14" s="784"/>
      <c r="C14" s="784"/>
      <c r="D14" s="784"/>
      <c r="E14" s="784"/>
      <c r="F14" s="48"/>
      <c r="G14" s="787"/>
      <c r="H14" s="786"/>
    </row>
    <row r="15" spans="1:8" ht="15.75">
      <c r="A15" s="138"/>
      <c r="B15" s="48"/>
      <c r="C15" s="48"/>
      <c r="D15" s="48"/>
      <c r="E15" s="48"/>
      <c r="F15" s="48"/>
      <c r="G15" s="787"/>
      <c r="H15" s="786"/>
    </row>
    <row r="16" spans="1:8" ht="15.75">
      <c r="A16" s="143" t="s">
        <v>75</v>
      </c>
      <c r="B16" s="144"/>
      <c r="C16" s="48"/>
      <c r="D16" s="51"/>
      <c r="E16" s="145"/>
      <c r="F16" s="48"/>
      <c r="G16" s="787"/>
      <c r="H16" s="786"/>
    </row>
    <row r="17" spans="1:8" ht="15.75">
      <c r="A17" s="146" t="str">
        <f>CONCATENATE("the ",D9-1," Budget, Certificate Page:")</f>
        <v>the 2014 Budget, Certificate Page:</v>
      </c>
      <c r="B17" s="147"/>
      <c r="C17" s="51"/>
      <c r="D17" s="48"/>
      <c r="E17" s="48"/>
      <c r="F17" s="48"/>
      <c r="G17" s="54"/>
      <c r="H17" s="171"/>
    </row>
    <row r="18" spans="1:8" ht="15.75">
      <c r="A18" s="146" t="s">
        <v>295</v>
      </c>
      <c r="B18" s="147"/>
      <c r="C18" s="51"/>
      <c r="D18" s="148">
        <f>D9-1</f>
        <v>2014</v>
      </c>
      <c r="E18" s="148">
        <f>D9-2</f>
        <v>2013</v>
      </c>
      <c r="G18" s="208" t="s">
        <v>771</v>
      </c>
      <c r="H18" s="71" t="s">
        <v>266</v>
      </c>
    </row>
    <row r="19" spans="1:8" ht="15.75">
      <c r="A19" s="55" t="s">
        <v>214</v>
      </c>
      <c r="B19" s="48"/>
      <c r="C19" s="149" t="s">
        <v>213</v>
      </c>
      <c r="D19" s="150" t="s">
        <v>325</v>
      </c>
      <c r="E19" s="150" t="s">
        <v>253</v>
      </c>
      <c r="G19" s="210" t="str">
        <f>CONCATENATE("",E18," Ad Valorem Tax")</f>
        <v>2013 Ad Valorem Tax</v>
      </c>
      <c r="H19" s="553">
        <v>0</v>
      </c>
    </row>
    <row r="20" spans="1:7" ht="15.75">
      <c r="A20" s="48"/>
      <c r="B20" s="87" t="s">
        <v>215</v>
      </c>
      <c r="C20" s="66" t="s">
        <v>216</v>
      </c>
      <c r="D20" s="151">
        <v>26200</v>
      </c>
      <c r="E20" s="151">
        <v>15055</v>
      </c>
      <c r="G20" s="239">
        <f>IF(H19&gt;0,ROUND(E20-(E20*H19),0),0)</f>
        <v>0</v>
      </c>
    </row>
    <row r="21" spans="1:7" ht="15.75">
      <c r="A21" s="48"/>
      <c r="B21" s="87" t="s">
        <v>286</v>
      </c>
      <c r="C21" s="66" t="s">
        <v>81</v>
      </c>
      <c r="D21" s="151"/>
      <c r="E21" s="151"/>
      <c r="G21" s="239">
        <f>IF(H19&gt;0,ROUND(E21-(E21*H19),0),0)</f>
        <v>0</v>
      </c>
    </row>
    <row r="22" spans="1:7" ht="15.75">
      <c r="A22" s="48"/>
      <c r="B22" s="87" t="s">
        <v>743</v>
      </c>
      <c r="C22" s="66" t="s">
        <v>744</v>
      </c>
      <c r="D22" s="151">
        <v>7500</v>
      </c>
      <c r="E22" s="151">
        <v>6393</v>
      </c>
      <c r="G22" s="239">
        <f>IF(H19&gt;0,ROUND(E22-(E22*H19),0),0)</f>
        <v>0</v>
      </c>
    </row>
    <row r="23" spans="1:7" ht="15.75">
      <c r="A23" s="48"/>
      <c r="B23" s="87" t="s">
        <v>217</v>
      </c>
      <c r="C23" s="152" t="s">
        <v>203</v>
      </c>
      <c r="D23" s="151">
        <v>81970</v>
      </c>
      <c r="E23" s="151">
        <v>42752</v>
      </c>
      <c r="G23" s="239">
        <f>IF(H19&gt;0,ROUND(E23-(E23*H19),0),0)</f>
        <v>0</v>
      </c>
    </row>
    <row r="24" spans="1:7" ht="15.75">
      <c r="A24" s="48"/>
      <c r="B24" s="87" t="s">
        <v>293</v>
      </c>
      <c r="C24" s="71" t="s">
        <v>294</v>
      </c>
      <c r="D24" s="151"/>
      <c r="E24" s="151"/>
      <c r="G24" s="239">
        <f>IF(H19&gt;0,ROUND(E24-(E24*H19),0),0)</f>
        <v>0</v>
      </c>
    </row>
    <row r="25" spans="1:7" ht="15.75">
      <c r="A25" s="48"/>
      <c r="B25" s="87" t="s">
        <v>155</v>
      </c>
      <c r="C25" s="71" t="s">
        <v>156</v>
      </c>
      <c r="D25" s="151"/>
      <c r="E25" s="151"/>
      <c r="G25" s="239">
        <f>IF(H19&gt;0,ROUND(E25-(E25*H19),0),0)</f>
        <v>0</v>
      </c>
    </row>
    <row r="26" spans="1:7" ht="15.75">
      <c r="A26" s="48"/>
      <c r="B26" s="186" t="s">
        <v>353</v>
      </c>
      <c r="C26" s="71" t="s">
        <v>354</v>
      </c>
      <c r="D26" s="151">
        <v>6388</v>
      </c>
      <c r="E26" s="151">
        <v>5496</v>
      </c>
      <c r="G26" s="239">
        <f>IF(H19&gt;0,ROUND(E26-(E26*H19),0),0)</f>
        <v>0</v>
      </c>
    </row>
    <row r="27" spans="1:7" ht="15.75">
      <c r="A27" s="48"/>
      <c r="B27" s="153"/>
      <c r="C27" s="454"/>
      <c r="D27" s="151"/>
      <c r="E27" s="151"/>
      <c r="G27" s="239">
        <f>IF(H19&gt;0,ROUND(E27-(E27*H19),0),0)</f>
        <v>0</v>
      </c>
    </row>
    <row r="28" spans="1:7" ht="15.75">
      <c r="A28" s="48"/>
      <c r="B28" s="153"/>
      <c r="C28" s="454"/>
      <c r="D28" s="151"/>
      <c r="E28" s="151"/>
      <c r="G28" s="239">
        <f>IF(H19&gt;0,ROUND(E28-(E28*H19),0),0)</f>
        <v>0</v>
      </c>
    </row>
    <row r="29" spans="1:7" ht="15.75">
      <c r="A29" s="48"/>
      <c r="B29" s="153"/>
      <c r="C29" s="454"/>
      <c r="D29" s="151"/>
      <c r="E29" s="151"/>
      <c r="G29" s="239">
        <f>IF(H19&gt;0,ROUND(E29-(E29*H19),0),0)</f>
        <v>0</v>
      </c>
    </row>
    <row r="30" spans="1:8" ht="15.75">
      <c r="A30" s="48"/>
      <c r="B30" s="153"/>
      <c r="C30" s="454"/>
      <c r="D30" s="151"/>
      <c r="E30" s="151"/>
      <c r="G30" s="239">
        <f>IF(H19&gt;0,ROUND(E30-(E30*H19),0),0)</f>
        <v>0</v>
      </c>
      <c r="H30" s="554"/>
    </row>
    <row r="31" spans="1:8" ht="15.75">
      <c r="A31" s="48"/>
      <c r="B31" s="153"/>
      <c r="C31" s="454"/>
      <c r="D31" s="151"/>
      <c r="E31" s="151"/>
      <c r="G31" s="239">
        <f>IF(H19&gt;0,ROUND(E31-(E31*H19),0),0)</f>
        <v>0</v>
      </c>
      <c r="H31" s="554"/>
    </row>
    <row r="32" spans="1:5" ht="15.75">
      <c r="A32" s="154" t="str">
        <f>CONCATENATE("Total Ad Valorem Tax for ",D9-1,"")</f>
        <v>Total Ad Valorem Tax for 2014</v>
      </c>
      <c r="B32" s="61"/>
      <c r="C32" s="155"/>
      <c r="D32" s="156"/>
      <c r="E32" s="157">
        <f>SUM(E20:E31)</f>
        <v>69696</v>
      </c>
    </row>
    <row r="33" spans="1:5" ht="15.75">
      <c r="A33" s="54"/>
      <c r="B33" s="54"/>
      <c r="C33" s="54"/>
      <c r="D33" s="158"/>
      <c r="E33" s="159"/>
    </row>
    <row r="34" spans="1:5" ht="15.75">
      <c r="A34" s="48" t="s">
        <v>70</v>
      </c>
      <c r="B34" s="48"/>
      <c r="C34" s="48"/>
      <c r="D34" s="48"/>
      <c r="E34" s="48"/>
    </row>
    <row r="35" spans="1:5" ht="15.75">
      <c r="A35" s="48"/>
      <c r="B35" s="160"/>
      <c r="C35" s="48"/>
      <c r="D35" s="161"/>
      <c r="E35" s="54"/>
    </row>
    <row r="36" spans="1:5" ht="15.75">
      <c r="A36" s="48"/>
      <c r="B36" s="160"/>
      <c r="C36" s="48"/>
      <c r="D36" s="161"/>
      <c r="E36" s="54"/>
    </row>
    <row r="37" spans="1:5" ht="15.75">
      <c r="A37" s="48"/>
      <c r="B37" s="160"/>
      <c r="C37" s="48"/>
      <c r="D37" s="161"/>
      <c r="E37" s="48"/>
    </row>
    <row r="38" spans="1:5" ht="15.75">
      <c r="A38" s="48"/>
      <c r="B38" s="160"/>
      <c r="C38" s="48"/>
      <c r="D38" s="161"/>
      <c r="E38" s="48"/>
    </row>
    <row r="39" spans="1:5" ht="15.75">
      <c r="A39" s="61" t="str">
        <f>CONCATENATE("Total Expenditures for ",D9-1,"")</f>
        <v>Total Expenditures for 2014</v>
      </c>
      <c r="B39" s="61"/>
      <c r="C39" s="61"/>
      <c r="D39" s="162">
        <f>SUM(D20:D31,D35:D38)</f>
        <v>122058</v>
      </c>
      <c r="E39" s="48"/>
    </row>
    <row r="40" spans="1:5" ht="15.75">
      <c r="A40" s="90" t="s">
        <v>320</v>
      </c>
      <c r="B40" s="54"/>
      <c r="C40" s="54"/>
      <c r="D40" s="48"/>
      <c r="E40" s="48"/>
    </row>
    <row r="41" spans="1:5" ht="15.75">
      <c r="A41" s="327">
        <v>1</v>
      </c>
      <c r="B41" s="160"/>
      <c r="C41" s="54"/>
      <c r="D41" s="48"/>
      <c r="E41" s="48"/>
    </row>
    <row r="42" spans="1:5" ht="15.75">
      <c r="A42" s="327">
        <v>2</v>
      </c>
      <c r="B42" s="160"/>
      <c r="C42" s="54"/>
      <c r="D42" s="48"/>
      <c r="E42" s="48"/>
    </row>
    <row r="43" spans="1:5" ht="15.75">
      <c r="A43" s="327">
        <v>3</v>
      </c>
      <c r="B43" s="160"/>
      <c r="C43" s="54"/>
      <c r="D43" s="48"/>
      <c r="E43" s="48"/>
    </row>
    <row r="44" spans="1:5" ht="15.75">
      <c r="A44" s="327">
        <v>4</v>
      </c>
      <c r="B44" s="160"/>
      <c r="C44" s="54"/>
      <c r="D44" s="48"/>
      <c r="E44" s="48"/>
    </row>
    <row r="45" spans="1:5" ht="15.75">
      <c r="A45" s="327">
        <v>5</v>
      </c>
      <c r="B45" s="160"/>
      <c r="C45" s="54"/>
      <c r="D45" s="48"/>
      <c r="E45" s="48"/>
    </row>
    <row r="46" spans="1:5" ht="15.75">
      <c r="A46" s="48"/>
      <c r="B46" s="48"/>
      <c r="C46" s="48"/>
      <c r="D46" s="48"/>
      <c r="E46" s="48"/>
    </row>
    <row r="47" spans="1:5" ht="15.75" customHeight="1">
      <c r="A47" s="143" t="s">
        <v>75</v>
      </c>
      <c r="B47" s="144"/>
      <c r="C47" s="48"/>
      <c r="D47" s="781" t="str">
        <f>CONCATENATE("",D9-3," Tax Rate         (",D9-2," Column)")</f>
        <v>2012 Tax Rate         (2013 Column)</v>
      </c>
      <c r="E47" s="48"/>
    </row>
    <row r="48" spans="1:5" ht="15.75">
      <c r="A48" s="146" t="str">
        <f>CONCATENATE("the ",D9-1," Budget, Budget Summary Page:")</f>
        <v>the 2014 Budget, Budget Summary Page:</v>
      </c>
      <c r="B48" s="163"/>
      <c r="C48" s="48"/>
      <c r="D48" s="782"/>
      <c r="E48" s="48"/>
    </row>
    <row r="49" spans="1:5" ht="15.75">
      <c r="A49" s="48"/>
      <c r="B49" s="73" t="str">
        <f>B20</f>
        <v>General</v>
      </c>
      <c r="C49" s="48"/>
      <c r="D49" s="164">
        <v>2.085</v>
      </c>
      <c r="E49" s="48"/>
    </row>
    <row r="50" spans="1:5" ht="15.75">
      <c r="A50" s="48"/>
      <c r="B50" s="73" t="str">
        <f>B21</f>
        <v>Debt Service</v>
      </c>
      <c r="C50" s="48"/>
      <c r="D50" s="165"/>
      <c r="E50" s="48"/>
    </row>
    <row r="51" spans="1:5" ht="15.75">
      <c r="A51" s="48"/>
      <c r="B51" s="73" t="str">
        <f>B22</f>
        <v>Library</v>
      </c>
      <c r="C51" s="48"/>
      <c r="D51" s="165">
        <v>2.147</v>
      </c>
      <c r="E51" s="48"/>
    </row>
    <row r="52" spans="1:5" ht="15.75">
      <c r="A52" s="48"/>
      <c r="B52" s="73" t="str">
        <f aca="true" t="shared" si="0" ref="B52:B59">B23</f>
        <v>Road</v>
      </c>
      <c r="C52" s="48"/>
      <c r="D52" s="165">
        <v>14.008</v>
      </c>
      <c r="E52" s="48"/>
    </row>
    <row r="53" spans="1:5" ht="15.75">
      <c r="A53" s="48"/>
      <c r="B53" s="87" t="str">
        <f t="shared" si="0"/>
        <v>Special Road</v>
      </c>
      <c r="C53" s="48"/>
      <c r="D53" s="165"/>
      <c r="E53" s="48"/>
    </row>
    <row r="54" spans="1:5" ht="15.75">
      <c r="A54" s="48"/>
      <c r="B54" s="87" t="str">
        <f t="shared" si="0"/>
        <v>Noxious Weed</v>
      </c>
      <c r="C54" s="48"/>
      <c r="D54" s="165"/>
      <c r="E54" s="48"/>
    </row>
    <row r="55" spans="1:5" ht="15.75">
      <c r="A55" s="48"/>
      <c r="B55" s="87" t="str">
        <f t="shared" si="0"/>
        <v>Fire Protection</v>
      </c>
      <c r="C55" s="48"/>
      <c r="D55" s="165">
        <v>1.739</v>
      </c>
      <c r="E55" s="48"/>
    </row>
    <row r="56" spans="1:5" ht="15.75">
      <c r="A56" s="48"/>
      <c r="B56" s="87">
        <f t="shared" si="0"/>
        <v>0</v>
      </c>
      <c r="C56" s="48"/>
      <c r="D56" s="165"/>
      <c r="E56" s="48"/>
    </row>
    <row r="57" spans="1:5" ht="15.75">
      <c r="A57" s="48"/>
      <c r="B57" s="87">
        <f t="shared" si="0"/>
        <v>0</v>
      </c>
      <c r="C57" s="48"/>
      <c r="D57" s="165"/>
      <c r="E57" s="48"/>
    </row>
    <row r="58" spans="1:5" ht="15.75">
      <c r="A58" s="48"/>
      <c r="B58" s="87">
        <f t="shared" si="0"/>
        <v>0</v>
      </c>
      <c r="C58" s="48"/>
      <c r="D58" s="165"/>
      <c r="E58" s="48"/>
    </row>
    <row r="59" spans="1:5" ht="15.75">
      <c r="A59" s="48"/>
      <c r="B59" s="87">
        <f t="shared" si="0"/>
        <v>0</v>
      </c>
      <c r="C59" s="48"/>
      <c r="D59" s="165"/>
      <c r="E59" s="48"/>
    </row>
    <row r="60" spans="1:5" ht="15.75">
      <c r="A60" s="48"/>
      <c r="B60" s="87">
        <f>B31</f>
        <v>0</v>
      </c>
      <c r="C60" s="48"/>
      <c r="D60" s="165"/>
      <c r="E60" s="48"/>
    </row>
    <row r="61" spans="1:5" ht="16.5" thickBot="1">
      <c r="A61" s="60" t="str">
        <f>CONCATENATE("Total ",D9-3," Tax Levy Rate")</f>
        <v>Total 2012 Tax Levy Rate</v>
      </c>
      <c r="B61" s="166"/>
      <c r="C61" s="72"/>
      <c r="D61" s="167">
        <f>SUM(D49:D60)</f>
        <v>19.979</v>
      </c>
      <c r="E61" s="48"/>
    </row>
    <row r="62" spans="1:5" ht="16.5" thickTop="1">
      <c r="A62" s="48"/>
      <c r="B62" s="48"/>
      <c r="C62" s="48"/>
      <c r="D62" s="48"/>
      <c r="E62" s="48"/>
    </row>
    <row r="63" spans="1:5" ht="15.75">
      <c r="A63" s="168" t="str">
        <f>CONCATENATE("Total Tax Levy (",D9-2," budget column)")</f>
        <v>Total Tax Levy (2013 budget column)</v>
      </c>
      <c r="B63" s="144"/>
      <c r="C63" s="54"/>
      <c r="D63" s="54"/>
      <c r="E63" s="262">
        <v>68847</v>
      </c>
    </row>
    <row r="64" spans="1:5" ht="15.75">
      <c r="A64" s="168" t="str">
        <f>CONCATENATE("Assessed Valuation (",D9-2," budget column):")</f>
        <v>Assessed Valuation (2013 budget column):</v>
      </c>
      <c r="B64" s="144"/>
      <c r="C64" s="48"/>
      <c r="D64" s="48"/>
      <c r="E64" s="714">
        <v>6944559</v>
      </c>
    </row>
    <row r="65" spans="1:5" ht="15.75">
      <c r="A65" s="48"/>
      <c r="B65" s="48"/>
      <c r="C65" s="48"/>
      <c r="D65" s="48"/>
      <c r="E65" s="169"/>
    </row>
    <row r="66" spans="1:5" ht="15.75">
      <c r="A66" s="170" t="s">
        <v>141</v>
      </c>
      <c r="B66" s="170"/>
      <c r="C66" s="171"/>
      <c r="D66" s="172">
        <f>D9-3</f>
        <v>2012</v>
      </c>
      <c r="E66" s="172">
        <f>D9-2</f>
        <v>2013</v>
      </c>
    </row>
    <row r="67" spans="1:5" ht="15.75">
      <c r="A67" s="170" t="s">
        <v>90</v>
      </c>
      <c r="B67" s="170"/>
      <c r="C67" s="173"/>
      <c r="D67" s="161"/>
      <c r="E67" s="161"/>
    </row>
    <row r="68" spans="1:5" ht="15.75">
      <c r="A68" s="174" t="s">
        <v>137</v>
      </c>
      <c r="B68" s="174"/>
      <c r="C68" s="175"/>
      <c r="D68" s="161"/>
      <c r="E68" s="161"/>
    </row>
    <row r="69" spans="1:5" ht="15.75">
      <c r="A69" s="174" t="s">
        <v>91</v>
      </c>
      <c r="B69" s="174"/>
      <c r="C69" s="175"/>
      <c r="D69" s="161"/>
      <c r="E69" s="161"/>
    </row>
    <row r="70" spans="1:5" ht="15.75">
      <c r="A70" s="174"/>
      <c r="B70" s="174"/>
      <c r="C70" s="176"/>
      <c r="D70" s="161"/>
      <c r="E70" s="161"/>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7"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7"/>
    </row>
    <row r="92" spans="1:7" s="95" customFormat="1" ht="15.75">
      <c r="A92" s="91"/>
      <c r="B92" s="91"/>
      <c r="C92" s="91"/>
      <c r="D92" s="91"/>
      <c r="E92" s="91"/>
      <c r="G92" s="137"/>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Greeley Township</v>
      </c>
      <c r="C1" s="48"/>
      <c r="D1" s="48"/>
      <c r="E1" s="204">
        <f>inputPrYr!D9</f>
        <v>2015</v>
      </c>
    </row>
    <row r="2" spans="2:5" ht="15.75">
      <c r="B2" s="48"/>
      <c r="C2" s="48"/>
      <c r="D2" s="48"/>
      <c r="E2" s="190"/>
    </row>
    <row r="3" spans="2:5" ht="15.75">
      <c r="B3" s="139" t="s">
        <v>71</v>
      </c>
      <c r="C3" s="53"/>
      <c r="D3" s="53"/>
      <c r="E3" s="53"/>
    </row>
    <row r="4" spans="2:5" ht="15.75">
      <c r="B4" s="55" t="s">
        <v>247</v>
      </c>
      <c r="C4" s="184" t="s">
        <v>248</v>
      </c>
      <c r="D4" s="57" t="s">
        <v>249</v>
      </c>
      <c r="E4" s="57" t="s">
        <v>250</v>
      </c>
    </row>
    <row r="5" spans="2:5" ht="15.75">
      <c r="B5" s="455">
        <f>inputPrYr!B35</f>
        <v>0</v>
      </c>
      <c r="C5" s="62" t="str">
        <f>gen!C5</f>
        <v>Actual for 2013</v>
      </c>
      <c r="D5" s="62" t="str">
        <f>gen!D5</f>
        <v>Estimate for 2014</v>
      </c>
      <c r="E5" s="62" t="str">
        <f>gen!E5</f>
        <v>Year for 2015</v>
      </c>
    </row>
    <row r="6" spans="2:5" ht="15.75">
      <c r="B6" s="308" t="s">
        <v>72</v>
      </c>
      <c r="C6" s="151"/>
      <c r="D6" s="239">
        <f>C29</f>
        <v>0</v>
      </c>
      <c r="E6" s="239">
        <f>D29</f>
        <v>0</v>
      </c>
    </row>
    <row r="7" spans="2:5" s="137" customFormat="1" ht="15.75">
      <c r="B7" s="309" t="s">
        <v>62</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259</v>
      </c>
      <c r="C12" s="151"/>
      <c r="D12" s="151"/>
      <c r="E12" s="151"/>
    </row>
    <row r="13" spans="2:5" ht="15.75">
      <c r="B13" s="292" t="s">
        <v>205</v>
      </c>
      <c r="C13" s="151"/>
      <c r="D13" s="287"/>
      <c r="E13" s="287"/>
    </row>
    <row r="14" spans="2:5" ht="15.75">
      <c r="B14" s="292" t="s">
        <v>206</v>
      </c>
      <c r="C14" s="296">
        <f>IF(C15*0.1&lt;C13,"Exceed 10% Rule","")</f>
      </c>
      <c r="D14" s="293">
        <f>IF(D15*0.1&lt;D13,"Exceed 10% Rule","")</f>
      </c>
      <c r="E14" s="293">
        <f>IF(E15*0.1&lt;E13,"Exceed 10% Rule","")</f>
      </c>
    </row>
    <row r="15" spans="2:5" ht="15.75">
      <c r="B15" s="81" t="s">
        <v>260</v>
      </c>
      <c r="C15" s="295">
        <f>SUM(C8:C13)</f>
        <v>0</v>
      </c>
      <c r="D15" s="295">
        <f>SUM(D8:D13)</f>
        <v>0</v>
      </c>
      <c r="E15" s="295">
        <f>SUM(E8:E13)</f>
        <v>0</v>
      </c>
    </row>
    <row r="16" spans="2:5" ht="15.75">
      <c r="B16" s="81" t="s">
        <v>261</v>
      </c>
      <c r="C16" s="304">
        <f>C6+C15</f>
        <v>0</v>
      </c>
      <c r="D16" s="304">
        <f>D6+D15</f>
        <v>0</v>
      </c>
      <c r="E16" s="304">
        <f>E6+E15</f>
        <v>0</v>
      </c>
    </row>
    <row r="17" spans="2:5" ht="15.75">
      <c r="B17" s="63" t="s">
        <v>262</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205</v>
      </c>
      <c r="C26" s="151"/>
      <c r="D26" s="287"/>
      <c r="E26" s="287"/>
    </row>
    <row r="27" spans="2:5" ht="15.75">
      <c r="B27" s="289" t="s">
        <v>695</v>
      </c>
      <c r="C27" s="296">
        <f>IF(C28*0.1&lt;C26,"Exceed 10% Rule","")</f>
      </c>
      <c r="D27" s="293">
        <f>IF(D28*0.1&lt;D26,"Exceed 10% Rule","")</f>
      </c>
      <c r="E27" s="293">
        <f>IF(E28*0.1&lt;E26,"Exceed 10% Rule","")</f>
      </c>
    </row>
    <row r="28" spans="2:5" ht="15.75">
      <c r="B28" s="81" t="s">
        <v>263</v>
      </c>
      <c r="C28" s="295">
        <f>SUM(C18:C26)</f>
        <v>0</v>
      </c>
      <c r="D28" s="295">
        <f>SUM(D18:D26)</f>
        <v>0</v>
      </c>
      <c r="E28" s="295">
        <f>SUM(E18:E26)</f>
        <v>0</v>
      </c>
    </row>
    <row r="29" spans="2:5" ht="15.75">
      <c r="B29" s="63" t="s">
        <v>61</v>
      </c>
      <c r="C29" s="162">
        <f>C16-C28</f>
        <v>0</v>
      </c>
      <c r="D29" s="162">
        <f>D16-D28</f>
        <v>0</v>
      </c>
      <c r="E29" s="162">
        <f>E16-E28</f>
        <v>0</v>
      </c>
    </row>
    <row r="30" spans="2:5" ht="15.75">
      <c r="B30" s="98" t="str">
        <f>CONCATENATE("",E1-2,"/",E1-1,"/",E1," Budget Authority Amount:")</f>
        <v>2013/2014/2015 Budget Authority Amount:</v>
      </c>
      <c r="C30" s="722">
        <f>inputOth!B95</f>
        <v>0</v>
      </c>
      <c r="D30" s="722">
        <f>inputPrYr!D35</f>
        <v>0</v>
      </c>
      <c r="E30" s="726">
        <f>E28</f>
        <v>0</v>
      </c>
    </row>
    <row r="31" spans="2:5" ht="15.75">
      <c r="B31" s="99"/>
      <c r="C31" s="298">
        <f>IF(C28&gt;C30,"See Tab A","")</f>
      </c>
      <c r="D31" s="298">
        <f>IF(D28&gt;D30,"See Tab C","")</f>
      </c>
      <c r="E31" s="727">
        <f>IF(E29&lt;0,"See Tab E","")</f>
      </c>
    </row>
    <row r="32" spans="2:5" ht="15.75">
      <c r="B32" s="99"/>
      <c r="C32" s="298">
        <f>IF(C29&lt;0,"See Tab B","")</f>
      </c>
      <c r="D32" s="169"/>
      <c r="E32" s="169"/>
    </row>
    <row r="33" spans="2:5" ht="15.75">
      <c r="B33" s="48"/>
      <c r="C33" s="169"/>
      <c r="D33" s="169"/>
      <c r="E33" s="169"/>
    </row>
    <row r="34" spans="2:5" ht="15.75">
      <c r="B34" s="55" t="s">
        <v>247</v>
      </c>
      <c r="C34" s="53"/>
      <c r="D34" s="53"/>
      <c r="E34" s="53"/>
    </row>
    <row r="35" spans="2:5" ht="15.75">
      <c r="B35" s="48"/>
      <c r="C35" s="184" t="s">
        <v>248</v>
      </c>
      <c r="D35" s="57" t="s">
        <v>249</v>
      </c>
      <c r="E35" s="57" t="s">
        <v>250</v>
      </c>
    </row>
    <row r="36" spans="2:5" ht="15.75">
      <c r="B36" s="456">
        <f>inputPrYr!B36</f>
        <v>0</v>
      </c>
      <c r="C36" s="62" t="str">
        <f>C5</f>
        <v>Actual for 2013</v>
      </c>
      <c r="D36" s="62" t="str">
        <f>D5</f>
        <v>Estimate for 2014</v>
      </c>
      <c r="E36" s="62" t="str">
        <f>E5</f>
        <v>Year for 2015</v>
      </c>
    </row>
    <row r="37" spans="2:5" ht="15.75">
      <c r="B37" s="308" t="s">
        <v>72</v>
      </c>
      <c r="C37" s="151"/>
      <c r="D37" s="239">
        <f>C60</f>
        <v>0</v>
      </c>
      <c r="E37" s="239">
        <f>D60</f>
        <v>0</v>
      </c>
    </row>
    <row r="38" spans="2:5" s="137" customFormat="1" ht="15.75">
      <c r="B38" s="308" t="s">
        <v>62</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259</v>
      </c>
      <c r="C43" s="151"/>
      <c r="D43" s="151"/>
      <c r="E43" s="151"/>
    </row>
    <row r="44" spans="2:5" ht="15.75">
      <c r="B44" s="292" t="s">
        <v>205</v>
      </c>
      <c r="C44" s="151"/>
      <c r="D44" s="287"/>
      <c r="E44" s="287"/>
    </row>
    <row r="45" spans="2:5" ht="15.75">
      <c r="B45" s="292" t="s">
        <v>206</v>
      </c>
      <c r="C45" s="296">
        <f>IF(C46*0.1&lt;C44,"Exceed 10% Rule","")</f>
      </c>
      <c r="D45" s="293">
        <f>IF(D46*0.1&lt;D44,"Exceed 10% Rule","")</f>
      </c>
      <c r="E45" s="293">
        <f>IF(E46*0.1&lt;E44,"Exceed 10% Rule","")</f>
      </c>
    </row>
    <row r="46" spans="2:5" ht="15.75">
      <c r="B46" s="81" t="s">
        <v>260</v>
      </c>
      <c r="C46" s="295">
        <f>SUM(C39:C44)</f>
        <v>0</v>
      </c>
      <c r="D46" s="295">
        <f>SUM(D39:D44)</f>
        <v>0</v>
      </c>
      <c r="E46" s="295">
        <f>SUM(E39:E44)</f>
        <v>0</v>
      </c>
    </row>
    <row r="47" spans="2:5" ht="15.75">
      <c r="B47" s="81" t="s">
        <v>261</v>
      </c>
      <c r="C47" s="295">
        <f>C37+C46</f>
        <v>0</v>
      </c>
      <c r="D47" s="295">
        <f>D37+D46</f>
        <v>0</v>
      </c>
      <c r="E47" s="295">
        <f>E37+E46</f>
        <v>0</v>
      </c>
    </row>
    <row r="48" spans="2:5" ht="15.75">
      <c r="B48" s="63" t="s">
        <v>262</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205</v>
      </c>
      <c r="C57" s="151"/>
      <c r="D57" s="287"/>
      <c r="E57" s="287"/>
    </row>
    <row r="58" spans="2:5" ht="15.75">
      <c r="B58" s="289" t="s">
        <v>695</v>
      </c>
      <c r="C58" s="296">
        <f>IF(C59*0.1&lt;C57,"Exceed 10% Rule","")</f>
      </c>
      <c r="D58" s="293">
        <f>IF(D59*0.1&lt;D57,"Exceed 10% Rule","")</f>
      </c>
      <c r="E58" s="293">
        <f>IF(E59*0.1&lt;E57,"Exceed 10% Rule","")</f>
      </c>
    </row>
    <row r="59" spans="2:5" ht="15.75">
      <c r="B59" s="81" t="s">
        <v>263</v>
      </c>
      <c r="C59" s="295">
        <f>SUM(C49:C57)</f>
        <v>0</v>
      </c>
      <c r="D59" s="295">
        <f>SUM(D49:D57)</f>
        <v>0</v>
      </c>
      <c r="E59" s="295">
        <f>SUM(E49:E57)</f>
        <v>0</v>
      </c>
    </row>
    <row r="60" spans="2:5" ht="15.75">
      <c r="B60" s="63" t="s">
        <v>61</v>
      </c>
      <c r="C60" s="162">
        <f>C47-C59</f>
        <v>0</v>
      </c>
      <c r="D60" s="162">
        <f>D47-D59</f>
        <v>0</v>
      </c>
      <c r="E60" s="162">
        <f>E47-E59</f>
        <v>0</v>
      </c>
    </row>
    <row r="61" spans="2:5" ht="15.75">
      <c r="B61" s="98" t="str">
        <f>CONCATENATE("",E1-2,"/",E1-1,"/",E1," Budget Authority Amount:")</f>
        <v>2013/2014/2015 Budget Authority Amount:</v>
      </c>
      <c r="C61" s="722">
        <f>inputOth!B96</f>
        <v>0</v>
      </c>
      <c r="D61" s="722">
        <f>inputPrYr!D36</f>
        <v>0</v>
      </c>
      <c r="E61" s="726">
        <f>E59</f>
        <v>0</v>
      </c>
    </row>
    <row r="62" spans="2:5" ht="15.75">
      <c r="B62" s="99"/>
      <c r="C62" s="298">
        <f>IF(C59&gt;C61,"See Tab A","")</f>
      </c>
      <c r="D62" s="298">
        <f>IF(D59&gt;D61,"See Tab C","")</f>
      </c>
      <c r="E62" s="728">
        <f>IF(E60&lt;0,"See Tab E","")</f>
      </c>
    </row>
    <row r="63" spans="2:5" ht="15.75">
      <c r="B63" s="99"/>
      <c r="C63" s="298">
        <f>IF(C60&lt;0,"See Tab B","")</f>
      </c>
      <c r="D63" s="328">
        <f>IF(D60&lt;0,"See Tab D","")</f>
      </c>
      <c r="E63" s="48"/>
    </row>
    <row r="64" spans="2:5" ht="15.75">
      <c r="B64" s="48"/>
      <c r="C64" s="48"/>
      <c r="D64" s="48"/>
      <c r="E64" s="48"/>
    </row>
    <row r="65" spans="2:5" ht="15.75">
      <c r="B65" s="190" t="s">
        <v>246</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Greeley Township</v>
      </c>
      <c r="C1" s="48"/>
      <c r="D1" s="48"/>
      <c r="E1" s="204">
        <f>inputPrYr!D9</f>
        <v>2015</v>
      </c>
    </row>
    <row r="2" spans="2:5" ht="15.75">
      <c r="B2" s="48"/>
      <c r="C2" s="48"/>
      <c r="D2" s="48"/>
      <c r="E2" s="190"/>
    </row>
    <row r="3" spans="2:5" ht="15.75">
      <c r="B3" s="139" t="s">
        <v>71</v>
      </c>
      <c r="C3" s="53"/>
      <c r="D3" s="53"/>
      <c r="E3" s="53"/>
    </row>
    <row r="4" spans="2:5" ht="15.75">
      <c r="B4" s="55" t="s">
        <v>247</v>
      </c>
      <c r="C4" s="184" t="s">
        <v>248</v>
      </c>
      <c r="D4" s="57" t="s">
        <v>249</v>
      </c>
      <c r="E4" s="57" t="s">
        <v>250</v>
      </c>
    </row>
    <row r="5" spans="2:5" ht="15.75">
      <c r="B5" s="158">
        <f>inputPrYr!B37</f>
        <v>0</v>
      </c>
      <c r="C5" s="62" t="str">
        <f>gen!C5</f>
        <v>Actual for 2013</v>
      </c>
      <c r="D5" s="62" t="str">
        <f>gen!D5</f>
        <v>Estimate for 2014</v>
      </c>
      <c r="E5" s="62" t="str">
        <f>gen!E5</f>
        <v>Year for 2015</v>
      </c>
    </row>
    <row r="6" spans="2:5" ht="15.75">
      <c r="B6" s="308" t="s">
        <v>72</v>
      </c>
      <c r="C6" s="151"/>
      <c r="D6" s="239">
        <f>C29</f>
        <v>0</v>
      </c>
      <c r="E6" s="239">
        <f>D29</f>
        <v>0</v>
      </c>
    </row>
    <row r="7" spans="2:5" s="137" customFormat="1" ht="15.75">
      <c r="B7" s="309" t="s">
        <v>62</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259</v>
      </c>
      <c r="C12" s="151"/>
      <c r="D12" s="151"/>
      <c r="E12" s="151"/>
    </row>
    <row r="13" spans="2:5" ht="15.75">
      <c r="B13" s="292" t="s">
        <v>205</v>
      </c>
      <c r="C13" s="151"/>
      <c r="D13" s="287"/>
      <c r="E13" s="287"/>
    </row>
    <row r="14" spans="2:5" ht="15.75">
      <c r="B14" s="292" t="s">
        <v>206</v>
      </c>
      <c r="C14" s="296">
        <f>IF(C15*0.1&lt;C13,"Exceed 10% Rule","")</f>
      </c>
      <c r="D14" s="293">
        <f>IF(D15*0.1&lt;D13,"Exceed 10% Rule","")</f>
      </c>
      <c r="E14" s="293">
        <f>IF(E15*0.1&lt;E13,"Exceed 10% Rule","")</f>
      </c>
    </row>
    <row r="15" spans="2:5" ht="15.75">
      <c r="B15" s="81" t="s">
        <v>260</v>
      </c>
      <c r="C15" s="295">
        <f>SUM(C8:C13)</f>
        <v>0</v>
      </c>
      <c r="D15" s="295">
        <f>SUM(D8:D13)</f>
        <v>0</v>
      </c>
      <c r="E15" s="295">
        <f>SUM(E8:E13)</f>
        <v>0</v>
      </c>
    </row>
    <row r="16" spans="2:5" ht="15.75">
      <c r="B16" s="81" t="s">
        <v>261</v>
      </c>
      <c r="C16" s="295">
        <f>C6+C15</f>
        <v>0</v>
      </c>
      <c r="D16" s="295">
        <f>D6+D15</f>
        <v>0</v>
      </c>
      <c r="E16" s="295">
        <f>E6+E15</f>
        <v>0</v>
      </c>
    </row>
    <row r="17" spans="2:5" ht="15.75">
      <c r="B17" s="63" t="s">
        <v>262</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205</v>
      </c>
      <c r="C26" s="151"/>
      <c r="D26" s="287"/>
      <c r="E26" s="287"/>
    </row>
    <row r="27" spans="2:5" ht="15.75">
      <c r="B27" s="289" t="s">
        <v>695</v>
      </c>
      <c r="C27" s="296">
        <f>IF(C28*0.1&lt;C26,"Exceed 10% Rule","")</f>
      </c>
      <c r="D27" s="293">
        <f>IF(D28*0.1&lt;D26,"Exceed 10% Rule","")</f>
      </c>
      <c r="E27" s="293">
        <f>IF(E28*0.1&lt;E26,"Exceed 10% Rule","")</f>
      </c>
    </row>
    <row r="28" spans="2:5" ht="15.75">
      <c r="B28" s="81" t="s">
        <v>263</v>
      </c>
      <c r="C28" s="295">
        <f>SUM(C18:C26)</f>
        <v>0</v>
      </c>
      <c r="D28" s="295">
        <f>SUM(D18:D26)</f>
        <v>0</v>
      </c>
      <c r="E28" s="295">
        <f>SUM(E18:E26)</f>
        <v>0</v>
      </c>
    </row>
    <row r="29" spans="2:5" ht="15.75">
      <c r="B29" s="63" t="s">
        <v>61</v>
      </c>
      <c r="C29" s="162">
        <f>C16-C28</f>
        <v>0</v>
      </c>
      <c r="D29" s="162">
        <f>D16-D28</f>
        <v>0</v>
      </c>
      <c r="E29" s="162">
        <f>E16-E28</f>
        <v>0</v>
      </c>
    </row>
    <row r="30" spans="2:5" ht="15.75">
      <c r="B30" s="98" t="str">
        <f>CONCATENATE("",E1-2,"/",E1-1,"/",E1," Budget Authority Amount:")</f>
        <v>2013/2014/2015 Budget Authority Amount:</v>
      </c>
      <c r="C30" s="722">
        <f>inputOth!B97</f>
        <v>0</v>
      </c>
      <c r="D30" s="722">
        <f>inputPrYr!D37</f>
        <v>0</v>
      </c>
      <c r="E30" s="726">
        <f>E28</f>
        <v>0</v>
      </c>
    </row>
    <row r="31" spans="2:5" ht="15.75">
      <c r="B31" s="99"/>
      <c r="C31" s="298">
        <f>IF(C28&gt;C30,"See Tab A","")</f>
      </c>
      <c r="D31" s="298">
        <f>IF(D28&gt;D30,"See Tab C","")</f>
      </c>
      <c r="E31" s="727">
        <f>IF(E29&lt;0,"See Tab E","")</f>
      </c>
    </row>
    <row r="32" spans="2:5" ht="15.75">
      <c r="B32" s="99"/>
      <c r="C32" s="298">
        <f>IF(C29&lt;0,"See Tab B","")</f>
      </c>
      <c r="D32" s="169"/>
      <c r="E32" s="169"/>
    </row>
    <row r="33" spans="2:5" ht="15.75">
      <c r="B33" s="48"/>
      <c r="C33" s="169"/>
      <c r="D33" s="169"/>
      <c r="E33" s="169"/>
    </row>
    <row r="34" spans="2:5" ht="15.75">
      <c r="B34" s="55" t="s">
        <v>247</v>
      </c>
      <c r="C34" s="53"/>
      <c r="D34" s="53"/>
      <c r="E34" s="53"/>
    </row>
    <row r="35" spans="2:5" ht="15.75">
      <c r="B35" s="48"/>
      <c r="C35" s="184" t="s">
        <v>248</v>
      </c>
      <c r="D35" s="57" t="s">
        <v>249</v>
      </c>
      <c r="E35" s="57" t="s">
        <v>250</v>
      </c>
    </row>
    <row r="36" spans="2:5" ht="15.75">
      <c r="B36" s="219">
        <f>inputPrYr!B38</f>
        <v>0</v>
      </c>
      <c r="C36" s="62" t="str">
        <f>C5</f>
        <v>Actual for 2013</v>
      </c>
      <c r="D36" s="62" t="str">
        <f>D5</f>
        <v>Estimate for 2014</v>
      </c>
      <c r="E36" s="62" t="str">
        <f>E5</f>
        <v>Year for 2015</v>
      </c>
    </row>
    <row r="37" spans="2:5" ht="15.75">
      <c r="B37" s="308" t="s">
        <v>72</v>
      </c>
      <c r="C37" s="151"/>
      <c r="D37" s="239">
        <f>C60</f>
        <v>0</v>
      </c>
      <c r="E37" s="239">
        <f>D60</f>
        <v>0</v>
      </c>
    </row>
    <row r="38" spans="2:5" s="137" customFormat="1" ht="15.75">
      <c r="B38" s="308" t="s">
        <v>62</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259</v>
      </c>
      <c r="C43" s="151"/>
      <c r="D43" s="151"/>
      <c r="E43" s="151"/>
    </row>
    <row r="44" spans="2:5" ht="15.75">
      <c r="B44" s="292" t="s">
        <v>205</v>
      </c>
      <c r="C44" s="151"/>
      <c r="D44" s="287"/>
      <c r="E44" s="287"/>
    </row>
    <row r="45" spans="2:5" ht="15.75">
      <c r="B45" s="292" t="s">
        <v>206</v>
      </c>
      <c r="C45" s="296">
        <f>IF(C46*0.1&lt;C44,"Exceed 10% Rule","")</f>
      </c>
      <c r="D45" s="293">
        <f>IF(D46*0.1&lt;D44,"Exceed 10% Rule","")</f>
      </c>
      <c r="E45" s="293">
        <f>IF(E46*0.1&lt;E44,"Exceed 10% Rule","")</f>
      </c>
    </row>
    <row r="46" spans="2:5" ht="15.75">
      <c r="B46" s="81" t="s">
        <v>260</v>
      </c>
      <c r="C46" s="295">
        <f>SUM(C39:C44)</f>
        <v>0</v>
      </c>
      <c r="D46" s="295">
        <f>SUM(D39:D44)</f>
        <v>0</v>
      </c>
      <c r="E46" s="295">
        <f>SUM(E39:E44)</f>
        <v>0</v>
      </c>
    </row>
    <row r="47" spans="2:5" ht="15.75">
      <c r="B47" s="81" t="s">
        <v>261</v>
      </c>
      <c r="C47" s="295">
        <f>C37+C46</f>
        <v>0</v>
      </c>
      <c r="D47" s="295">
        <f>D37+D46</f>
        <v>0</v>
      </c>
      <c r="E47" s="295">
        <f>E37+E46</f>
        <v>0</v>
      </c>
    </row>
    <row r="48" spans="2:5" ht="15.75">
      <c r="B48" s="63" t="s">
        <v>262</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205</v>
      </c>
      <c r="C57" s="151"/>
      <c r="D57" s="287"/>
      <c r="E57" s="287"/>
    </row>
    <row r="58" spans="2:5" ht="15.75">
      <c r="B58" s="289" t="s">
        <v>695</v>
      </c>
      <c r="C58" s="296">
        <f>IF(C59*0.1&lt;C57,"Exceed 10% Rule","")</f>
      </c>
      <c r="D58" s="293">
        <f>IF(D59*0.1&lt;D57,"Exceed 10% Rule","")</f>
      </c>
      <c r="E58" s="293">
        <f>IF(E59*0.1&lt;E57,"Exceed 10% Rule","")</f>
      </c>
    </row>
    <row r="59" spans="2:5" ht="15.75">
      <c r="B59" s="81" t="s">
        <v>263</v>
      </c>
      <c r="C59" s="295">
        <f>SUM(C49:C57)</f>
        <v>0</v>
      </c>
      <c r="D59" s="295">
        <f>SUM(D49:D57)</f>
        <v>0</v>
      </c>
      <c r="E59" s="295">
        <f>SUM(E49:E57)</f>
        <v>0</v>
      </c>
    </row>
    <row r="60" spans="2:5" ht="15.75">
      <c r="B60" s="63" t="s">
        <v>61</v>
      </c>
      <c r="C60" s="162">
        <f>C47-C59</f>
        <v>0</v>
      </c>
      <c r="D60" s="162">
        <f>D47-D59</f>
        <v>0</v>
      </c>
      <c r="E60" s="162">
        <f>E47-E59</f>
        <v>0</v>
      </c>
    </row>
    <row r="61" spans="2:5" ht="15.75">
      <c r="B61" s="98" t="str">
        <f>CONCATENATE("",E1-2,"/",E1-1,"/",E1," Budget Authority Amount:")</f>
        <v>2013/2014/2015 Budget Authority Amount:</v>
      </c>
      <c r="C61" s="722">
        <f>inputOth!B98</f>
        <v>0</v>
      </c>
      <c r="D61" s="722">
        <f>inputPrYr!D38</f>
        <v>0</v>
      </c>
      <c r="E61" s="726">
        <f>E59</f>
        <v>0</v>
      </c>
    </row>
    <row r="62" spans="2:5" ht="15.75">
      <c r="B62" s="99"/>
      <c r="C62" s="298">
        <f>IF(C59&gt;C61,"See Tab A","")</f>
      </c>
      <c r="D62" s="298">
        <f>IF(D59&gt;D61,"See Tab C","")</f>
      </c>
      <c r="E62" s="728">
        <f>IF(E60&lt;0,"See Tab E","")</f>
      </c>
    </row>
    <row r="63" spans="2:5" ht="15.75">
      <c r="B63" s="99"/>
      <c r="C63" s="298">
        <f>IF(C60&lt;0,"See Tab B","")</f>
      </c>
      <c r="D63" s="328">
        <f>IF(D60&lt;0,"See Tab D","")</f>
      </c>
      <c r="E63" s="48"/>
    </row>
    <row r="64" spans="2:5" ht="15.75">
      <c r="B64" s="48"/>
      <c r="C64" s="48"/>
      <c r="D64" s="48"/>
      <c r="E64" s="48"/>
    </row>
    <row r="65" spans="2:5" ht="15.75">
      <c r="B65" s="190" t="s">
        <v>696</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75">
      <c r="A1" s="103" t="str">
        <f>inputPrYr!$D$3</f>
        <v>Greeley Township</v>
      </c>
      <c r="B1" s="100"/>
      <c r="C1" s="94"/>
      <c r="D1" s="94"/>
      <c r="E1" s="94"/>
      <c r="F1" s="101" t="s">
        <v>308</v>
      </c>
      <c r="G1" s="94"/>
      <c r="H1" s="94"/>
      <c r="I1" s="94"/>
      <c r="J1" s="94"/>
      <c r="K1" s="94">
        <f>inputPrYr!$D$9</f>
        <v>2015</v>
      </c>
    </row>
    <row r="2" spans="1:11" ht="15.75">
      <c r="A2" s="94"/>
      <c r="B2" s="94"/>
      <c r="C2" s="94"/>
      <c r="D2" s="94"/>
      <c r="E2" s="94"/>
      <c r="F2" s="102" t="str">
        <f>CONCATENATE("(Only the actual budget year for ",K1-2," is to be shown)")</f>
        <v>(Only the actual budget year for 2013 is to be shown)</v>
      </c>
      <c r="G2" s="94"/>
      <c r="H2" s="94"/>
      <c r="I2" s="94"/>
      <c r="J2" s="94"/>
      <c r="K2" s="94"/>
    </row>
    <row r="3" spans="1:11" ht="15.75">
      <c r="A3" s="94" t="s">
        <v>309</v>
      </c>
      <c r="B3" s="94"/>
      <c r="C3" s="94"/>
      <c r="D3" s="94"/>
      <c r="E3" s="94"/>
      <c r="F3" s="100"/>
      <c r="G3" s="94"/>
      <c r="H3" s="94"/>
      <c r="I3" s="94"/>
      <c r="J3" s="94"/>
      <c r="K3" s="94"/>
    </row>
    <row r="4" spans="1:11" ht="15.75">
      <c r="A4" s="94" t="s">
        <v>310</v>
      </c>
      <c r="B4" s="94"/>
      <c r="C4" s="94" t="s">
        <v>311</v>
      </c>
      <c r="D4" s="94"/>
      <c r="E4" s="94" t="s">
        <v>312</v>
      </c>
      <c r="F4" s="100"/>
      <c r="G4" s="94" t="s">
        <v>313</v>
      </c>
      <c r="H4" s="94"/>
      <c r="I4" s="94" t="s">
        <v>314</v>
      </c>
      <c r="J4" s="94"/>
      <c r="K4" s="94"/>
    </row>
    <row r="5" spans="1:11" ht="15.75">
      <c r="A5" s="884">
        <f>inputPrYr!B41</f>
        <v>0</v>
      </c>
      <c r="B5" s="885"/>
      <c r="C5" s="884">
        <f>inputPrYr!B42</f>
        <v>0</v>
      </c>
      <c r="D5" s="885"/>
      <c r="E5" s="884">
        <f>inputPrYr!B43</f>
        <v>0</v>
      </c>
      <c r="F5" s="885"/>
      <c r="G5" s="886">
        <f>inputPrYr!B44</f>
        <v>0</v>
      </c>
      <c r="H5" s="885"/>
      <c r="I5" s="886">
        <f>inputPrYr!B45</f>
        <v>0</v>
      </c>
      <c r="J5" s="885"/>
      <c r="K5" s="105"/>
    </row>
    <row r="6" spans="1:11" ht="15.75">
      <c r="A6" s="106" t="s">
        <v>315</v>
      </c>
      <c r="B6" s="107"/>
      <c r="C6" s="108" t="s">
        <v>315</v>
      </c>
      <c r="D6" s="109"/>
      <c r="E6" s="108" t="s">
        <v>315</v>
      </c>
      <c r="F6" s="110"/>
      <c r="G6" s="108" t="s">
        <v>315</v>
      </c>
      <c r="H6" s="104"/>
      <c r="I6" s="108" t="s">
        <v>315</v>
      </c>
      <c r="J6" s="94"/>
      <c r="K6" s="111" t="s">
        <v>218</v>
      </c>
    </row>
    <row r="7" spans="1:11" ht="15.75">
      <c r="A7" s="112" t="s">
        <v>316</v>
      </c>
      <c r="B7" s="113"/>
      <c r="C7" s="114" t="s">
        <v>316</v>
      </c>
      <c r="D7" s="113"/>
      <c r="E7" s="114" t="s">
        <v>316</v>
      </c>
      <c r="F7" s="113"/>
      <c r="G7" s="114" t="s">
        <v>316</v>
      </c>
      <c r="H7" s="113"/>
      <c r="I7" s="114" t="s">
        <v>316</v>
      </c>
      <c r="J7" s="113"/>
      <c r="K7" s="115">
        <f>SUM(B7+D7+F7+H7+J7)</f>
        <v>0</v>
      </c>
    </row>
    <row r="8" spans="1:11" ht="15.75">
      <c r="A8" s="116" t="s">
        <v>62</v>
      </c>
      <c r="B8" s="117"/>
      <c r="C8" s="116" t="s">
        <v>62</v>
      </c>
      <c r="D8" s="118"/>
      <c r="E8" s="116" t="s">
        <v>62</v>
      </c>
      <c r="F8" s="100"/>
      <c r="G8" s="116" t="s">
        <v>62</v>
      </c>
      <c r="H8" s="94"/>
      <c r="I8" s="116" t="s">
        <v>62</v>
      </c>
      <c r="J8" s="94"/>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260</v>
      </c>
      <c r="B17" s="115">
        <f>SUM(B9:B16)</f>
        <v>0</v>
      </c>
      <c r="C17" s="116" t="s">
        <v>260</v>
      </c>
      <c r="D17" s="115">
        <f>SUM(D9:D16)</f>
        <v>0</v>
      </c>
      <c r="E17" s="116" t="s">
        <v>260</v>
      </c>
      <c r="F17" s="129">
        <f>SUM(F9:F16)</f>
        <v>0</v>
      </c>
      <c r="G17" s="116" t="s">
        <v>260</v>
      </c>
      <c r="H17" s="115">
        <f>SUM(H9:H16)</f>
        <v>0</v>
      </c>
      <c r="I17" s="116" t="s">
        <v>260</v>
      </c>
      <c r="J17" s="115">
        <f>SUM(J9:J16)</f>
        <v>0</v>
      </c>
      <c r="K17" s="115">
        <f>SUM(B17+D17+F17+H17+J17)</f>
        <v>0</v>
      </c>
    </row>
    <row r="18" spans="1:11" ht="15.75">
      <c r="A18" s="116" t="s">
        <v>261</v>
      </c>
      <c r="B18" s="115">
        <f>SUM(B7+B17)</f>
        <v>0</v>
      </c>
      <c r="C18" s="116" t="s">
        <v>261</v>
      </c>
      <c r="D18" s="115">
        <f>SUM(D7+D17)</f>
        <v>0</v>
      </c>
      <c r="E18" s="116" t="s">
        <v>261</v>
      </c>
      <c r="F18" s="115">
        <f>SUM(F7+F17)</f>
        <v>0</v>
      </c>
      <c r="G18" s="116" t="s">
        <v>261</v>
      </c>
      <c r="H18" s="115">
        <f>SUM(H7+H17)</f>
        <v>0</v>
      </c>
      <c r="I18" s="116" t="s">
        <v>261</v>
      </c>
      <c r="J18" s="115">
        <f>SUM(J7+J17)</f>
        <v>0</v>
      </c>
      <c r="K18" s="115">
        <f>SUM(B18+D18+F18+H18+J18)</f>
        <v>0</v>
      </c>
    </row>
    <row r="19" spans="1:11" ht="15.75">
      <c r="A19" s="116" t="s">
        <v>262</v>
      </c>
      <c r="B19" s="117"/>
      <c r="C19" s="116" t="s">
        <v>262</v>
      </c>
      <c r="D19" s="118"/>
      <c r="E19" s="116" t="s">
        <v>262</v>
      </c>
      <c r="F19" s="100"/>
      <c r="G19" s="116" t="s">
        <v>262</v>
      </c>
      <c r="H19" s="94"/>
      <c r="I19" s="116" t="s">
        <v>262</v>
      </c>
      <c r="J19" s="94"/>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263</v>
      </c>
      <c r="B28" s="115">
        <f>SUM(B20:B27)</f>
        <v>0</v>
      </c>
      <c r="C28" s="116" t="s">
        <v>263</v>
      </c>
      <c r="D28" s="115">
        <f>SUM(D20:D27)</f>
        <v>0</v>
      </c>
      <c r="E28" s="116" t="s">
        <v>263</v>
      </c>
      <c r="F28" s="129">
        <f>SUM(F20:F27)</f>
        <v>0</v>
      </c>
      <c r="G28" s="116" t="s">
        <v>263</v>
      </c>
      <c r="H28" s="129">
        <f>SUM(H20:H27)</f>
        <v>0</v>
      </c>
      <c r="I28" s="116" t="s">
        <v>263</v>
      </c>
      <c r="J28" s="115">
        <f>SUM(J20:J27)</f>
        <v>0</v>
      </c>
      <c r="K28" s="115">
        <f>SUM(B28+D28+F28+H28+J28)</f>
        <v>0</v>
      </c>
    </row>
    <row r="29" spans="1:12" ht="15.75">
      <c r="A29" s="116" t="s">
        <v>317</v>
      </c>
      <c r="B29" s="115">
        <f>SUM(B18-B28)</f>
        <v>0</v>
      </c>
      <c r="C29" s="116" t="s">
        <v>317</v>
      </c>
      <c r="D29" s="115">
        <f>SUM(D18-D28)</f>
        <v>0</v>
      </c>
      <c r="E29" s="116" t="s">
        <v>317</v>
      </c>
      <c r="F29" s="115">
        <f>SUM(F18-F28)</f>
        <v>0</v>
      </c>
      <c r="G29" s="116" t="s">
        <v>317</v>
      </c>
      <c r="H29" s="115">
        <f>SUM(H18-H28)</f>
        <v>0</v>
      </c>
      <c r="I29" s="116" t="s">
        <v>317</v>
      </c>
      <c r="J29" s="115">
        <f>SUM(J18-J28)</f>
        <v>0</v>
      </c>
      <c r="K29" s="130">
        <f>SUM(B29+D29+F29+H29+J29)</f>
        <v>0</v>
      </c>
      <c r="L29" s="95" t="s">
        <v>318</v>
      </c>
    </row>
    <row r="30" spans="1:12" ht="15.75">
      <c r="A30" s="116"/>
      <c r="B30" s="329">
        <f>IF(B29&lt;0,"See Tab B","")</f>
      </c>
      <c r="C30" s="116"/>
      <c r="D30" s="329">
        <f>IF(D29&lt;0,"See Tab B","")</f>
      </c>
      <c r="E30" s="116"/>
      <c r="F30" s="329">
        <f>IF(F29&lt;0,"See Tab B","")</f>
      </c>
      <c r="G30" s="94"/>
      <c r="H30" s="329">
        <f>IF(H29&lt;0,"See Tab B","")</f>
      </c>
      <c r="I30" s="94"/>
      <c r="J30" s="329">
        <f>IF(J29&lt;0,"See Tab B","")</f>
      </c>
      <c r="K30" s="130">
        <f>SUM(K7+K17-K28)</f>
        <v>0</v>
      </c>
      <c r="L30" s="95" t="s">
        <v>318</v>
      </c>
    </row>
    <row r="31" spans="1:11" ht="15.75">
      <c r="A31" s="94"/>
      <c r="B31" s="131"/>
      <c r="C31" s="94"/>
      <c r="D31" s="100"/>
      <c r="E31" s="94"/>
      <c r="F31" s="94"/>
      <c r="G31" s="132" t="s">
        <v>319</v>
      </c>
      <c r="H31" s="132"/>
      <c r="I31" s="132"/>
      <c r="J31" s="132"/>
      <c r="K31" s="94"/>
    </row>
    <row r="32" spans="1:11" ht="15.75">
      <c r="A32" s="94"/>
      <c r="B32" s="131"/>
      <c r="C32" s="94"/>
      <c r="D32" s="94"/>
      <c r="E32" s="94"/>
      <c r="F32" s="94"/>
      <c r="G32" s="94"/>
      <c r="H32" s="94"/>
      <c r="I32" s="94"/>
      <c r="J32" s="94"/>
      <c r="K32" s="94"/>
    </row>
    <row r="33" spans="1:11" ht="15.75">
      <c r="A33" s="94"/>
      <c r="B33" s="131"/>
      <c r="C33" s="94"/>
      <c r="D33" s="94"/>
      <c r="E33" s="133" t="s">
        <v>246</v>
      </c>
      <c r="F33" s="134"/>
      <c r="G33" s="94"/>
      <c r="H33" s="94"/>
      <c r="I33" s="94"/>
      <c r="J33" s="94"/>
      <c r="K33" s="94"/>
    </row>
    <row r="34" ht="15.75">
      <c r="B34" s="135"/>
    </row>
    <row r="35" ht="15.75">
      <c r="B35" s="135"/>
    </row>
    <row r="36" ht="15.75">
      <c r="B36" s="135"/>
    </row>
    <row r="37" ht="15.75">
      <c r="B37" s="135"/>
    </row>
    <row r="38" ht="15.75">
      <c r="B38" s="135"/>
    </row>
    <row r="39" ht="15.75">
      <c r="B39" s="135"/>
    </row>
    <row r="40" ht="15.75">
      <c r="B40" s="135"/>
    </row>
    <row r="41" ht="15.7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326</v>
      </c>
    </row>
    <row r="2" ht="53.25" customHeight="1">
      <c r="A2" s="196" t="s">
        <v>327</v>
      </c>
    </row>
    <row r="3" ht="15.75">
      <c r="A3" s="331"/>
    </row>
    <row r="4" ht="58.5" customHeight="1">
      <c r="A4" s="196" t="s">
        <v>328</v>
      </c>
    </row>
    <row r="5" ht="15.75">
      <c r="A5" s="95"/>
    </row>
    <row r="6" ht="55.5" customHeight="1">
      <c r="A6" s="196" t="s">
        <v>329</v>
      </c>
    </row>
    <row r="7" ht="15.75">
      <c r="A7" s="331"/>
    </row>
    <row r="8" ht="42.75" customHeight="1">
      <c r="A8" s="196" t="s">
        <v>330</v>
      </c>
    </row>
    <row r="9" ht="15.75">
      <c r="A9" s="95"/>
    </row>
    <row r="10" ht="31.5">
      <c r="A10" s="196" t="s">
        <v>331</v>
      </c>
    </row>
    <row r="11" ht="15.75">
      <c r="A11" s="331"/>
    </row>
    <row r="12" ht="69.75" customHeight="1">
      <c r="A12" s="196" t="s">
        <v>332</v>
      </c>
    </row>
    <row r="13" ht="15.75">
      <c r="A13" s="331"/>
    </row>
    <row r="14" ht="40.5" customHeight="1">
      <c r="A14" s="196" t="s">
        <v>333</v>
      </c>
    </row>
    <row r="15" ht="15.75">
      <c r="A15" s="95"/>
    </row>
    <row r="16" ht="56.25" customHeight="1">
      <c r="A16" s="196" t="s">
        <v>334</v>
      </c>
    </row>
    <row r="17" ht="15.75">
      <c r="A17" s="331"/>
    </row>
    <row r="18" ht="54.75" customHeight="1">
      <c r="A18" s="196" t="s">
        <v>335</v>
      </c>
    </row>
    <row r="19" ht="15.75">
      <c r="A19" s="331"/>
    </row>
    <row r="20" ht="55.5" customHeight="1">
      <c r="A20" s="196" t="s">
        <v>336</v>
      </c>
    </row>
    <row r="21" ht="15.75">
      <c r="A21" s="331"/>
    </row>
    <row r="22" ht="76.5" customHeight="1">
      <c r="A22" s="196" t="s">
        <v>337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75">
      <c r="A1" s="203" t="str">
        <f>inputPrYr!D3</f>
        <v>Greeley Township</v>
      </c>
      <c r="B1" s="48"/>
      <c r="C1" s="48"/>
      <c r="D1" s="48"/>
      <c r="E1" s="48"/>
      <c r="F1" s="48">
        <f>inputPrYr!D9</f>
        <v>2015</v>
      </c>
    </row>
    <row r="2" spans="1:6" ht="15.75">
      <c r="A2" s="48"/>
      <c r="B2" s="48"/>
      <c r="C2" s="48"/>
      <c r="D2" s="48"/>
      <c r="E2" s="48"/>
      <c r="F2" s="48"/>
    </row>
    <row r="3" spans="1:6" ht="15.75">
      <c r="A3" s="48"/>
      <c r="B3" s="820" t="str">
        <f>CONCATENATE("",F1," Neighborhood Revitalization Rebate")</f>
        <v>2015 Neighborhood Revitalization Rebate</v>
      </c>
      <c r="C3" s="828"/>
      <c r="D3" s="828"/>
      <c r="E3" s="828"/>
      <c r="F3" s="48"/>
    </row>
    <row r="4" spans="1:6" ht="15.7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75">
      <c r="A6" s="48"/>
      <c r="B6" s="87" t="str">
        <f>IF(inputPrYr!B20&gt;0,inputPrYr!B20,"")</f>
        <v>General</v>
      </c>
      <c r="C6" s="315"/>
      <c r="D6" s="316">
        <f aca="true" t="shared" si="0" ref="D6:D17">IF(C6&gt;0,C6/$D$23,"")</f>
      </c>
      <c r="E6" s="311">
        <f>IF(C6&gt;0,ROUND(D6*$D$27,0),"")</f>
      </c>
      <c r="F6" s="171"/>
    </row>
    <row r="7" spans="1:6" ht="15.75">
      <c r="A7" s="48"/>
      <c r="B7" s="87" t="str">
        <f>IF(inputPrYr!B21&gt;0,inputPrYr!B21,"")</f>
        <v>Debt Service</v>
      </c>
      <c r="C7" s="315"/>
      <c r="D7" s="316">
        <f t="shared" si="0"/>
      </c>
      <c r="E7" s="311">
        <f aca="true" t="shared" si="1" ref="E7:E17">IF(C7&gt;0,ROUND(D7*$D$27,0),"")</f>
      </c>
      <c r="F7" s="171"/>
    </row>
    <row r="8" spans="1:6" ht="15.75">
      <c r="A8" s="48"/>
      <c r="B8" s="87" t="str">
        <f>IF(inputPrYr!B22&gt;0,inputPrYr!B22,"")</f>
        <v>Library</v>
      </c>
      <c r="C8" s="315"/>
      <c r="D8" s="316">
        <f>IF(C8&gt;0,C8/$D$23,"")</f>
      </c>
      <c r="E8" s="311">
        <f>IF(C8&gt;0,ROUND(D8*$D$27,0),"")</f>
      </c>
      <c r="F8" s="171"/>
    </row>
    <row r="9" spans="1:6" ht="15.75">
      <c r="A9" s="48"/>
      <c r="B9" s="87" t="str">
        <f>IF(inputPrYr!B23&gt;0,inputPrYr!B23,"")</f>
        <v>Road</v>
      </c>
      <c r="C9" s="315"/>
      <c r="D9" s="316">
        <f t="shared" si="0"/>
      </c>
      <c r="E9" s="311">
        <f t="shared" si="1"/>
      </c>
      <c r="F9" s="171"/>
    </row>
    <row r="10" spans="1:6" ht="15.75">
      <c r="A10" s="48"/>
      <c r="B10" s="87" t="str">
        <f>IF(inputPrYr!B24&gt;0,inputPrYr!B24,"")</f>
        <v>Special Road</v>
      </c>
      <c r="C10" s="315"/>
      <c r="D10" s="316">
        <f t="shared" si="0"/>
      </c>
      <c r="E10" s="311">
        <f t="shared" si="1"/>
      </c>
      <c r="F10" s="171"/>
    </row>
    <row r="11" spans="1:6" ht="15.75">
      <c r="A11" s="48"/>
      <c r="B11" s="87" t="str">
        <f>IF(inputPrYr!B25&gt;0,inputPrYr!B25,"")</f>
        <v>Noxious Weed</v>
      </c>
      <c r="C11" s="315"/>
      <c r="D11" s="316">
        <f t="shared" si="0"/>
      </c>
      <c r="E11" s="311">
        <f t="shared" si="1"/>
      </c>
      <c r="F11" s="171"/>
    </row>
    <row r="12" spans="1:6" ht="15.75">
      <c r="A12" s="48"/>
      <c r="B12" s="87" t="str">
        <f>IF(inputPrYr!B26&gt;0,inputPrYr!B26,"")</f>
        <v>Fire Protection</v>
      </c>
      <c r="C12" s="315"/>
      <c r="D12" s="316">
        <f t="shared" si="0"/>
      </c>
      <c r="E12" s="311">
        <f t="shared" si="1"/>
      </c>
      <c r="F12" s="171"/>
    </row>
    <row r="13" spans="1:6" ht="15.75">
      <c r="A13" s="48"/>
      <c r="B13" s="87">
        <f>IF(inputPrYr!B27&gt;0,inputPrYr!B27,"")</f>
      </c>
      <c r="C13" s="317"/>
      <c r="D13" s="316">
        <f t="shared" si="0"/>
      </c>
      <c r="E13" s="311">
        <f t="shared" si="1"/>
      </c>
      <c r="F13" s="171"/>
    </row>
    <row r="14" spans="1:6" ht="15.75">
      <c r="A14" s="48"/>
      <c r="B14" s="87">
        <f>IF(inputPrYr!B28&gt;0,inputPrYr!B28,"")</f>
      </c>
      <c r="C14" s="317"/>
      <c r="D14" s="316">
        <f t="shared" si="0"/>
      </c>
      <c r="E14" s="311">
        <f t="shared" si="1"/>
      </c>
      <c r="F14" s="171"/>
    </row>
    <row r="15" spans="1:6" ht="15.75">
      <c r="A15" s="48"/>
      <c r="B15" s="87">
        <f>IF(inputPrYr!B29&gt;0,inputPrYr!B29,"")</f>
      </c>
      <c r="C15" s="317"/>
      <c r="D15" s="316">
        <f t="shared" si="0"/>
      </c>
      <c r="E15" s="311">
        <f t="shared" si="1"/>
      </c>
      <c r="F15" s="171"/>
    </row>
    <row r="16" spans="1:6" ht="15.75">
      <c r="A16" s="48"/>
      <c r="B16" s="87">
        <f>IF(inputPrYr!B30&gt;0,inputPrYr!B30,"")</f>
      </c>
      <c r="C16" s="317"/>
      <c r="D16" s="316">
        <f t="shared" si="0"/>
      </c>
      <c r="E16" s="311">
        <f t="shared" si="1"/>
      </c>
      <c r="F16" s="171"/>
    </row>
    <row r="17" spans="1:6" ht="15.75">
      <c r="A17" s="48"/>
      <c r="B17" s="87">
        <f>IF(inputPrYr!B31&gt;0,inputPrYr!B31,"")</f>
      </c>
      <c r="C17" s="317"/>
      <c r="D17" s="316">
        <f t="shared" si="0"/>
      </c>
      <c r="E17" s="311">
        <f t="shared" si="1"/>
      </c>
      <c r="F17" s="171"/>
    </row>
    <row r="18" spans="1:6" ht="16.5" thickBot="1">
      <c r="A18" s="48"/>
      <c r="B18" s="186" t="s">
        <v>204</v>
      </c>
      <c r="C18" s="318">
        <f>SUM(C6:C17)</f>
        <v>0</v>
      </c>
      <c r="D18" s="319">
        <f>SUM(D6:D17)</f>
        <v>0</v>
      </c>
      <c r="E18" s="318">
        <f>SUM(E6:E17)</f>
        <v>0</v>
      </c>
      <c r="F18" s="171"/>
    </row>
    <row r="19" spans="1:6" ht="16.5" thickTop="1">
      <c r="A19" s="48"/>
      <c r="B19" s="48"/>
      <c r="C19" s="48"/>
      <c r="D19" s="48"/>
      <c r="E19" s="48"/>
      <c r="F19" s="171"/>
    </row>
    <row r="20" spans="1:6" ht="15.75">
      <c r="A20" s="48"/>
      <c r="B20" s="48"/>
      <c r="C20" s="48"/>
      <c r="D20" s="48"/>
      <c r="E20" s="48"/>
      <c r="F20" s="171"/>
    </row>
    <row r="21" spans="1:6" ht="15.75">
      <c r="A21" s="889" t="str">
        <f>CONCATENATE("",F1-1," July 1 Valuation:")</f>
        <v>2014 July 1 Valuation:</v>
      </c>
      <c r="B21" s="888"/>
      <c r="C21" s="889"/>
      <c r="D21" s="320">
        <f>inputOth!E11</f>
        <v>7422526</v>
      </c>
      <c r="E21" s="48"/>
      <c r="F21" s="171"/>
    </row>
    <row r="22" spans="1:6" ht="15.75">
      <c r="A22" s="48"/>
      <c r="B22" s="48"/>
      <c r="C22" s="48"/>
      <c r="D22" s="48"/>
      <c r="E22" s="48"/>
      <c r="F22" s="171"/>
    </row>
    <row r="23" spans="1:6" ht="15.75">
      <c r="A23" s="48"/>
      <c r="B23" s="889" t="s">
        <v>348</v>
      </c>
      <c r="C23" s="889"/>
      <c r="D23" s="321">
        <f>IF(D21&gt;0,(D21*0.001),"")</f>
        <v>7422.526</v>
      </c>
      <c r="E23" s="48"/>
      <c r="F23" s="171"/>
    </row>
    <row r="24" spans="1:6" ht="15.75">
      <c r="A24" s="48"/>
      <c r="B24" s="99"/>
      <c r="C24" s="99"/>
      <c r="D24" s="322"/>
      <c r="E24" s="48"/>
      <c r="F24" s="171"/>
    </row>
    <row r="25" spans="1:6" ht="15.75">
      <c r="A25" s="887" t="s">
        <v>349</v>
      </c>
      <c r="B25" s="806"/>
      <c r="C25" s="806"/>
      <c r="D25" s="323">
        <f>inputOth!E33</f>
        <v>0</v>
      </c>
      <c r="E25" s="159"/>
      <c r="F25" s="159"/>
    </row>
    <row r="26" spans="1:6" ht="15.75">
      <c r="A26" s="159"/>
      <c r="B26" s="159"/>
      <c r="C26" s="159"/>
      <c r="D26" s="324"/>
      <c r="E26" s="159"/>
      <c r="F26" s="159"/>
    </row>
    <row r="27" spans="1:6" ht="15.75">
      <c r="A27" s="159"/>
      <c r="B27" s="887" t="s">
        <v>350</v>
      </c>
      <c r="C27" s="888"/>
      <c r="D27" s="325">
        <f>IF(D25&gt;0,(D25*0.001),"")</f>
      </c>
      <c r="E27" s="159"/>
      <c r="F27" s="159"/>
    </row>
    <row r="28" spans="1:6" ht="15.75">
      <c r="A28" s="159"/>
      <c r="B28" s="159"/>
      <c r="C28" s="159"/>
      <c r="D28" s="159"/>
      <c r="E28" s="159"/>
      <c r="F28" s="159"/>
    </row>
    <row r="29" spans="1:6" ht="15.75">
      <c r="A29" s="159"/>
      <c r="B29" s="159"/>
      <c r="C29" s="159"/>
      <c r="D29" s="159"/>
      <c r="E29" s="159"/>
      <c r="F29" s="159"/>
    </row>
    <row r="30" spans="1:6" ht="15.75">
      <c r="A30" s="159"/>
      <c r="B30" s="159"/>
      <c r="C30" s="159"/>
      <c r="D30" s="159"/>
      <c r="E30" s="159"/>
      <c r="F30" s="159"/>
    </row>
    <row r="31" spans="1:6" ht="15.7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75">
      <c r="A32" s="20" t="s">
        <v>586</v>
      </c>
      <c r="B32" s="159"/>
      <c r="C32" s="159"/>
      <c r="D32" s="159"/>
      <c r="E32" s="159"/>
      <c r="F32" s="159"/>
    </row>
    <row r="33" spans="1:6" ht="15.75">
      <c r="A33" s="20"/>
      <c r="B33" s="159"/>
      <c r="C33" s="159"/>
      <c r="D33" s="159"/>
      <c r="E33" s="159"/>
      <c r="F33" s="159"/>
    </row>
    <row r="34" spans="1:6" ht="15.75">
      <c r="A34" s="20"/>
      <c r="B34" s="159"/>
      <c r="C34" s="159"/>
      <c r="D34" s="159"/>
      <c r="E34" s="159"/>
      <c r="F34" s="159"/>
    </row>
    <row r="35" spans="1:6" ht="15.75">
      <c r="A35" s="20"/>
      <c r="B35" s="159"/>
      <c r="C35" s="159"/>
      <c r="D35" s="159"/>
      <c r="E35" s="159"/>
      <c r="F35" s="159"/>
    </row>
    <row r="36" spans="1:6" ht="15.75">
      <c r="A36" s="20"/>
      <c r="B36" s="159"/>
      <c r="C36" s="159"/>
      <c r="D36" s="159"/>
      <c r="E36" s="159"/>
      <c r="F36" s="159"/>
    </row>
    <row r="37" spans="1:6" ht="15.75">
      <c r="A37" s="20"/>
      <c r="B37" s="159"/>
      <c r="C37" s="159"/>
      <c r="D37" s="159"/>
      <c r="E37" s="159"/>
      <c r="F37" s="159"/>
    </row>
    <row r="38" spans="1:6" ht="15.75">
      <c r="A38" s="20"/>
      <c r="B38" s="159"/>
      <c r="C38" s="159"/>
      <c r="D38" s="159"/>
      <c r="E38" s="159"/>
      <c r="F38" s="159"/>
    </row>
    <row r="39" spans="1:6" ht="15.75">
      <c r="A39" s="159"/>
      <c r="B39" s="159"/>
      <c r="C39" s="159"/>
      <c r="D39" s="159"/>
      <c r="E39" s="159"/>
      <c r="F39" s="159"/>
    </row>
    <row r="40" spans="1:6" ht="15.75">
      <c r="A40" s="159"/>
      <c r="B40" s="133" t="s">
        <v>246</v>
      </c>
      <c r="C40" s="134"/>
      <c r="D40" s="159"/>
      <c r="E40" s="159"/>
      <c r="F40" s="159"/>
    </row>
    <row r="41" spans="1:6" ht="15.7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6"/>
      <c r="D2" s="636"/>
      <c r="E2" s="636"/>
      <c r="F2" s="636"/>
      <c r="G2" s="636"/>
      <c r="H2" s="636"/>
      <c r="I2" s="766">
        <f>inputPrYr!D9</f>
        <v>2015</v>
      </c>
    </row>
    <row r="3" spans="3:9" ht="16.5" thickBot="1">
      <c r="C3" s="636"/>
      <c r="D3" s="636"/>
      <c r="E3" s="636"/>
      <c r="F3" s="636"/>
      <c r="G3" s="636"/>
      <c r="H3" s="636"/>
      <c r="I3" s="636"/>
    </row>
    <row r="4" spans="3:9" ht="19.5" thickBot="1">
      <c r="C4" s="893" t="s">
        <v>929</v>
      </c>
      <c r="D4" s="894"/>
      <c r="E4" s="894"/>
      <c r="F4" s="894"/>
      <c r="G4" s="894"/>
      <c r="H4" s="894"/>
      <c r="I4" s="895"/>
    </row>
    <row r="5" spans="3:9" ht="16.5" thickBot="1">
      <c r="C5" s="763"/>
      <c r="D5" s="763"/>
      <c r="E5" s="764"/>
      <c r="F5" s="765"/>
      <c r="G5" s="763"/>
      <c r="H5" s="763"/>
      <c r="I5" s="763"/>
    </row>
    <row r="6" spans="3:9" ht="15.75">
      <c r="C6" s="896" t="str">
        <f>CONCATENATE("Notice of Vote - ",inputPrYr!D3)</f>
        <v>Notice of Vote - Greeley Township</v>
      </c>
      <c r="D6" s="897"/>
      <c r="E6" s="897"/>
      <c r="F6" s="897"/>
      <c r="G6" s="897"/>
      <c r="H6" s="897"/>
      <c r="I6" s="898"/>
    </row>
    <row r="7" spans="3:9" ht="60.75" customHeight="1" thickBot="1">
      <c r="C7" s="890"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1"/>
      <c r="E7" s="891"/>
      <c r="F7" s="891"/>
      <c r="G7" s="891"/>
      <c r="H7" s="891"/>
      <c r="I7" s="892"/>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75">
      <c r="C2" s="636"/>
      <c r="D2" s="636"/>
      <c r="E2" s="636"/>
      <c r="F2" s="636"/>
      <c r="G2" s="636"/>
      <c r="H2" s="766">
        <f>inputPrYr!D9</f>
        <v>2015</v>
      </c>
    </row>
    <row r="3" spans="3:8" ht="16.5" thickBot="1">
      <c r="C3" s="636"/>
      <c r="D3" s="636"/>
      <c r="E3" s="636"/>
      <c r="F3" s="636"/>
      <c r="G3" s="636"/>
      <c r="H3" s="636"/>
    </row>
    <row r="4" spans="3:8" ht="19.5" thickBot="1">
      <c r="C4" s="899" t="s">
        <v>930</v>
      </c>
      <c r="D4" s="900"/>
      <c r="E4" s="900"/>
      <c r="F4" s="900"/>
      <c r="G4" s="900"/>
      <c r="H4" s="901"/>
    </row>
    <row r="5" spans="3:8" ht="16.5" thickBot="1">
      <c r="C5" s="767"/>
      <c r="D5" s="767"/>
      <c r="E5" s="767"/>
      <c r="F5" s="767"/>
      <c r="G5" s="767"/>
      <c r="H5" s="767"/>
    </row>
    <row r="6" spans="3:8" ht="15.75">
      <c r="C6" s="896" t="str">
        <f>CONCATENATE("Notice of Vote - ",inputPrYr!D3)</f>
        <v>Notice of Vote - Greeley Township</v>
      </c>
      <c r="D6" s="897"/>
      <c r="E6" s="897"/>
      <c r="F6" s="897"/>
      <c r="G6" s="897"/>
      <c r="H6" s="898"/>
    </row>
    <row r="7" spans="3:8" ht="15.75">
      <c r="C7" s="902" t="s">
        <v>931</v>
      </c>
      <c r="D7" s="903"/>
      <c r="E7" s="903"/>
      <c r="F7" s="903"/>
      <c r="G7" s="903"/>
      <c r="H7" s="904"/>
    </row>
    <row r="8" spans="3:8" ht="15.75">
      <c r="C8" s="902" t="s">
        <v>932</v>
      </c>
      <c r="D8" s="903"/>
      <c r="E8" s="903"/>
      <c r="F8" s="903"/>
      <c r="G8" s="903"/>
      <c r="H8" s="904"/>
    </row>
    <row r="9" spans="3:8" ht="15.75">
      <c r="C9" s="770" t="str">
        <f>CONCATENATE(H2-1," Budget")</f>
        <v>2014 Budget</v>
      </c>
      <c r="D9" s="774" t="s">
        <v>239</v>
      </c>
      <c r="E9" s="776">
        <f>inputPrYr!E32</f>
        <v>69696</v>
      </c>
      <c r="F9" s="768"/>
      <c r="G9" s="768"/>
      <c r="H9" s="769"/>
    </row>
    <row r="10" spans="3:8" ht="15.75">
      <c r="C10" s="770" t="str">
        <f>CONCATENATE(H2," Budget")</f>
        <v>2015 Budget</v>
      </c>
      <c r="D10" s="774" t="s">
        <v>239</v>
      </c>
      <c r="E10" s="777">
        <f>cert!E39</f>
        <v>70793.51000000001</v>
      </c>
      <c r="F10" s="768"/>
      <c r="G10" s="768"/>
      <c r="H10" s="769"/>
    </row>
    <row r="11" spans="3:8" ht="15.75">
      <c r="C11" s="770"/>
      <c r="D11" s="768"/>
      <c r="E11" s="768" t="s">
        <v>933</v>
      </c>
      <c r="F11" s="778"/>
      <c r="G11" s="773" t="s">
        <v>934</v>
      </c>
      <c r="H11" s="779"/>
    </row>
    <row r="12" spans="3:8" ht="16.5" thickBot="1">
      <c r="C12" s="771"/>
      <c r="D12" s="772"/>
      <c r="E12" s="772"/>
      <c r="F12" s="772"/>
      <c r="G12" s="772"/>
      <c r="H12" s="775"/>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45" t="s">
        <v>378</v>
      </c>
      <c r="B3" s="345"/>
      <c r="C3" s="345"/>
      <c r="D3" s="345"/>
      <c r="E3" s="345"/>
      <c r="F3" s="345"/>
      <c r="G3" s="345"/>
      <c r="H3" s="345"/>
      <c r="I3" s="345"/>
      <c r="J3" s="345"/>
      <c r="K3" s="345"/>
      <c r="L3" s="345"/>
    </row>
    <row r="5" ht="15.75">
      <c r="A5" s="346" t="s">
        <v>379</v>
      </c>
    </row>
    <row r="6" ht="15.75">
      <c r="A6" s="346" t="str">
        <f>CONCATENATE(inputPrYr!D9-2," 'total expenditures' exceed your ",inputPrYr!D9-2," 'budget authority.'")</f>
        <v>2013 'total expenditures' exceed your 2013 'budget authority.'</v>
      </c>
    </row>
    <row r="7" ht="15.75">
      <c r="A7" s="346"/>
    </row>
    <row r="8" ht="15.75">
      <c r="A8" s="346" t="s">
        <v>380</v>
      </c>
    </row>
    <row r="9" ht="15.75">
      <c r="A9" s="346" t="s">
        <v>381</v>
      </c>
    </row>
    <row r="10" ht="15.75">
      <c r="A10" s="346" t="s">
        <v>382</v>
      </c>
    </row>
    <row r="11" ht="15.75">
      <c r="A11" s="346"/>
    </row>
    <row r="12" ht="15.75">
      <c r="A12" s="346"/>
    </row>
    <row r="13" ht="15.75">
      <c r="A13" s="347" t="s">
        <v>383</v>
      </c>
    </row>
    <row r="15" ht="15.75">
      <c r="A15" s="346" t="s">
        <v>384</v>
      </c>
    </row>
    <row r="16" ht="15.75">
      <c r="A16" s="346" t="str">
        <f>CONCATENATE("(i.e. an audit has not been completed, or the ",inputPrYr!D9," adopted")</f>
        <v>(i.e. an audit has not been completed, or the 2015 adopted</v>
      </c>
    </row>
    <row r="17" ht="15.75">
      <c r="A17" s="346" t="s">
        <v>385</v>
      </c>
    </row>
    <row r="18" ht="15.75">
      <c r="A18" s="346" t="s">
        <v>386</v>
      </c>
    </row>
    <row r="19" ht="15.75">
      <c r="A19" s="346" t="s">
        <v>387</v>
      </c>
    </row>
    <row r="21" ht="15.75">
      <c r="A21" s="347" t="s">
        <v>388</v>
      </c>
    </row>
    <row r="22" ht="15.75">
      <c r="A22" s="347"/>
    </row>
    <row r="23" ht="15.75">
      <c r="A23" s="346" t="s">
        <v>389</v>
      </c>
    </row>
    <row r="24" ht="15.75">
      <c r="A24" s="346" t="s">
        <v>390</v>
      </c>
    </row>
    <row r="25" ht="15.75">
      <c r="A25" s="346" t="str">
        <f>CONCATENATE("particular fund.  If your ",inputPrYr!D9-2," budget was amended, did you")</f>
        <v>particular fund.  If your 2013 budget was amended, did you</v>
      </c>
    </row>
    <row r="26" ht="15.75">
      <c r="A26" s="346" t="s">
        <v>391</v>
      </c>
    </row>
    <row r="27" ht="15.75">
      <c r="A27" s="346"/>
    </row>
    <row r="28" ht="15.75">
      <c r="A28" s="346" t="str">
        <f>CONCATENATE("Next, look to see if any of your ",inputPrYr!D9-2," expenditures can be")</f>
        <v>Next, look to see if any of your 2013 expenditures can be</v>
      </c>
    </row>
    <row r="29" ht="15.75">
      <c r="A29" s="346" t="s">
        <v>392</v>
      </c>
    </row>
    <row r="30" ht="15.75">
      <c r="A30" s="346" t="s">
        <v>393</v>
      </c>
    </row>
    <row r="31" ht="15.75">
      <c r="A31" s="346" t="s">
        <v>394</v>
      </c>
    </row>
    <row r="32" ht="15.75">
      <c r="A32" s="346"/>
    </row>
    <row r="33" ht="15.75">
      <c r="A33" s="346" t="str">
        <f>CONCATENATE("Additionally, do your ",inputPrYr!D9-2," receipts contain a reimbursement")</f>
        <v>Additionally, do your 2013 receipts contain a reimbursement</v>
      </c>
    </row>
    <row r="34" ht="15.75">
      <c r="A34" s="346" t="s">
        <v>395</v>
      </c>
    </row>
    <row r="35" ht="15.75">
      <c r="A35" s="346" t="s">
        <v>396</v>
      </c>
    </row>
    <row r="36" ht="15.75">
      <c r="A36" s="346"/>
    </row>
    <row r="37" ht="15.75">
      <c r="A37" s="346" t="s">
        <v>397</v>
      </c>
    </row>
    <row r="38" ht="15.75">
      <c r="A38" s="346" t="s">
        <v>398</v>
      </c>
    </row>
    <row r="39" ht="15.75">
      <c r="A39" s="346" t="s">
        <v>399</v>
      </c>
    </row>
    <row r="40" ht="15.75">
      <c r="A40" s="346" t="s">
        <v>400</v>
      </c>
    </row>
    <row r="41" ht="15.75">
      <c r="A41" s="346" t="s">
        <v>401</v>
      </c>
    </row>
    <row r="42" ht="15.75">
      <c r="A42" s="346" t="s">
        <v>402</v>
      </c>
    </row>
    <row r="43" ht="15.75">
      <c r="A43" s="346" t="s">
        <v>403</v>
      </c>
    </row>
    <row r="44" ht="15.75">
      <c r="A44" s="346" t="s">
        <v>404</v>
      </c>
    </row>
    <row r="45" ht="15.75">
      <c r="A45" s="346"/>
    </row>
    <row r="46" ht="15.75">
      <c r="A46" s="346" t="s">
        <v>405</v>
      </c>
    </row>
    <row r="47" ht="15.75">
      <c r="A47" s="346" t="s">
        <v>406</v>
      </c>
    </row>
    <row r="48" ht="15.75">
      <c r="A48" s="346" t="s">
        <v>407</v>
      </c>
    </row>
    <row r="49" ht="15.75">
      <c r="A49" s="346"/>
    </row>
    <row r="50" ht="15.75">
      <c r="A50" s="346" t="s">
        <v>408</v>
      </c>
    </row>
    <row r="51" ht="15.75">
      <c r="A51" s="346" t="s">
        <v>409</v>
      </c>
    </row>
    <row r="52" ht="15.75">
      <c r="A52" s="346" t="s">
        <v>410</v>
      </c>
    </row>
    <row r="53" ht="15.75">
      <c r="A53" s="346"/>
    </row>
    <row r="54" ht="15.75">
      <c r="A54" s="347" t="s">
        <v>411</v>
      </c>
    </row>
    <row r="55" ht="15.75">
      <c r="A55" s="346"/>
    </row>
    <row r="56" ht="15.75">
      <c r="A56" s="346" t="s">
        <v>412</v>
      </c>
    </row>
    <row r="57" ht="15.75">
      <c r="A57" s="346" t="s">
        <v>413</v>
      </c>
    </row>
    <row r="58" ht="15.75">
      <c r="A58" s="346" t="s">
        <v>414</v>
      </c>
    </row>
    <row r="59" ht="15.75">
      <c r="A59" s="346" t="s">
        <v>415</v>
      </c>
    </row>
    <row r="60" ht="15.75">
      <c r="A60" s="346" t="s">
        <v>416</v>
      </c>
    </row>
    <row r="61" ht="15.75">
      <c r="A61" s="346" t="s">
        <v>417</v>
      </c>
    </row>
    <row r="62" ht="15.75">
      <c r="A62" s="346" t="s">
        <v>418</v>
      </c>
    </row>
    <row r="63" ht="15.75">
      <c r="A63" s="346" t="s">
        <v>419</v>
      </c>
    </row>
    <row r="64" ht="15.75">
      <c r="A64" s="346" t="s">
        <v>420</v>
      </c>
    </row>
    <row r="65" ht="15.75">
      <c r="A65" s="346" t="s">
        <v>421</v>
      </c>
    </row>
    <row r="66" ht="15.75">
      <c r="A66" s="346" t="s">
        <v>422</v>
      </c>
    </row>
    <row r="67" ht="15.75">
      <c r="A67" s="346" t="s">
        <v>423</v>
      </c>
    </row>
    <row r="68" ht="15.75">
      <c r="A68" s="346" t="s">
        <v>424</v>
      </c>
    </row>
    <row r="69" ht="15.75">
      <c r="A69" s="346"/>
    </row>
    <row r="70" ht="15.75">
      <c r="A70" s="346" t="s">
        <v>425</v>
      </c>
    </row>
    <row r="71" ht="15.75">
      <c r="A71" s="346" t="s">
        <v>426</v>
      </c>
    </row>
    <row r="72" ht="15.75">
      <c r="A72" s="346" t="s">
        <v>427</v>
      </c>
    </row>
    <row r="73" ht="15.75">
      <c r="A73" s="346"/>
    </row>
    <row r="74" ht="15.75">
      <c r="A74" s="347" t="str">
        <f>CONCATENATE("What if the ",inputPrYr!D9-2," financial records have been closed?")</f>
        <v>What if the 2013 financial records have been closed?</v>
      </c>
    </row>
    <row r="76" ht="15.75">
      <c r="A76" s="346" t="s">
        <v>428</v>
      </c>
    </row>
    <row r="77" ht="15.75">
      <c r="A77" s="346" t="str">
        <f>CONCATENATE("(i.e. an audit for ",inputPrYr!D9-2," has been completed, or the ",inputPrYr!D9)</f>
        <v>(i.e. an audit for 2013 has been completed, or the 2015</v>
      </c>
    </row>
    <row r="78" ht="15.75">
      <c r="A78" s="346" t="s">
        <v>429</v>
      </c>
    </row>
    <row r="79" ht="15.75">
      <c r="A79" s="346" t="s">
        <v>430</v>
      </c>
    </row>
    <row r="80" ht="15.75">
      <c r="A80" s="346"/>
    </row>
    <row r="81" ht="15.75">
      <c r="A81" s="346" t="s">
        <v>431</v>
      </c>
    </row>
    <row r="82" ht="15.75">
      <c r="A82" s="346" t="s">
        <v>432</v>
      </c>
    </row>
    <row r="83" ht="15.75">
      <c r="A83" s="346" t="s">
        <v>433</v>
      </c>
    </row>
    <row r="84" ht="15.75">
      <c r="A84" s="346"/>
    </row>
    <row r="85" ht="15.75">
      <c r="A85" s="346" t="s">
        <v>434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45" t="s">
        <v>435</v>
      </c>
      <c r="B3" s="345"/>
      <c r="C3" s="345"/>
      <c r="D3" s="345"/>
      <c r="E3" s="345"/>
      <c r="F3" s="345"/>
      <c r="G3" s="345"/>
      <c r="H3" s="348"/>
      <c r="I3" s="348"/>
      <c r="J3" s="348"/>
    </row>
    <row r="5" ht="15.75">
      <c r="A5" s="346" t="s">
        <v>436</v>
      </c>
    </row>
    <row r="6" ht="15.75">
      <c r="A6" t="str">
        <f>CONCATENATE(inputPrYr!D9-2," expenditures show that you finished the year with a ")</f>
        <v>2013 expenditures show that you finished the year with a </v>
      </c>
    </row>
    <row r="7" ht="15.75">
      <c r="A7" t="s">
        <v>437</v>
      </c>
    </row>
    <row r="9" ht="15.75">
      <c r="A9" t="s">
        <v>438</v>
      </c>
    </row>
    <row r="10" ht="15.75">
      <c r="A10" t="s">
        <v>439</v>
      </c>
    </row>
    <row r="11" ht="15.75">
      <c r="A11" t="s">
        <v>440</v>
      </c>
    </row>
    <row r="13" ht="15.75">
      <c r="A13" s="347" t="s">
        <v>441</v>
      </c>
    </row>
    <row r="14" ht="15.75">
      <c r="A14" s="347"/>
    </row>
    <row r="15" ht="15.75">
      <c r="A15" s="346" t="s">
        <v>442</v>
      </c>
    </row>
    <row r="16" ht="15.75">
      <c r="A16" s="346" t="s">
        <v>443</v>
      </c>
    </row>
    <row r="17" ht="15.75">
      <c r="A17" s="346" t="s">
        <v>444</v>
      </c>
    </row>
    <row r="18" ht="15.75">
      <c r="A18" s="346"/>
    </row>
    <row r="19" ht="15.75">
      <c r="A19" s="347" t="s">
        <v>445</v>
      </c>
    </row>
    <row r="20" ht="15.75">
      <c r="A20" s="347"/>
    </row>
    <row r="21" ht="15.75">
      <c r="A21" s="346" t="s">
        <v>446</v>
      </c>
    </row>
    <row r="22" ht="15.75">
      <c r="A22" s="346" t="s">
        <v>447</v>
      </c>
    </row>
    <row r="23" ht="15.75">
      <c r="A23" s="346" t="s">
        <v>448</v>
      </c>
    </row>
    <row r="24" ht="15.75">
      <c r="A24" s="346"/>
    </row>
    <row r="25" ht="15.75">
      <c r="A25" s="347" t="s">
        <v>449</v>
      </c>
    </row>
    <row r="26" ht="15.75">
      <c r="A26" s="347"/>
    </row>
    <row r="27" ht="15.75">
      <c r="A27" s="346" t="s">
        <v>450</v>
      </c>
    </row>
    <row r="28" ht="15.75">
      <c r="A28" s="346" t="s">
        <v>451</v>
      </c>
    </row>
    <row r="29" ht="15.75">
      <c r="A29" s="346" t="s">
        <v>452</v>
      </c>
    </row>
    <row r="30" ht="15.75">
      <c r="A30" s="346"/>
    </row>
    <row r="31" ht="15.75">
      <c r="A31" s="347" t="s">
        <v>453</v>
      </c>
    </row>
    <row r="32" ht="15.75">
      <c r="A32" s="347"/>
    </row>
    <row r="33" spans="1:8" ht="15.75">
      <c r="A33" s="346" t="str">
        <f>CONCATENATE("If your financial records for ",inputPrYr!D9-2," are not closed")</f>
        <v>If your financial records for 2013 are not closed</v>
      </c>
      <c r="B33" s="346"/>
      <c r="C33" s="346"/>
      <c r="D33" s="346"/>
      <c r="E33" s="346"/>
      <c r="F33" s="346"/>
      <c r="G33" s="346"/>
      <c r="H33" s="346"/>
    </row>
    <row r="34" spans="1:8" ht="15.75">
      <c r="A34" s="346" t="str">
        <f>CONCATENATE("(i.e. an audit has not been completed, or the ",inputPrYr!D9," adopted ")</f>
        <v>(i.e. an audit has not been completed, or the 2015 adopted </v>
      </c>
      <c r="B34" s="346"/>
      <c r="C34" s="346"/>
      <c r="D34" s="346"/>
      <c r="E34" s="346"/>
      <c r="F34" s="346"/>
      <c r="G34" s="346"/>
      <c r="H34" s="346"/>
    </row>
    <row r="35" spans="1:8" ht="15.75">
      <c r="A35" s="346" t="s">
        <v>454</v>
      </c>
      <c r="B35" s="346"/>
      <c r="C35" s="346"/>
      <c r="D35" s="346"/>
      <c r="E35" s="346"/>
      <c r="F35" s="346"/>
      <c r="G35" s="346"/>
      <c r="H35" s="346"/>
    </row>
    <row r="36" spans="1:8" ht="15.75">
      <c r="A36" s="346" t="s">
        <v>455</v>
      </c>
      <c r="B36" s="346"/>
      <c r="C36" s="346"/>
      <c r="D36" s="346"/>
      <c r="E36" s="346"/>
      <c r="F36" s="346"/>
      <c r="G36" s="346"/>
      <c r="H36" s="346"/>
    </row>
    <row r="37" spans="1:8" ht="15.75">
      <c r="A37" s="346" t="s">
        <v>456</v>
      </c>
      <c r="B37" s="346"/>
      <c r="C37" s="346"/>
      <c r="D37" s="346"/>
      <c r="E37" s="346"/>
      <c r="F37" s="346"/>
      <c r="G37" s="346"/>
      <c r="H37" s="346"/>
    </row>
    <row r="38" spans="1:8" ht="15.75">
      <c r="A38" s="346" t="s">
        <v>457</v>
      </c>
      <c r="B38" s="346"/>
      <c r="C38" s="346"/>
      <c r="D38" s="346"/>
      <c r="E38" s="346"/>
      <c r="F38" s="346"/>
      <c r="G38" s="346"/>
      <c r="H38" s="346"/>
    </row>
    <row r="39" spans="1:8" ht="15.75">
      <c r="A39" s="346" t="s">
        <v>458</v>
      </c>
      <c r="B39" s="346"/>
      <c r="C39" s="346"/>
      <c r="D39" s="346"/>
      <c r="E39" s="346"/>
      <c r="F39" s="346"/>
      <c r="G39" s="346"/>
      <c r="H39" s="346"/>
    </row>
    <row r="40" spans="1:8" ht="15.75">
      <c r="A40" s="346"/>
      <c r="B40" s="346"/>
      <c r="C40" s="346"/>
      <c r="D40" s="346"/>
      <c r="E40" s="346"/>
      <c r="F40" s="346"/>
      <c r="G40" s="346"/>
      <c r="H40" s="346"/>
    </row>
    <row r="41" spans="1:8" ht="15.75">
      <c r="A41" s="346" t="s">
        <v>459</v>
      </c>
      <c r="B41" s="346"/>
      <c r="C41" s="346"/>
      <c r="D41" s="346"/>
      <c r="E41" s="346"/>
      <c r="F41" s="346"/>
      <c r="G41" s="346"/>
      <c r="H41" s="346"/>
    </row>
    <row r="42" spans="1:8" ht="15.75">
      <c r="A42" s="346" t="s">
        <v>460</v>
      </c>
      <c r="B42" s="346"/>
      <c r="C42" s="346"/>
      <c r="D42" s="346"/>
      <c r="E42" s="346"/>
      <c r="F42" s="346"/>
      <c r="G42" s="346"/>
      <c r="H42" s="346"/>
    </row>
    <row r="43" spans="1:8" ht="15.75">
      <c r="A43" s="346" t="s">
        <v>461</v>
      </c>
      <c r="B43" s="346"/>
      <c r="C43" s="346"/>
      <c r="D43" s="346"/>
      <c r="E43" s="346"/>
      <c r="F43" s="346"/>
      <c r="G43" s="346"/>
      <c r="H43" s="346"/>
    </row>
    <row r="44" spans="1:8" ht="15.75">
      <c r="A44" s="346" t="s">
        <v>462</v>
      </c>
      <c r="B44" s="346"/>
      <c r="C44" s="346"/>
      <c r="D44" s="346"/>
      <c r="E44" s="346"/>
      <c r="F44" s="346"/>
      <c r="G44" s="346"/>
      <c r="H44" s="346"/>
    </row>
    <row r="45" spans="1:8" ht="15.75">
      <c r="A45" s="346"/>
      <c r="B45" s="346"/>
      <c r="C45" s="346"/>
      <c r="D45" s="346"/>
      <c r="E45" s="346"/>
      <c r="F45" s="346"/>
      <c r="G45" s="346"/>
      <c r="H45" s="346"/>
    </row>
    <row r="46" spans="1:8" ht="15.75">
      <c r="A46" s="346" t="s">
        <v>463</v>
      </c>
      <c r="B46" s="346"/>
      <c r="C46" s="346"/>
      <c r="D46" s="346"/>
      <c r="E46" s="346"/>
      <c r="F46" s="346"/>
      <c r="G46" s="346"/>
      <c r="H46" s="346"/>
    </row>
    <row r="47" spans="1:8" ht="15.75">
      <c r="A47" s="346" t="s">
        <v>464</v>
      </c>
      <c r="B47" s="346"/>
      <c r="C47" s="346"/>
      <c r="D47" s="346"/>
      <c r="E47" s="346"/>
      <c r="F47" s="346"/>
      <c r="G47" s="346"/>
      <c r="H47" s="346"/>
    </row>
    <row r="48" spans="1:8" ht="15.75">
      <c r="A48" s="346" t="s">
        <v>465</v>
      </c>
      <c r="B48" s="346"/>
      <c r="C48" s="346"/>
      <c r="D48" s="346"/>
      <c r="E48" s="346"/>
      <c r="F48" s="346"/>
      <c r="G48" s="346"/>
      <c r="H48" s="346"/>
    </row>
    <row r="49" spans="1:8" ht="15.75">
      <c r="A49" s="346" t="s">
        <v>466</v>
      </c>
      <c r="B49" s="346"/>
      <c r="C49" s="346"/>
      <c r="D49" s="346"/>
      <c r="E49" s="346"/>
      <c r="F49" s="346"/>
      <c r="G49" s="346"/>
      <c r="H49" s="346"/>
    </row>
    <row r="50" spans="1:8" ht="15.75">
      <c r="A50" s="346" t="s">
        <v>467</v>
      </c>
      <c r="B50" s="346"/>
      <c r="C50" s="346"/>
      <c r="D50" s="346"/>
      <c r="E50" s="346"/>
      <c r="F50" s="346"/>
      <c r="G50" s="346"/>
      <c r="H50" s="346"/>
    </row>
    <row r="51" spans="1:8" ht="15.75">
      <c r="A51" s="346"/>
      <c r="B51" s="346"/>
      <c r="C51" s="346"/>
      <c r="D51" s="346"/>
      <c r="E51" s="346"/>
      <c r="F51" s="346"/>
      <c r="G51" s="346"/>
      <c r="H51" s="346"/>
    </row>
    <row r="52" spans="1:8" ht="15.75">
      <c r="A52" s="347" t="s">
        <v>468</v>
      </c>
      <c r="B52" s="347"/>
      <c r="C52" s="347"/>
      <c r="D52" s="347"/>
      <c r="E52" s="347"/>
      <c r="F52" s="347"/>
      <c r="G52" s="347"/>
      <c r="H52" s="346"/>
    </row>
    <row r="53" spans="1:8" ht="15.75">
      <c r="A53" s="347" t="s">
        <v>469</v>
      </c>
      <c r="B53" s="347"/>
      <c r="C53" s="347"/>
      <c r="D53" s="347"/>
      <c r="E53" s="347"/>
      <c r="F53" s="347"/>
      <c r="G53" s="347"/>
      <c r="H53" s="346"/>
    </row>
    <row r="54" spans="1:8" ht="15.75">
      <c r="A54" s="346"/>
      <c r="B54" s="346"/>
      <c r="C54" s="346"/>
      <c r="D54" s="346"/>
      <c r="E54" s="346"/>
      <c r="F54" s="346"/>
      <c r="G54" s="346"/>
      <c r="H54" s="346"/>
    </row>
    <row r="55" spans="1:8" ht="15.75">
      <c r="A55" s="346" t="s">
        <v>470</v>
      </c>
      <c r="B55" s="346"/>
      <c r="C55" s="346"/>
      <c r="D55" s="346"/>
      <c r="E55" s="346"/>
      <c r="F55" s="346"/>
      <c r="G55" s="346"/>
      <c r="H55" s="346"/>
    </row>
    <row r="56" spans="1:8" ht="15.75">
      <c r="A56" s="346" t="s">
        <v>471</v>
      </c>
      <c r="B56" s="346"/>
      <c r="C56" s="346"/>
      <c r="D56" s="346"/>
      <c r="E56" s="346"/>
      <c r="F56" s="346"/>
      <c r="G56" s="346"/>
      <c r="H56" s="346"/>
    </row>
    <row r="57" spans="1:8" ht="15.75">
      <c r="A57" s="346" t="s">
        <v>472</v>
      </c>
      <c r="B57" s="346"/>
      <c r="C57" s="346"/>
      <c r="D57" s="346"/>
      <c r="E57" s="346"/>
      <c r="F57" s="346"/>
      <c r="G57" s="346"/>
      <c r="H57" s="346"/>
    </row>
    <row r="58" spans="1:8" ht="15.75">
      <c r="A58" s="346" t="s">
        <v>473</v>
      </c>
      <c r="B58" s="346"/>
      <c r="C58" s="346"/>
      <c r="D58" s="346"/>
      <c r="E58" s="346"/>
      <c r="F58" s="346"/>
      <c r="G58" s="346"/>
      <c r="H58" s="346"/>
    </row>
    <row r="59" spans="1:8" ht="15.75">
      <c r="A59" s="346"/>
      <c r="B59" s="346"/>
      <c r="C59" s="346"/>
      <c r="D59" s="346"/>
      <c r="E59" s="346"/>
      <c r="F59" s="346"/>
      <c r="G59" s="346"/>
      <c r="H59" s="346"/>
    </row>
    <row r="60" spans="1:8" ht="15.75">
      <c r="A60" s="346" t="s">
        <v>474</v>
      </c>
      <c r="B60" s="346"/>
      <c r="C60" s="346"/>
      <c r="D60" s="346"/>
      <c r="E60" s="346"/>
      <c r="F60" s="346"/>
      <c r="G60" s="346"/>
      <c r="H60" s="346"/>
    </row>
    <row r="61" spans="1:8" ht="15.75">
      <c r="A61" s="346" t="s">
        <v>475</v>
      </c>
      <c r="B61" s="346"/>
      <c r="C61" s="346"/>
      <c r="D61" s="346"/>
      <c r="E61" s="346"/>
      <c r="F61" s="346"/>
      <c r="G61" s="346"/>
      <c r="H61" s="346"/>
    </row>
    <row r="62" spans="1:8" ht="15.75">
      <c r="A62" s="346" t="s">
        <v>476</v>
      </c>
      <c r="B62" s="346"/>
      <c r="C62" s="346"/>
      <c r="D62" s="346"/>
      <c r="E62" s="346"/>
      <c r="F62" s="346"/>
      <c r="G62" s="346"/>
      <c r="H62" s="346"/>
    </row>
    <row r="63" spans="1:8" ht="15.75">
      <c r="A63" s="346" t="s">
        <v>477</v>
      </c>
      <c r="B63" s="346"/>
      <c r="C63" s="346"/>
      <c r="D63" s="346"/>
      <c r="E63" s="346"/>
      <c r="F63" s="346"/>
      <c r="G63" s="346"/>
      <c r="H63" s="346"/>
    </row>
    <row r="64" spans="1:8" ht="15.75">
      <c r="A64" s="346" t="s">
        <v>478</v>
      </c>
      <c r="B64" s="346"/>
      <c r="C64" s="346"/>
      <c r="D64" s="346"/>
      <c r="E64" s="346"/>
      <c r="F64" s="346"/>
      <c r="G64" s="346"/>
      <c r="H64" s="346"/>
    </row>
    <row r="65" spans="1:8" ht="15.75">
      <c r="A65" s="346" t="s">
        <v>479</v>
      </c>
      <c r="B65" s="346"/>
      <c r="C65" s="346"/>
      <c r="D65" s="346"/>
      <c r="E65" s="346"/>
      <c r="F65" s="346"/>
      <c r="G65" s="346"/>
      <c r="H65" s="346"/>
    </row>
    <row r="66" spans="1:8" ht="15.75">
      <c r="A66" s="346"/>
      <c r="B66" s="346"/>
      <c r="C66" s="346"/>
      <c r="D66" s="346"/>
      <c r="E66" s="346"/>
      <c r="F66" s="346"/>
      <c r="G66" s="346"/>
      <c r="H66" s="346"/>
    </row>
    <row r="67" spans="1:8" ht="15.75">
      <c r="A67" s="346" t="s">
        <v>480</v>
      </c>
      <c r="B67" s="346"/>
      <c r="C67" s="346"/>
      <c r="D67" s="346"/>
      <c r="E67" s="346"/>
      <c r="F67" s="346"/>
      <c r="G67" s="346"/>
      <c r="H67" s="346"/>
    </row>
    <row r="68" spans="1:8" ht="15.75">
      <c r="A68" s="346" t="s">
        <v>481</v>
      </c>
      <c r="B68" s="346"/>
      <c r="C68" s="346"/>
      <c r="D68" s="346"/>
      <c r="E68" s="346"/>
      <c r="F68" s="346"/>
      <c r="G68" s="346"/>
      <c r="H68" s="346"/>
    </row>
    <row r="69" spans="1:8" ht="15.75">
      <c r="A69" s="346" t="s">
        <v>482</v>
      </c>
      <c r="B69" s="346"/>
      <c r="C69" s="346"/>
      <c r="D69" s="346"/>
      <c r="E69" s="346"/>
      <c r="F69" s="346"/>
      <c r="G69" s="346"/>
      <c r="H69" s="346"/>
    </row>
    <row r="70" spans="1:8" ht="15.75">
      <c r="A70" s="346" t="s">
        <v>483</v>
      </c>
      <c r="B70" s="346"/>
      <c r="C70" s="346"/>
      <c r="D70" s="346"/>
      <c r="E70" s="346"/>
      <c r="F70" s="346"/>
      <c r="G70" s="346"/>
      <c r="H70" s="346"/>
    </row>
    <row r="71" spans="1:8" ht="15.75">
      <c r="A71" s="346" t="s">
        <v>484</v>
      </c>
      <c r="B71" s="346"/>
      <c r="C71" s="346"/>
      <c r="D71" s="346"/>
      <c r="E71" s="346"/>
      <c r="F71" s="346"/>
      <c r="G71" s="346"/>
      <c r="H71" s="346"/>
    </row>
    <row r="72" spans="1:8" ht="15.75">
      <c r="A72" s="346" t="s">
        <v>485</v>
      </c>
      <c r="B72" s="346"/>
      <c r="C72" s="346"/>
      <c r="D72" s="346"/>
      <c r="E72" s="346"/>
      <c r="F72" s="346"/>
      <c r="G72" s="346"/>
      <c r="H72" s="346"/>
    </row>
    <row r="73" spans="1:8" ht="15.75">
      <c r="A73" s="346" t="s">
        <v>486</v>
      </c>
      <c r="B73" s="346"/>
      <c r="C73" s="346"/>
      <c r="D73" s="346"/>
      <c r="E73" s="346"/>
      <c r="F73" s="346"/>
      <c r="G73" s="346"/>
      <c r="H73" s="346"/>
    </row>
    <row r="74" spans="1:8" ht="15.75">
      <c r="A74" s="346"/>
      <c r="B74" s="346"/>
      <c r="C74" s="346"/>
      <c r="D74" s="346"/>
      <c r="E74" s="346"/>
      <c r="F74" s="346"/>
      <c r="G74" s="346"/>
      <c r="H74" s="346"/>
    </row>
    <row r="75" spans="1:8" ht="15.75">
      <c r="A75" s="346" t="s">
        <v>487</v>
      </c>
      <c r="B75" s="346"/>
      <c r="C75" s="346"/>
      <c r="D75" s="346"/>
      <c r="E75" s="346"/>
      <c r="F75" s="346"/>
      <c r="G75" s="346"/>
      <c r="H75" s="346"/>
    </row>
    <row r="76" spans="1:8" ht="15.75">
      <c r="A76" s="346" t="s">
        <v>488</v>
      </c>
      <c r="B76" s="346"/>
      <c r="C76" s="346"/>
      <c r="D76" s="346"/>
      <c r="E76" s="346"/>
      <c r="F76" s="346"/>
      <c r="G76" s="346"/>
      <c r="H76" s="346"/>
    </row>
    <row r="77" spans="1:8" ht="15.75">
      <c r="A77" s="346" t="s">
        <v>489</v>
      </c>
      <c r="B77" s="346"/>
      <c r="C77" s="346"/>
      <c r="D77" s="346"/>
      <c r="E77" s="346"/>
      <c r="F77" s="346"/>
      <c r="G77" s="346"/>
      <c r="H77" s="346"/>
    </row>
    <row r="78" spans="1:8" ht="15.75">
      <c r="A78" s="346"/>
      <c r="B78" s="346"/>
      <c r="C78" s="346"/>
      <c r="D78" s="346"/>
      <c r="E78" s="346"/>
      <c r="F78" s="346"/>
      <c r="G78" s="346"/>
      <c r="H78" s="346"/>
    </row>
    <row r="79" ht="15.75">
      <c r="A79" s="346" t="s">
        <v>434</v>
      </c>
    </row>
    <row r="80" ht="15.75">
      <c r="A80" s="347"/>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1" ht="15.75">
      <c r="A91"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3" ht="15.75">
      <c r="A103" s="346"/>
    </row>
    <row r="104" ht="15.75">
      <c r="A104" s="346"/>
    </row>
    <row r="105" ht="15.75">
      <c r="A105" s="346"/>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5" t="s">
        <v>490</v>
      </c>
      <c r="B3" s="345"/>
      <c r="C3" s="345"/>
      <c r="D3" s="345"/>
      <c r="E3" s="345"/>
      <c r="F3" s="345"/>
      <c r="G3" s="345"/>
      <c r="H3" s="345"/>
      <c r="I3" s="345"/>
      <c r="J3" s="345"/>
      <c r="K3" s="345"/>
      <c r="L3" s="345"/>
    </row>
    <row r="4" spans="1:12" ht="15.75">
      <c r="A4" s="345"/>
      <c r="B4" s="345"/>
      <c r="C4" s="345"/>
      <c r="D4" s="345"/>
      <c r="E4" s="345"/>
      <c r="F4" s="345"/>
      <c r="G4" s="345"/>
      <c r="H4" s="345"/>
      <c r="I4" s="345"/>
      <c r="J4" s="345"/>
      <c r="K4" s="345"/>
      <c r="L4" s="345"/>
    </row>
    <row r="5" spans="1:12" ht="15.75">
      <c r="A5" s="346" t="s">
        <v>379</v>
      </c>
      <c r="I5" s="345"/>
      <c r="J5" s="345"/>
      <c r="K5" s="345"/>
      <c r="L5" s="345"/>
    </row>
    <row r="6" spans="1:12" ht="15.75">
      <c r="A6" s="346" t="str">
        <f>CONCATENATE("estimated ",inputPrYr!D9-1," 'total expenditures' exceed your ",inputPrYr!D9-1,"")</f>
        <v>estimated 2014 'total expenditures' exceed your 2014</v>
      </c>
      <c r="I6" s="345"/>
      <c r="J6" s="345"/>
      <c r="K6" s="345"/>
      <c r="L6" s="345"/>
    </row>
    <row r="7" spans="1:12" ht="15.75">
      <c r="A7" s="349" t="s">
        <v>491</v>
      </c>
      <c r="I7" s="345"/>
      <c r="J7" s="345"/>
      <c r="K7" s="345"/>
      <c r="L7" s="345"/>
    </row>
    <row r="8" spans="1:12" ht="15.75">
      <c r="A8" s="346"/>
      <c r="I8" s="345"/>
      <c r="J8" s="345"/>
      <c r="K8" s="345"/>
      <c r="L8" s="345"/>
    </row>
    <row r="9" spans="1:12" ht="15.75">
      <c r="A9" s="346" t="s">
        <v>492</v>
      </c>
      <c r="I9" s="345"/>
      <c r="J9" s="345"/>
      <c r="K9" s="345"/>
      <c r="L9" s="345"/>
    </row>
    <row r="10" spans="1:12" ht="15.75">
      <c r="A10" s="346" t="s">
        <v>493</v>
      </c>
      <c r="I10" s="345"/>
      <c r="J10" s="345"/>
      <c r="K10" s="345"/>
      <c r="L10" s="345"/>
    </row>
    <row r="11" spans="1:12" ht="15.75">
      <c r="A11" s="346" t="s">
        <v>494</v>
      </c>
      <c r="I11" s="345"/>
      <c r="J11" s="345"/>
      <c r="K11" s="345"/>
      <c r="L11" s="345"/>
    </row>
    <row r="12" spans="1:12" ht="15.75">
      <c r="A12" s="346" t="s">
        <v>495</v>
      </c>
      <c r="I12" s="345"/>
      <c r="J12" s="345"/>
      <c r="K12" s="345"/>
      <c r="L12" s="345"/>
    </row>
    <row r="13" spans="1:12" ht="15.75">
      <c r="A13" s="346" t="s">
        <v>496</v>
      </c>
      <c r="I13" s="345"/>
      <c r="J13" s="345"/>
      <c r="K13" s="345"/>
      <c r="L13" s="345"/>
    </row>
    <row r="14" spans="1:12" ht="15.75">
      <c r="A14" s="345"/>
      <c r="B14" s="345"/>
      <c r="C14" s="345"/>
      <c r="D14" s="345"/>
      <c r="E14" s="345"/>
      <c r="F14" s="345"/>
      <c r="G14" s="345"/>
      <c r="H14" s="345"/>
      <c r="I14" s="345"/>
      <c r="J14" s="345"/>
      <c r="K14" s="345"/>
      <c r="L14" s="345"/>
    </row>
    <row r="15" ht="15.75">
      <c r="A15" s="347" t="s">
        <v>497</v>
      </c>
    </row>
    <row r="16" ht="15.75">
      <c r="A16" s="347" t="s">
        <v>498</v>
      </c>
    </row>
    <row r="17" ht="15.75">
      <c r="A17" s="347"/>
    </row>
    <row r="18" spans="1:7" ht="15.75">
      <c r="A18" s="346" t="s">
        <v>499</v>
      </c>
      <c r="B18" s="346"/>
      <c r="C18" s="346"/>
      <c r="D18" s="346"/>
      <c r="E18" s="346"/>
      <c r="F18" s="346"/>
      <c r="G18" s="346"/>
    </row>
    <row r="19" spans="1:7" ht="15.75">
      <c r="A19" s="346" t="str">
        <f>CONCATENATE("your ",inputPrYr!D9-1," numbers to see what steps might be necessary to")</f>
        <v>your 2014 numbers to see what steps might be necessary to</v>
      </c>
      <c r="B19" s="346"/>
      <c r="C19" s="346"/>
      <c r="D19" s="346"/>
      <c r="E19" s="346"/>
      <c r="F19" s="346"/>
      <c r="G19" s="346"/>
    </row>
    <row r="20" spans="1:7" ht="15.75">
      <c r="A20" s="346" t="s">
        <v>500</v>
      </c>
      <c r="B20" s="346"/>
      <c r="C20" s="346"/>
      <c r="D20" s="346"/>
      <c r="E20" s="346"/>
      <c r="F20" s="346"/>
      <c r="G20" s="346"/>
    </row>
    <row r="21" spans="1:7" ht="15.75">
      <c r="A21" s="346" t="s">
        <v>501</v>
      </c>
      <c r="B21" s="346"/>
      <c r="C21" s="346"/>
      <c r="D21" s="346"/>
      <c r="E21" s="346"/>
      <c r="F21" s="346"/>
      <c r="G21" s="346"/>
    </row>
    <row r="22" ht="15.75">
      <c r="A22" s="346"/>
    </row>
    <row r="23" ht="15.75">
      <c r="A23" s="347" t="s">
        <v>502</v>
      </c>
    </row>
    <row r="24" ht="15.75">
      <c r="A24" s="347"/>
    </row>
    <row r="25" ht="15.75">
      <c r="A25" s="346" t="s">
        <v>503</v>
      </c>
    </row>
    <row r="26" spans="1:6" ht="15.75">
      <c r="A26" s="346" t="s">
        <v>504</v>
      </c>
      <c r="B26" s="346"/>
      <c r="C26" s="346"/>
      <c r="D26" s="346"/>
      <c r="E26" s="346"/>
      <c r="F26" s="346"/>
    </row>
    <row r="27" spans="1:6" ht="15.75">
      <c r="A27" s="346" t="s">
        <v>505</v>
      </c>
      <c r="B27" s="346"/>
      <c r="C27" s="346"/>
      <c r="D27" s="346"/>
      <c r="E27" s="346"/>
      <c r="F27" s="346"/>
    </row>
    <row r="28" spans="1:6" ht="15.75">
      <c r="A28" s="346" t="s">
        <v>506</v>
      </c>
      <c r="B28" s="346"/>
      <c r="C28" s="346"/>
      <c r="D28" s="346"/>
      <c r="E28" s="346"/>
      <c r="F28" s="346"/>
    </row>
    <row r="29" spans="1:6" ht="15.75">
      <c r="A29" s="346"/>
      <c r="B29" s="346"/>
      <c r="C29" s="346"/>
      <c r="D29" s="346"/>
      <c r="E29" s="346"/>
      <c r="F29" s="346"/>
    </row>
    <row r="30" spans="1:7" ht="15.75">
      <c r="A30" s="347" t="s">
        <v>507</v>
      </c>
      <c r="B30" s="347"/>
      <c r="C30" s="347"/>
      <c r="D30" s="347"/>
      <c r="E30" s="347"/>
      <c r="F30" s="347"/>
      <c r="G30" s="347"/>
    </row>
    <row r="31" spans="1:7" ht="15.75">
      <c r="A31" s="347" t="s">
        <v>508</v>
      </c>
      <c r="B31" s="347"/>
      <c r="C31" s="347"/>
      <c r="D31" s="347"/>
      <c r="E31" s="347"/>
      <c r="F31" s="347"/>
      <c r="G31" s="347"/>
    </row>
    <row r="32" spans="1:6" ht="15.75">
      <c r="A32" s="346"/>
      <c r="B32" s="346"/>
      <c r="C32" s="346"/>
      <c r="D32" s="346"/>
      <c r="E32" s="346"/>
      <c r="F32" s="346"/>
    </row>
    <row r="33" spans="1:6" ht="15.75">
      <c r="A33" s="350" t="str">
        <f>CONCATENATE("Well, let's look to see if any of your ",inputPrYr!D9-1," expenditures can")</f>
        <v>Well, let's look to see if any of your 2014 expenditures can</v>
      </c>
      <c r="B33" s="346"/>
      <c r="C33" s="346"/>
      <c r="D33" s="346"/>
      <c r="E33" s="346"/>
      <c r="F33" s="346"/>
    </row>
    <row r="34" spans="1:6" ht="15.75">
      <c r="A34" s="350" t="s">
        <v>509</v>
      </c>
      <c r="B34" s="346"/>
      <c r="C34" s="346"/>
      <c r="D34" s="346"/>
      <c r="E34" s="346"/>
      <c r="F34" s="346"/>
    </row>
    <row r="35" spans="1:6" ht="15.75">
      <c r="A35" s="350" t="s">
        <v>393</v>
      </c>
      <c r="B35" s="346"/>
      <c r="C35" s="346"/>
      <c r="D35" s="346"/>
      <c r="E35" s="346"/>
      <c r="F35" s="346"/>
    </row>
    <row r="36" spans="1:6" ht="15.75">
      <c r="A36" s="350" t="s">
        <v>394</v>
      </c>
      <c r="B36" s="346"/>
      <c r="C36" s="346"/>
      <c r="D36" s="346"/>
      <c r="E36" s="346"/>
      <c r="F36" s="346"/>
    </row>
    <row r="37" spans="1:6" ht="15.75">
      <c r="A37" s="350"/>
      <c r="B37" s="346"/>
      <c r="C37" s="346"/>
      <c r="D37" s="346"/>
      <c r="E37" s="346"/>
      <c r="F37" s="346"/>
    </row>
    <row r="38" spans="1:6" ht="15.75">
      <c r="A38" s="350" t="str">
        <f>CONCATENATE("Additionally, do your ",inputPrYr!D9-1," receipts contain a reimbursement")</f>
        <v>Additionally, do your 2014 receipts contain a reimbursement</v>
      </c>
      <c r="B38" s="346"/>
      <c r="C38" s="346"/>
      <c r="D38" s="346"/>
      <c r="E38" s="346"/>
      <c r="F38" s="346"/>
    </row>
    <row r="39" spans="1:6" ht="15.75">
      <c r="A39" s="350" t="s">
        <v>395</v>
      </c>
      <c r="B39" s="346"/>
      <c r="C39" s="346"/>
      <c r="D39" s="346"/>
      <c r="E39" s="346"/>
      <c r="F39" s="346"/>
    </row>
    <row r="40" spans="1:6" ht="15.75">
      <c r="A40" s="350" t="s">
        <v>396</v>
      </c>
      <c r="B40" s="346"/>
      <c r="C40" s="346"/>
      <c r="D40" s="346"/>
      <c r="E40" s="346"/>
      <c r="F40" s="346"/>
    </row>
    <row r="41" spans="1:6" ht="15.75">
      <c r="A41" s="350"/>
      <c r="B41" s="346"/>
      <c r="C41" s="346"/>
      <c r="D41" s="346"/>
      <c r="E41" s="346"/>
      <c r="F41" s="346"/>
    </row>
    <row r="42" spans="1:6" ht="15.75">
      <c r="A42" s="350" t="s">
        <v>397</v>
      </c>
      <c r="B42" s="346"/>
      <c r="C42" s="346"/>
      <c r="D42" s="346"/>
      <c r="E42" s="346"/>
      <c r="F42" s="346"/>
    </row>
    <row r="43" spans="1:6" ht="15.75">
      <c r="A43" s="350" t="s">
        <v>398</v>
      </c>
      <c r="B43" s="346"/>
      <c r="C43" s="346"/>
      <c r="D43" s="346"/>
      <c r="E43" s="346"/>
      <c r="F43" s="346"/>
    </row>
    <row r="44" spans="1:6" ht="15.75">
      <c r="A44" s="350" t="s">
        <v>399</v>
      </c>
      <c r="B44" s="346"/>
      <c r="C44" s="346"/>
      <c r="D44" s="346"/>
      <c r="E44" s="346"/>
      <c r="F44" s="346"/>
    </row>
    <row r="45" spans="1:6" ht="15.75">
      <c r="A45" s="350" t="s">
        <v>510</v>
      </c>
      <c r="B45" s="346"/>
      <c r="C45" s="346"/>
      <c r="D45" s="346"/>
      <c r="E45" s="346"/>
      <c r="F45" s="346"/>
    </row>
    <row r="46" spans="1:6" ht="15.75">
      <c r="A46" s="350" t="s">
        <v>401</v>
      </c>
      <c r="B46" s="346"/>
      <c r="C46" s="346"/>
      <c r="D46" s="346"/>
      <c r="E46" s="346"/>
      <c r="F46" s="346"/>
    </row>
    <row r="47" spans="1:6" ht="15.75">
      <c r="A47" s="350" t="s">
        <v>511</v>
      </c>
      <c r="B47" s="346"/>
      <c r="C47" s="346"/>
      <c r="D47" s="346"/>
      <c r="E47" s="346"/>
      <c r="F47" s="346"/>
    </row>
    <row r="48" spans="1:6" ht="15.75">
      <c r="A48" s="350" t="s">
        <v>512</v>
      </c>
      <c r="B48" s="346"/>
      <c r="C48" s="346"/>
      <c r="D48" s="346"/>
      <c r="E48" s="346"/>
      <c r="F48" s="346"/>
    </row>
    <row r="49" spans="1:6" ht="15.75">
      <c r="A49" s="350" t="s">
        <v>404</v>
      </c>
      <c r="B49" s="346"/>
      <c r="C49" s="346"/>
      <c r="D49" s="346"/>
      <c r="E49" s="346"/>
      <c r="F49" s="346"/>
    </row>
    <row r="50" spans="1:6" ht="15.75">
      <c r="A50" s="350"/>
      <c r="B50" s="346"/>
      <c r="C50" s="346"/>
      <c r="D50" s="346"/>
      <c r="E50" s="346"/>
      <c r="F50" s="346"/>
    </row>
    <row r="51" spans="1:6" ht="15.75">
      <c r="A51" s="350" t="s">
        <v>405</v>
      </c>
      <c r="B51" s="346"/>
      <c r="C51" s="346"/>
      <c r="D51" s="346"/>
      <c r="E51" s="346"/>
      <c r="F51" s="346"/>
    </row>
    <row r="52" spans="1:6" ht="15.75">
      <c r="A52" s="350" t="s">
        <v>406</v>
      </c>
      <c r="B52" s="346"/>
      <c r="C52" s="346"/>
      <c r="D52" s="346"/>
      <c r="E52" s="346"/>
      <c r="F52" s="346"/>
    </row>
    <row r="53" spans="1:6" ht="15.75">
      <c r="A53" s="350" t="s">
        <v>407</v>
      </c>
      <c r="B53" s="346"/>
      <c r="C53" s="346"/>
      <c r="D53" s="346"/>
      <c r="E53" s="346"/>
      <c r="F53" s="346"/>
    </row>
    <row r="54" spans="1:6" ht="15.75">
      <c r="A54" s="350"/>
      <c r="B54" s="346"/>
      <c r="C54" s="346"/>
      <c r="D54" s="346"/>
      <c r="E54" s="346"/>
      <c r="F54" s="346"/>
    </row>
    <row r="55" spans="1:6" ht="15.75">
      <c r="A55" s="350" t="s">
        <v>513</v>
      </c>
      <c r="B55" s="346"/>
      <c r="C55" s="346"/>
      <c r="D55" s="346"/>
      <c r="E55" s="346"/>
      <c r="F55" s="346"/>
    </row>
    <row r="56" spans="1:6" ht="15.75">
      <c r="A56" s="350" t="s">
        <v>514</v>
      </c>
      <c r="B56" s="346"/>
      <c r="C56" s="346"/>
      <c r="D56" s="346"/>
      <c r="E56" s="346"/>
      <c r="F56" s="346"/>
    </row>
    <row r="57" spans="1:6" ht="15.75">
      <c r="A57" s="350" t="s">
        <v>515</v>
      </c>
      <c r="B57" s="346"/>
      <c r="C57" s="346"/>
      <c r="D57" s="346"/>
      <c r="E57" s="346"/>
      <c r="F57" s="346"/>
    </row>
    <row r="58" spans="1:6" ht="15.75">
      <c r="A58" s="350" t="s">
        <v>516</v>
      </c>
      <c r="B58" s="346"/>
      <c r="C58" s="346"/>
      <c r="D58" s="346"/>
      <c r="E58" s="346"/>
      <c r="F58" s="346"/>
    </row>
    <row r="59" spans="1:6" ht="15.75">
      <c r="A59" s="350" t="s">
        <v>517</v>
      </c>
      <c r="B59" s="346"/>
      <c r="C59" s="346"/>
      <c r="D59" s="346"/>
      <c r="E59" s="346"/>
      <c r="F59" s="346"/>
    </row>
    <row r="60" spans="1:6" ht="15.75">
      <c r="A60" s="350"/>
      <c r="B60" s="346"/>
      <c r="C60" s="346"/>
      <c r="D60" s="346"/>
      <c r="E60" s="346"/>
      <c r="F60" s="346"/>
    </row>
    <row r="61" spans="1:6" ht="15.75">
      <c r="A61" s="351" t="s">
        <v>518</v>
      </c>
      <c r="B61" s="346"/>
      <c r="C61" s="346"/>
      <c r="D61" s="346"/>
      <c r="E61" s="346"/>
      <c r="F61" s="346"/>
    </row>
    <row r="62" spans="1:6" ht="15.75">
      <c r="A62" s="351" t="s">
        <v>519</v>
      </c>
      <c r="B62" s="346"/>
      <c r="C62" s="346"/>
      <c r="D62" s="346"/>
      <c r="E62" s="346"/>
      <c r="F62" s="346"/>
    </row>
    <row r="63" spans="1:6" ht="15.75">
      <c r="A63" s="351" t="s">
        <v>520</v>
      </c>
      <c r="B63" s="346"/>
      <c r="C63" s="346"/>
      <c r="D63" s="346"/>
      <c r="E63" s="346"/>
      <c r="F63" s="346"/>
    </row>
    <row r="64" ht="15.75">
      <c r="A64" s="351" t="s">
        <v>521</v>
      </c>
    </row>
    <row r="65" ht="15.75">
      <c r="A65" s="351" t="s">
        <v>522</v>
      </c>
    </row>
    <row r="66" ht="15.75">
      <c r="A66" s="351" t="s">
        <v>523</v>
      </c>
    </row>
    <row r="68" ht="15.75">
      <c r="A68" s="346" t="s">
        <v>524</v>
      </c>
    </row>
    <row r="69" ht="15.75">
      <c r="A69" s="346" t="s">
        <v>525</v>
      </c>
    </row>
    <row r="70" ht="15.75">
      <c r="A70" s="346" t="s">
        <v>526</v>
      </c>
    </row>
    <row r="71" ht="15.75">
      <c r="A71" s="346" t="s">
        <v>527</v>
      </c>
    </row>
    <row r="72" ht="15.75">
      <c r="A72" s="346" t="s">
        <v>528</v>
      </c>
    </row>
    <row r="73" ht="15.75">
      <c r="A73" s="346" t="s">
        <v>529</v>
      </c>
    </row>
    <row r="75" ht="15.75">
      <c r="A75" s="346" t="s">
        <v>434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A73" sqref="A73:E73"/>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9" t="str">
        <f>inputPrYr!D3</f>
        <v>Greeley Township</v>
      </c>
      <c r="B1" s="20"/>
      <c r="C1" s="20"/>
      <c r="D1" s="20"/>
      <c r="E1" s="20">
        <f>inputPrYr!D9</f>
        <v>2015</v>
      </c>
    </row>
    <row r="2" spans="1:5" ht="15.75">
      <c r="A2" s="29" t="str">
        <f>inputPrYr!D4</f>
        <v>Sedgwick County</v>
      </c>
      <c r="B2" s="20"/>
      <c r="C2" s="20"/>
      <c r="D2" s="20"/>
      <c r="E2" s="20"/>
    </row>
    <row r="3" spans="1:5" ht="15.75">
      <c r="A3" s="20"/>
      <c r="B3" s="20"/>
      <c r="C3" s="20"/>
      <c r="D3" s="20"/>
      <c r="E3" s="20"/>
    </row>
    <row r="4" spans="1:5" ht="15.75">
      <c r="A4" s="794" t="s">
        <v>84</v>
      </c>
      <c r="B4" s="795"/>
      <c r="C4" s="795"/>
      <c r="D4" s="795"/>
      <c r="E4" s="795"/>
    </row>
    <row r="5" spans="1:5" ht="15.75">
      <c r="A5" s="20"/>
      <c r="B5" s="20"/>
      <c r="C5" s="20"/>
      <c r="D5" s="20"/>
      <c r="E5" s="20"/>
    </row>
    <row r="6" spans="1:5" ht="15.75">
      <c r="A6" s="798" t="str">
        <f>CONCATENATE("From the County Clerks Budget Information for ",E1,":")</f>
        <v>From the County Clerks Budget Information for 2015:</v>
      </c>
      <c r="B6" s="799"/>
      <c r="C6" s="799"/>
      <c r="D6" s="799"/>
      <c r="E6" s="799"/>
    </row>
    <row r="7" spans="1:5" ht="15.75">
      <c r="A7" s="39" t="str">
        <f>CONCATENATE("Assessed Valuation for ",E1-1,":")</f>
        <v>Assessed Valuation for 2014:</v>
      </c>
      <c r="B7" s="9"/>
      <c r="C7" s="9"/>
      <c r="D7" s="9"/>
      <c r="E7" s="24"/>
    </row>
    <row r="8" spans="1:5" ht="15.75">
      <c r="A8" s="12" t="s">
        <v>132</v>
      </c>
      <c r="B8" s="13"/>
      <c r="C8" s="13"/>
      <c r="D8" s="13"/>
      <c r="E8" s="2">
        <v>3488453</v>
      </c>
    </row>
    <row r="9" spans="1:5" ht="15.75">
      <c r="A9" s="14" t="str">
        <f>inputPrYr!D6</f>
        <v>City of Mount Hope</v>
      </c>
      <c r="B9" s="15"/>
      <c r="C9" s="15"/>
      <c r="D9" s="15"/>
      <c r="E9" s="715">
        <f>7422526-E8</f>
        <v>3934073</v>
      </c>
    </row>
    <row r="10" spans="1:5" ht="15.75">
      <c r="A10" s="14">
        <f>inputPrYr!$D$7</f>
        <v>0</v>
      </c>
      <c r="B10" s="15"/>
      <c r="C10" s="15"/>
      <c r="D10" s="15"/>
      <c r="E10" s="715"/>
    </row>
    <row r="11" spans="1:5" ht="15.75">
      <c r="A11" s="14" t="str">
        <f>CONCATENATE("Total Assessed Valuation for ",$E$1-1,"")</f>
        <v>Total Assessed Valuation for 2014</v>
      </c>
      <c r="B11" s="15"/>
      <c r="C11" s="15"/>
      <c r="D11" s="15"/>
      <c r="E11" s="37">
        <f>SUM(E8:E10)</f>
        <v>7422526</v>
      </c>
    </row>
    <row r="12" spans="1:5" ht="15.75">
      <c r="A12" s="38" t="str">
        <f>CONCATENATE("New Improvements for ",E1-1,":")</f>
        <v>New Improvements for 2014:</v>
      </c>
      <c r="B12" s="9"/>
      <c r="C12" s="9"/>
      <c r="D12" s="9"/>
      <c r="E12" s="23"/>
    </row>
    <row r="13" spans="1:5" ht="15.75">
      <c r="A13" s="12" t="s">
        <v>132</v>
      </c>
      <c r="B13" s="13"/>
      <c r="C13" s="13"/>
      <c r="D13" s="13"/>
      <c r="E13" s="716">
        <f>5433+197</f>
        <v>5630</v>
      </c>
    </row>
    <row r="14" spans="1:5" ht="15.75">
      <c r="A14" s="14" t="str">
        <f>inputPrYr!$D$6</f>
        <v>City of Mount Hope</v>
      </c>
      <c r="B14" s="13"/>
      <c r="C14" s="13"/>
      <c r="D14" s="13"/>
      <c r="E14" s="716"/>
    </row>
    <row r="15" spans="1:5" ht="15.75">
      <c r="A15" s="14">
        <f>inputPrYr!$D$7</f>
        <v>0</v>
      </c>
      <c r="B15" s="13"/>
      <c r="C15" s="13"/>
      <c r="D15" s="13"/>
      <c r="E15" s="716"/>
    </row>
    <row r="16" spans="1:5" ht="15.75">
      <c r="A16" s="14" t="str">
        <f>CONCATENATE("Total New Improvements for ",$E$1-1,"")</f>
        <v>Total New Improvements for 2014</v>
      </c>
      <c r="B16" s="15"/>
      <c r="C16" s="15"/>
      <c r="D16" s="15"/>
      <c r="E16" s="36">
        <f>SUM(E13:E15)</f>
        <v>5630</v>
      </c>
    </row>
    <row r="17" spans="1:5" ht="15.75">
      <c r="A17" s="38" t="str">
        <f>CONCATENATE("Personal Property excluding oil, gas, and mobile homes- ",E1-1,":")</f>
        <v>Personal Property excluding oil, gas, and mobile homes- 2014:</v>
      </c>
      <c r="B17" s="9"/>
      <c r="C17" s="9"/>
      <c r="D17" s="9"/>
      <c r="E17" s="23"/>
    </row>
    <row r="18" spans="1:5" ht="15.75">
      <c r="A18" s="12" t="s">
        <v>132</v>
      </c>
      <c r="B18" s="13"/>
      <c r="C18" s="13"/>
      <c r="D18" s="13"/>
      <c r="E18" s="716">
        <v>115959</v>
      </c>
    </row>
    <row r="19" spans="1:5" ht="15.75">
      <c r="A19" s="14" t="str">
        <f>inputPrYr!$D$6</f>
        <v>City of Mount Hope</v>
      </c>
      <c r="B19" s="15"/>
      <c r="C19" s="15"/>
      <c r="D19" s="15"/>
      <c r="E19" s="716"/>
    </row>
    <row r="20" spans="1:5" ht="15.75">
      <c r="A20" s="14">
        <f>inputPrYr!$D$7</f>
        <v>0</v>
      </c>
      <c r="B20" s="15"/>
      <c r="C20" s="15"/>
      <c r="D20" s="15"/>
      <c r="E20" s="716"/>
    </row>
    <row r="21" spans="1:5" ht="15.75">
      <c r="A21" s="14" t="str">
        <f>CONCATENATE("Total Personal Property excluding oil, gas, and mobile homes for ",$E$1-1,"")</f>
        <v>Total Personal Property excluding oil, gas, and mobile homes for 2014</v>
      </c>
      <c r="B21" s="15"/>
      <c r="C21" s="15"/>
      <c r="D21" s="15"/>
      <c r="E21" s="36">
        <f>SUM(E18:E20)</f>
        <v>115959</v>
      </c>
    </row>
    <row r="22" spans="1:5" ht="15.75">
      <c r="A22" s="38" t="str">
        <f>CONCATENATE("Property that has changed in use for ",E1-1,":")</f>
        <v>Property that has changed in use for 2014:</v>
      </c>
      <c r="B22" s="9"/>
      <c r="C22" s="9"/>
      <c r="D22" s="9"/>
      <c r="E22" s="23"/>
    </row>
    <row r="23" spans="1:5" ht="15.75">
      <c r="A23" s="12" t="s">
        <v>132</v>
      </c>
      <c r="B23" s="13"/>
      <c r="C23" s="13"/>
      <c r="D23" s="13"/>
      <c r="E23" s="716">
        <v>0</v>
      </c>
    </row>
    <row r="24" spans="1:5" ht="15.75">
      <c r="A24" s="14" t="str">
        <f>inputPrYr!$D$6</f>
        <v>City of Mount Hope</v>
      </c>
      <c r="B24" s="15"/>
      <c r="C24" s="15"/>
      <c r="D24" s="15"/>
      <c r="E24" s="716"/>
    </row>
    <row r="25" spans="1:5" ht="15.75">
      <c r="A25" s="14">
        <f>inputPrYr!$D$7</f>
        <v>0</v>
      </c>
      <c r="B25" s="15"/>
      <c r="C25" s="15"/>
      <c r="D25" s="15"/>
      <c r="E25" s="716"/>
    </row>
    <row r="26" spans="1:5" ht="15.75">
      <c r="A26" s="14" t="str">
        <f>CONCATENATE("Total Property that has changed in use for ",$E$1-1,"")</f>
        <v>Total Property that has changed in use for 2014</v>
      </c>
      <c r="B26" s="15"/>
      <c r="C26" s="15"/>
      <c r="D26" s="15"/>
      <c r="E26" s="36">
        <f>SUM(E23:E25)</f>
        <v>0</v>
      </c>
    </row>
    <row r="27" spans="1:5" ht="15.75">
      <c r="A27" s="38" t="str">
        <f>CONCATENATE("Personal Property excluding oil, gas, and mobile homes- ",E1-2,":")</f>
        <v>Personal Property excluding oil, gas, and mobile homes- 2013:</v>
      </c>
      <c r="B27" s="9"/>
      <c r="C27" s="9"/>
      <c r="D27" s="9"/>
      <c r="E27" s="23"/>
    </row>
    <row r="28" spans="1:5" ht="15.75">
      <c r="A28" s="12" t="s">
        <v>132</v>
      </c>
      <c r="B28" s="13"/>
      <c r="C28" s="13"/>
      <c r="D28" s="13"/>
      <c r="E28" s="716">
        <v>153910</v>
      </c>
    </row>
    <row r="29" spans="1:5" ht="15.75">
      <c r="A29" s="14" t="str">
        <f>inputPrYr!$D$6</f>
        <v>City of Mount Hope</v>
      </c>
      <c r="B29" s="15"/>
      <c r="C29" s="15"/>
      <c r="D29" s="15"/>
      <c r="E29" s="716"/>
    </row>
    <row r="30" spans="1:5" ht="15.75">
      <c r="A30" s="14">
        <f>inputPrYr!$D$7</f>
        <v>0</v>
      </c>
      <c r="B30" s="15"/>
      <c r="C30" s="15"/>
      <c r="D30" s="15"/>
      <c r="E30" s="716"/>
    </row>
    <row r="31" spans="1:5" ht="15.75">
      <c r="A31" s="14" t="str">
        <f>CONCATENATE("Total Personal Property excluding oil, gas, and mobile homes for ",$E$1-2,"")</f>
        <v>Total Personal Property excluding oil, gas, and mobile homes for 2013</v>
      </c>
      <c r="B31" s="15"/>
      <c r="C31" s="15"/>
      <c r="D31" s="15"/>
      <c r="E31" s="36">
        <f>SUM(E28:E30)</f>
        <v>153910</v>
      </c>
    </row>
    <row r="32" spans="1:5" ht="15.75">
      <c r="A32" s="14" t="str">
        <f>CONCATENATE("Gross earnings (intangible) tax estimate for ",E1,"")</f>
        <v>Gross earnings (intangible) tax estimate for 2015</v>
      </c>
      <c r="B32" s="15"/>
      <c r="C32" s="15"/>
      <c r="D32" s="15"/>
      <c r="E32" s="716"/>
    </row>
    <row r="33" spans="1:5" ht="15.75">
      <c r="A33" s="14" t="str">
        <f>CONCATENATE("Neighborhood Revitalization for ",E1,"")</f>
        <v>Neighborhood Revitalization for 2015</v>
      </c>
      <c r="B33" s="15"/>
      <c r="C33" s="15"/>
      <c r="D33" s="15"/>
      <c r="E33" s="716"/>
    </row>
    <row r="34" spans="1:5" ht="15.75">
      <c r="A34" s="5"/>
      <c r="B34" s="9"/>
      <c r="C34" s="9"/>
      <c r="D34" s="9"/>
      <c r="E34" s="23"/>
    </row>
    <row r="35" spans="1:5" ht="15.75">
      <c r="A35" s="38" t="str">
        <f>CONCATENATE("Actual Tax Rates for the ",E1-1," Budget:")</f>
        <v>Actual Tax Rates for the 2014 Budget:</v>
      </c>
      <c r="B35" s="9"/>
      <c r="C35" s="9"/>
      <c r="D35" s="9"/>
      <c r="E35" s="24"/>
    </row>
    <row r="36" spans="1:5" ht="15.75">
      <c r="A36" s="796" t="s">
        <v>228</v>
      </c>
      <c r="B36" s="797"/>
      <c r="C36" s="20"/>
      <c r="D36" s="25" t="s">
        <v>240</v>
      </c>
      <c r="E36" s="24"/>
    </row>
    <row r="37" spans="1:5" ht="15.75">
      <c r="A37" s="12" t="str">
        <f>inputPrYr!B20</f>
        <v>General</v>
      </c>
      <c r="B37" s="13"/>
      <c r="C37" s="9"/>
      <c r="D37" s="717">
        <v>2.108</v>
      </c>
      <c r="E37" s="24"/>
    </row>
    <row r="38" spans="1:5" ht="15.75">
      <c r="A38" s="12" t="str">
        <f>inputPrYr!B21</f>
        <v>Debt Service</v>
      </c>
      <c r="B38" s="15"/>
      <c r="C38" s="9"/>
      <c r="D38" s="717"/>
      <c r="E38" s="24"/>
    </row>
    <row r="39" spans="1:5" ht="15.75">
      <c r="A39" s="12" t="str">
        <f>inputPrYr!B22</f>
        <v>Library</v>
      </c>
      <c r="B39" s="15"/>
      <c r="C39" s="9"/>
      <c r="D39" s="717">
        <v>2</v>
      </c>
      <c r="E39" s="24"/>
    </row>
    <row r="40" spans="1:5" ht="15.75">
      <c r="A40" s="12" t="str">
        <f>inputPrYr!B23</f>
        <v>Road</v>
      </c>
      <c r="B40" s="15"/>
      <c r="C40" s="9"/>
      <c r="D40" s="717">
        <v>13.376</v>
      </c>
      <c r="E40" s="24"/>
    </row>
    <row r="41" spans="1:5" ht="15.75">
      <c r="A41" s="12" t="str">
        <f>inputPrYr!B24</f>
        <v>Special Road</v>
      </c>
      <c r="B41" s="15"/>
      <c r="C41" s="9"/>
      <c r="D41" s="717"/>
      <c r="E41" s="24"/>
    </row>
    <row r="42" spans="1:5" ht="15.75">
      <c r="A42" s="12" t="str">
        <f>inputPrYr!B25</f>
        <v>Noxious Weed</v>
      </c>
      <c r="B42" s="15"/>
      <c r="C42" s="9"/>
      <c r="D42" s="717"/>
      <c r="E42" s="24"/>
    </row>
    <row r="43" spans="1:5" ht="15.75">
      <c r="A43" s="12" t="str">
        <f>inputPrYr!B26</f>
        <v>Fire Protection</v>
      </c>
      <c r="B43" s="15"/>
      <c r="C43" s="9"/>
      <c r="D43" s="718">
        <v>1.72</v>
      </c>
      <c r="E43" s="24"/>
    </row>
    <row r="44" spans="1:5" ht="15.75">
      <c r="A44" s="12">
        <f>inputPrYr!B27</f>
        <v>0</v>
      </c>
      <c r="B44" s="15"/>
      <c r="C44" s="9"/>
      <c r="D44" s="718"/>
      <c r="E44" s="24"/>
    </row>
    <row r="45" spans="1:5" ht="15.75">
      <c r="A45" s="12">
        <f>inputPrYr!B28</f>
        <v>0</v>
      </c>
      <c r="B45" s="15"/>
      <c r="C45" s="9"/>
      <c r="D45" s="718"/>
      <c r="E45" s="24"/>
    </row>
    <row r="46" spans="1:5" ht="15.75">
      <c r="A46" s="12">
        <f>inputPrYr!B29</f>
        <v>0</v>
      </c>
      <c r="B46" s="15"/>
      <c r="C46" s="9"/>
      <c r="D46" s="718"/>
      <c r="E46" s="24"/>
    </row>
    <row r="47" spans="1:5" ht="15.75">
      <c r="A47" s="12">
        <f>inputPrYr!B30</f>
        <v>0</v>
      </c>
      <c r="B47" s="15"/>
      <c r="C47" s="9"/>
      <c r="D47" s="718"/>
      <c r="E47" s="24"/>
    </row>
    <row r="48" spans="1:5" ht="15.75">
      <c r="A48" s="12">
        <f>inputPrYr!B31</f>
        <v>0</v>
      </c>
      <c r="B48" s="15"/>
      <c r="C48" s="9"/>
      <c r="D48" s="717"/>
      <c r="E48" s="24"/>
    </row>
    <row r="49" spans="1:5" ht="15.75">
      <c r="A49" s="4"/>
      <c r="B49" s="9" t="s">
        <v>218</v>
      </c>
      <c r="C49" s="9"/>
      <c r="D49" s="30">
        <f>SUM(D37:D48)</f>
        <v>19.204</v>
      </c>
      <c r="E49" s="4"/>
    </row>
    <row r="50" spans="1:5" ht="15.75">
      <c r="A50" s="4"/>
      <c r="B50" s="4"/>
      <c r="C50" s="4"/>
      <c r="D50" s="4"/>
      <c r="E50" s="4"/>
    </row>
    <row r="51" spans="1:5" ht="15.75">
      <c r="A51" s="35" t="str">
        <f>CONCATENATE("Final Assessed Valuation from the November 1, ",E1-2," Abstract:")</f>
        <v>Final Assessed Valuation from the November 1, 2013 Abstract:</v>
      </c>
      <c r="B51" s="9"/>
      <c r="C51" s="9"/>
      <c r="D51" s="9"/>
      <c r="E51" s="8"/>
    </row>
    <row r="52" spans="1:5" ht="15.75">
      <c r="A52" s="13" t="s">
        <v>132</v>
      </c>
      <c r="B52" s="13"/>
      <c r="C52" s="13"/>
      <c r="D52" s="13"/>
      <c r="E52" s="3">
        <v>3196264</v>
      </c>
    </row>
    <row r="53" spans="1:5" ht="15.75">
      <c r="A53" s="15" t="str">
        <f>inputPrYr!D6</f>
        <v>City of Mount Hope</v>
      </c>
      <c r="B53" s="15"/>
      <c r="C53" s="15"/>
      <c r="D53" s="19"/>
      <c r="E53" s="3">
        <v>3944276</v>
      </c>
    </row>
    <row r="54" spans="1:5" ht="15.75">
      <c r="A54" s="15">
        <f>inputPrYr!D7</f>
        <v>0</v>
      </c>
      <c r="B54" s="15"/>
      <c r="C54" s="15"/>
      <c r="D54" s="19"/>
      <c r="E54" s="3"/>
    </row>
    <row r="55" spans="1:5" ht="15.75">
      <c r="A55" s="15" t="str">
        <f>CONCATENATE("Total  Final Assessed Valuation from the November 1, ",E1-2," Abstract:")</f>
        <v>Total  Final Assessed Valuation from the November 1, 2013 Abstract:</v>
      </c>
      <c r="B55" s="15"/>
      <c r="C55" s="15"/>
      <c r="D55" s="19"/>
      <c r="E55" s="34">
        <f>SUM(E52:E54)</f>
        <v>7140540</v>
      </c>
    </row>
    <row r="56" spans="1:5" ht="15.75">
      <c r="A56" s="4"/>
      <c r="B56" s="4"/>
      <c r="C56" s="4"/>
      <c r="D56" s="4"/>
      <c r="E56" s="4"/>
    </row>
    <row r="57" spans="1:5" ht="15.75">
      <c r="A57" s="17" t="str">
        <f>CONCATENATE("From the County Treasurer's Budget Information - ",E1," Budget Year Estimates:")</f>
        <v>From the County Treasurer's Budget Information - 2015 Budget Year Estimates:</v>
      </c>
      <c r="B57" s="18"/>
      <c r="C57" s="18"/>
      <c r="D57" s="26"/>
      <c r="E57" s="40"/>
    </row>
    <row r="58" spans="1:5" ht="15.75">
      <c r="A58" s="31" t="s">
        <v>125</v>
      </c>
      <c r="B58" s="13"/>
      <c r="C58" s="13"/>
      <c r="D58" s="7"/>
      <c r="E58" s="6"/>
    </row>
    <row r="59" spans="1:5" ht="15.75">
      <c r="A59" s="12" t="s">
        <v>85</v>
      </c>
      <c r="B59" s="13"/>
      <c r="C59" s="13"/>
      <c r="D59" s="27"/>
      <c r="E59" s="2">
        <v>7279</v>
      </c>
    </row>
    <row r="60" spans="1:5" ht="15.75">
      <c r="A60" s="14" t="s">
        <v>219</v>
      </c>
      <c r="B60" s="15"/>
      <c r="C60" s="15"/>
      <c r="D60" s="28"/>
      <c r="E60" s="2">
        <v>125</v>
      </c>
    </row>
    <row r="61" spans="1:5" ht="15.75">
      <c r="A61" s="14" t="s">
        <v>86</v>
      </c>
      <c r="B61" s="15"/>
      <c r="C61" s="15"/>
      <c r="D61" s="28"/>
      <c r="E61" s="2">
        <v>642</v>
      </c>
    </row>
    <row r="62" spans="1:5" ht="15.75">
      <c r="A62" s="32" t="s">
        <v>129</v>
      </c>
      <c r="B62" s="33"/>
      <c r="C62" s="15"/>
      <c r="D62" s="28"/>
      <c r="E62" s="21"/>
    </row>
    <row r="63" spans="1:5" ht="15.75">
      <c r="A63" s="12" t="s">
        <v>126</v>
      </c>
      <c r="B63" s="15"/>
      <c r="C63" s="15"/>
      <c r="D63" s="28"/>
      <c r="E63" s="2"/>
    </row>
    <row r="64" spans="1:5" ht="15.75">
      <c r="A64" s="14" t="s">
        <v>127</v>
      </c>
      <c r="B64" s="15"/>
      <c r="C64" s="15"/>
      <c r="D64" s="28"/>
      <c r="E64" s="2"/>
    </row>
    <row r="65" spans="1:5" ht="15.75">
      <c r="A65" s="14" t="s">
        <v>128</v>
      </c>
      <c r="B65" s="15"/>
      <c r="C65" s="15"/>
      <c r="D65" s="28"/>
      <c r="E65" s="2"/>
    </row>
    <row r="66" spans="1:5" ht="15.75">
      <c r="A66" s="32" t="s">
        <v>130</v>
      </c>
      <c r="B66" s="33"/>
      <c r="C66" s="15"/>
      <c r="D66" s="28"/>
      <c r="E66" s="21"/>
    </row>
    <row r="67" spans="1:5" ht="15.75">
      <c r="A67" s="12" t="s">
        <v>126</v>
      </c>
      <c r="B67" s="15"/>
      <c r="C67" s="15"/>
      <c r="D67" s="28"/>
      <c r="E67" s="2"/>
    </row>
    <row r="68" spans="1:5" ht="15.75">
      <c r="A68" s="14" t="s">
        <v>127</v>
      </c>
      <c r="B68" s="15"/>
      <c r="C68" s="15"/>
      <c r="D68" s="28"/>
      <c r="E68" s="2"/>
    </row>
    <row r="69" spans="1:5" ht="15.75">
      <c r="A69" s="14" t="s">
        <v>128</v>
      </c>
      <c r="B69" s="15"/>
      <c r="C69" s="15"/>
      <c r="D69" s="28"/>
      <c r="E69" s="2"/>
    </row>
    <row r="70" spans="1:5" ht="15.75">
      <c r="A70" s="14"/>
      <c r="B70" s="15"/>
      <c r="C70" s="15"/>
      <c r="D70" s="28"/>
      <c r="E70" s="21"/>
    </row>
    <row r="71" spans="1:5" ht="15.75">
      <c r="A71" s="14" t="s">
        <v>87</v>
      </c>
      <c r="B71" s="15"/>
      <c r="C71" s="15"/>
      <c r="D71" s="28"/>
      <c r="E71" s="2"/>
    </row>
    <row r="72" spans="1:5" ht="15.75">
      <c r="A72" s="14" t="s">
        <v>52</v>
      </c>
      <c r="B72" s="13"/>
      <c r="C72" s="13"/>
      <c r="D72" s="27"/>
      <c r="E72" s="2">
        <v>29840</v>
      </c>
    </row>
    <row r="73" spans="1:5" ht="33" customHeight="1">
      <c r="A73" s="800" t="s">
        <v>131</v>
      </c>
      <c r="B73" s="801"/>
      <c r="C73" s="801"/>
      <c r="D73" s="801"/>
      <c r="E73" s="801"/>
    </row>
    <row r="74" spans="1:5" ht="15.75">
      <c r="A74" s="4"/>
      <c r="B74" s="4"/>
      <c r="C74" s="4"/>
      <c r="D74" s="4"/>
      <c r="E74" s="4"/>
    </row>
    <row r="75" spans="1:5" ht="15.75">
      <c r="A75" s="11" t="s">
        <v>88</v>
      </c>
      <c r="B75" s="10"/>
      <c r="C75" s="10"/>
      <c r="D75" s="4"/>
      <c r="E75" s="4"/>
    </row>
    <row r="76" spans="1:5" ht="15.75">
      <c r="A76" s="60" t="str">
        <f>CONCATENATE("Actual Delinquency for ",E36-3," Tax - (rate .01213 = 1.213%, key in 1.2)")</f>
        <v>Actual Delinquency for -3 Tax - (rate .01213 = 1.213%, key in 1.2)</v>
      </c>
      <c r="B76" s="13"/>
      <c r="C76" s="13"/>
      <c r="D76" s="550"/>
      <c r="E76" s="551">
        <v>0.0121</v>
      </c>
    </row>
    <row r="77" spans="1:5" ht="15.75">
      <c r="A77" s="60" t="s">
        <v>769</v>
      </c>
      <c r="B77" s="16"/>
      <c r="C77" s="9"/>
      <c r="D77" s="9"/>
      <c r="E77" s="552">
        <v>0</v>
      </c>
    </row>
    <row r="78" spans="1:5" ht="34.5" customHeight="1">
      <c r="A78" s="792" t="s">
        <v>89</v>
      </c>
      <c r="B78" s="793"/>
      <c r="C78" s="793"/>
      <c r="D78" s="793"/>
      <c r="E78" s="793"/>
    </row>
    <row r="79" spans="1:5" ht="15.75">
      <c r="A79" s="22"/>
      <c r="B79" s="22"/>
      <c r="C79" s="22"/>
      <c r="D79" s="22"/>
      <c r="E79" s="22"/>
    </row>
    <row r="80" spans="1:5" ht="15.75">
      <c r="A80" s="788" t="str">
        <f>CONCATENATE("From the ",E1-2," Budget Certificate Page")</f>
        <v>From the 2013 Budget Certificate Page</v>
      </c>
      <c r="B80" s="789"/>
      <c r="C80" s="22"/>
      <c r="D80" s="22"/>
      <c r="E80" s="22"/>
    </row>
    <row r="81" spans="1:5" ht="15.75">
      <c r="A81" s="41"/>
      <c r="B81" s="41" t="str">
        <f>CONCATENATE("",E1-2," Expenditure Amounts")</f>
        <v>2013 Expenditure Amounts</v>
      </c>
      <c r="C81" s="790" t="str">
        <f>CONCATENATE("Note: If the ",E1-2," budget was amended, then the")</f>
        <v>Note: If the 2013 budget was amended, then the</v>
      </c>
      <c r="D81" s="791"/>
      <c r="E81" s="791"/>
    </row>
    <row r="82" spans="1:5" ht="15.75">
      <c r="A82" s="42" t="s">
        <v>149</v>
      </c>
      <c r="B82" s="42" t="s">
        <v>150</v>
      </c>
      <c r="C82" s="43" t="s">
        <v>151</v>
      </c>
      <c r="D82" s="44"/>
      <c r="E82" s="44"/>
    </row>
    <row r="83" spans="1:5" ht="15.75">
      <c r="A83" s="45" t="str">
        <f>inputPrYr!B20</f>
        <v>General</v>
      </c>
      <c r="B83" s="3">
        <v>23900</v>
      </c>
      <c r="C83" s="43" t="s">
        <v>152</v>
      </c>
      <c r="D83" s="46"/>
      <c r="E83" s="46"/>
    </row>
    <row r="84" spans="1:5" ht="15.75">
      <c r="A84" s="45" t="str">
        <f>inputPrYr!B21</f>
        <v>Debt Service</v>
      </c>
      <c r="B84" s="3"/>
      <c r="C84" s="43"/>
      <c r="D84" s="46"/>
      <c r="E84" s="46"/>
    </row>
    <row r="85" spans="1:5" ht="15.75">
      <c r="A85" s="45" t="str">
        <f>inputPrYr!B22</f>
        <v>Library</v>
      </c>
      <c r="B85" s="3">
        <v>7500</v>
      </c>
      <c r="C85" s="43"/>
      <c r="D85" s="46"/>
      <c r="E85" s="46"/>
    </row>
    <row r="86" spans="1:5" ht="15.75">
      <c r="A86" s="45" t="str">
        <f>inputPrYr!B23</f>
        <v>Road</v>
      </c>
      <c r="B86" s="3">
        <v>83611</v>
      </c>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v>6076</v>
      </c>
      <c r="C89" s="22"/>
      <c r="D89" s="22"/>
      <c r="E89" s="22"/>
    </row>
    <row r="90" spans="1:5" ht="15.75">
      <c r="A90" s="45">
        <f>inputPrYr!B27</f>
        <v>0</v>
      </c>
      <c r="B90" s="3"/>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f>inputPrYr!B35</f>
        <v>0</v>
      </c>
      <c r="B95" s="3"/>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5" t="s">
        <v>530</v>
      </c>
      <c r="B3" s="345"/>
      <c r="C3" s="345"/>
      <c r="D3" s="345"/>
      <c r="E3" s="345"/>
      <c r="F3" s="345"/>
      <c r="G3" s="345"/>
    </row>
    <row r="4" spans="1:7" ht="15.75">
      <c r="A4" s="345"/>
      <c r="B4" s="345"/>
      <c r="C4" s="345"/>
      <c r="D4" s="345"/>
      <c r="E4" s="345"/>
      <c r="F4" s="345"/>
      <c r="G4" s="345"/>
    </row>
    <row r="5" ht="15.75">
      <c r="A5" s="346" t="s">
        <v>436</v>
      </c>
    </row>
    <row r="6" ht="15.75">
      <c r="A6" s="346" t="str">
        <f>CONCATENATE(inputPrYr!D9," estimated expenditures show that at the end of this year")</f>
        <v>2015 estimated expenditures show that at the end of this year</v>
      </c>
    </row>
    <row r="7" ht="15.75">
      <c r="A7" s="346" t="s">
        <v>531</v>
      </c>
    </row>
    <row r="8" ht="15.75">
      <c r="A8" s="346" t="s">
        <v>532</v>
      </c>
    </row>
    <row r="10" ht="15.75">
      <c r="A10" t="s">
        <v>438</v>
      </c>
    </row>
    <row r="11" ht="15.75">
      <c r="A11" t="s">
        <v>439</v>
      </c>
    </row>
    <row r="12" ht="15.75">
      <c r="A12" t="s">
        <v>440</v>
      </c>
    </row>
    <row r="13" spans="1:7" ht="15.75">
      <c r="A13" s="345"/>
      <c r="B13" s="345"/>
      <c r="C13" s="345"/>
      <c r="D13" s="345"/>
      <c r="E13" s="345"/>
      <c r="F13" s="345"/>
      <c r="G13" s="345"/>
    </row>
    <row r="14" ht="15.75">
      <c r="A14" s="347" t="s">
        <v>533</v>
      </c>
    </row>
    <row r="15" ht="15.75">
      <c r="A15" s="346"/>
    </row>
    <row r="16" ht="15.75">
      <c r="A16" s="346" t="s">
        <v>534</v>
      </c>
    </row>
    <row r="17" ht="15.75">
      <c r="A17" s="346" t="s">
        <v>535</v>
      </c>
    </row>
    <row r="18" ht="15.75">
      <c r="A18" s="346" t="s">
        <v>536</v>
      </c>
    </row>
    <row r="19" ht="15.75">
      <c r="A19" s="346"/>
    </row>
    <row r="20" ht="15.75">
      <c r="A20" s="346" t="s">
        <v>537</v>
      </c>
    </row>
    <row r="21" ht="15.75">
      <c r="A21" s="346" t="s">
        <v>538</v>
      </c>
    </row>
    <row r="22" ht="15.75">
      <c r="A22" s="346" t="s">
        <v>539</v>
      </c>
    </row>
    <row r="23" ht="15.75">
      <c r="A23" s="346" t="s">
        <v>540</v>
      </c>
    </row>
    <row r="24" ht="15.75">
      <c r="A24" s="346"/>
    </row>
    <row r="25" ht="15.75">
      <c r="A25" s="347" t="s">
        <v>502</v>
      </c>
    </row>
    <row r="26" ht="15.75">
      <c r="A26" s="347"/>
    </row>
    <row r="27" ht="15.75">
      <c r="A27" s="346" t="s">
        <v>503</v>
      </c>
    </row>
    <row r="28" spans="1:6" ht="15.75">
      <c r="A28" s="346" t="s">
        <v>504</v>
      </c>
      <c r="B28" s="346"/>
      <c r="C28" s="346"/>
      <c r="D28" s="346"/>
      <c r="E28" s="346"/>
      <c r="F28" s="346"/>
    </row>
    <row r="29" spans="1:6" ht="15.75">
      <c r="A29" s="346" t="s">
        <v>505</v>
      </c>
      <c r="B29" s="346"/>
      <c r="C29" s="346"/>
      <c r="D29" s="346"/>
      <c r="E29" s="346"/>
      <c r="F29" s="346"/>
    </row>
    <row r="30" spans="1:6" ht="15.75">
      <c r="A30" s="346" t="s">
        <v>506</v>
      </c>
      <c r="B30" s="346"/>
      <c r="C30" s="346"/>
      <c r="D30" s="346"/>
      <c r="E30" s="346"/>
      <c r="F30" s="346"/>
    </row>
    <row r="31" ht="15.75">
      <c r="A31" s="346"/>
    </row>
    <row r="32" spans="1:7" ht="15.75">
      <c r="A32" s="347" t="s">
        <v>507</v>
      </c>
      <c r="B32" s="347"/>
      <c r="C32" s="347"/>
      <c r="D32" s="347"/>
      <c r="E32" s="347"/>
      <c r="F32" s="347"/>
      <c r="G32" s="347"/>
    </row>
    <row r="33" spans="1:7" ht="15.75">
      <c r="A33" s="347" t="s">
        <v>508</v>
      </c>
      <c r="B33" s="347"/>
      <c r="C33" s="347"/>
      <c r="D33" s="347"/>
      <c r="E33" s="347"/>
      <c r="F33" s="347"/>
      <c r="G33" s="347"/>
    </row>
    <row r="34" spans="1:7" ht="15.75">
      <c r="A34" s="347"/>
      <c r="B34" s="347"/>
      <c r="C34" s="347"/>
      <c r="D34" s="347"/>
      <c r="E34" s="347"/>
      <c r="F34" s="347"/>
      <c r="G34" s="347"/>
    </row>
    <row r="35" spans="1:7" ht="15.75">
      <c r="A35" s="346" t="s">
        <v>541</v>
      </c>
      <c r="B35" s="346"/>
      <c r="C35" s="346"/>
      <c r="D35" s="346"/>
      <c r="E35" s="346"/>
      <c r="F35" s="346"/>
      <c r="G35" s="346"/>
    </row>
    <row r="36" spans="1:7" ht="15.75">
      <c r="A36" s="346" t="s">
        <v>542</v>
      </c>
      <c r="B36" s="346"/>
      <c r="C36" s="346"/>
      <c r="D36" s="346"/>
      <c r="E36" s="346"/>
      <c r="F36" s="346"/>
      <c r="G36" s="346"/>
    </row>
    <row r="37" spans="1:7" ht="15.75">
      <c r="A37" s="346" t="s">
        <v>543</v>
      </c>
      <c r="B37" s="346"/>
      <c r="C37" s="346"/>
      <c r="D37" s="346"/>
      <c r="E37" s="346"/>
      <c r="F37" s="346"/>
      <c r="G37" s="346"/>
    </row>
    <row r="38" spans="1:7" ht="15.75">
      <c r="A38" s="346" t="s">
        <v>544</v>
      </c>
      <c r="B38" s="346"/>
      <c r="C38" s="346"/>
      <c r="D38" s="346"/>
      <c r="E38" s="346"/>
      <c r="F38" s="346"/>
      <c r="G38" s="346"/>
    </row>
    <row r="39" spans="1:7" ht="15.75">
      <c r="A39" s="346" t="s">
        <v>545</v>
      </c>
      <c r="B39" s="346"/>
      <c r="C39" s="346"/>
      <c r="D39" s="346"/>
      <c r="E39" s="346"/>
      <c r="F39" s="346"/>
      <c r="G39" s="346"/>
    </row>
    <row r="40" spans="1:7" ht="15.75">
      <c r="A40" s="347"/>
      <c r="B40" s="347"/>
      <c r="C40" s="347"/>
      <c r="D40" s="347"/>
      <c r="E40" s="347"/>
      <c r="F40" s="347"/>
      <c r="G40" s="347"/>
    </row>
    <row r="41" spans="1:6" ht="15.75">
      <c r="A41" s="350" t="str">
        <f>CONCATENATE("So, let's look to see if any of your ",inputPrYr!D9-1," expenditures can")</f>
        <v>So, let's look to see if any of your 2014 expenditures can</v>
      </c>
      <c r="B41" s="346"/>
      <c r="C41" s="346"/>
      <c r="D41" s="346"/>
      <c r="E41" s="346"/>
      <c r="F41" s="346"/>
    </row>
    <row r="42" spans="1:6" ht="15.75">
      <c r="A42" s="350" t="s">
        <v>509</v>
      </c>
      <c r="B42" s="346"/>
      <c r="C42" s="346"/>
      <c r="D42" s="346"/>
      <c r="E42" s="346"/>
      <c r="F42" s="346"/>
    </row>
    <row r="43" spans="1:6" ht="15.75">
      <c r="A43" s="350" t="s">
        <v>393</v>
      </c>
      <c r="B43" s="346"/>
      <c r="C43" s="346"/>
      <c r="D43" s="346"/>
      <c r="E43" s="346"/>
      <c r="F43" s="346"/>
    </row>
    <row r="44" spans="1:6" ht="15.75">
      <c r="A44" s="350" t="s">
        <v>394</v>
      </c>
      <c r="B44" s="346"/>
      <c r="C44" s="346"/>
      <c r="D44" s="346"/>
      <c r="E44" s="346"/>
      <c r="F44" s="346"/>
    </row>
    <row r="45" ht="15.75">
      <c r="A45" s="346"/>
    </row>
    <row r="46" spans="1:6" ht="15.75">
      <c r="A46" s="350" t="str">
        <f>CONCATENATE("Additionally, do your ",inputPrYr!D9-1," receipts contain a reimbursement")</f>
        <v>Additionally, do your 2014 receipts contain a reimbursement</v>
      </c>
      <c r="B46" s="346"/>
      <c r="C46" s="346"/>
      <c r="D46" s="346"/>
      <c r="E46" s="346"/>
      <c r="F46" s="346"/>
    </row>
    <row r="47" spans="1:6" ht="15.75">
      <c r="A47" s="350" t="s">
        <v>395</v>
      </c>
      <c r="B47" s="346"/>
      <c r="C47" s="346"/>
      <c r="D47" s="346"/>
      <c r="E47" s="346"/>
      <c r="F47" s="346"/>
    </row>
    <row r="48" spans="1:6" ht="15.75">
      <c r="A48" s="350" t="s">
        <v>396</v>
      </c>
      <c r="B48" s="346"/>
      <c r="C48" s="346"/>
      <c r="D48" s="346"/>
      <c r="E48" s="346"/>
      <c r="F48" s="346"/>
    </row>
    <row r="49" spans="1:7" ht="15.75">
      <c r="A49" s="346"/>
      <c r="B49" s="346"/>
      <c r="C49" s="346"/>
      <c r="D49" s="346"/>
      <c r="E49" s="346"/>
      <c r="F49" s="346"/>
      <c r="G49" s="346"/>
    </row>
    <row r="50" spans="1:7" ht="15.75">
      <c r="A50" s="346" t="s">
        <v>463</v>
      </c>
      <c r="B50" s="346"/>
      <c r="C50" s="346"/>
      <c r="D50" s="346"/>
      <c r="E50" s="346"/>
      <c r="F50" s="346"/>
      <c r="G50" s="346"/>
    </row>
    <row r="51" spans="1:7" ht="15.75">
      <c r="A51" s="346" t="s">
        <v>464</v>
      </c>
      <c r="B51" s="346"/>
      <c r="C51" s="346"/>
      <c r="D51" s="346"/>
      <c r="E51" s="346"/>
      <c r="F51" s="346"/>
      <c r="G51" s="346"/>
    </row>
    <row r="52" spans="1:7" ht="15.75">
      <c r="A52" s="346" t="s">
        <v>465</v>
      </c>
      <c r="B52" s="346"/>
      <c r="C52" s="346"/>
      <c r="D52" s="346"/>
      <c r="E52" s="346"/>
      <c r="F52" s="346"/>
      <c r="G52" s="346"/>
    </row>
    <row r="53" spans="1:7" ht="15.75">
      <c r="A53" s="346" t="s">
        <v>466</v>
      </c>
      <c r="B53" s="346"/>
      <c r="C53" s="346"/>
      <c r="D53" s="346"/>
      <c r="E53" s="346"/>
      <c r="F53" s="346"/>
      <c r="G53" s="346"/>
    </row>
    <row r="54" spans="1:7" ht="15.75">
      <c r="A54" s="346" t="s">
        <v>467</v>
      </c>
      <c r="B54" s="346"/>
      <c r="C54" s="346"/>
      <c r="D54" s="346"/>
      <c r="E54" s="346"/>
      <c r="F54" s="346"/>
      <c r="G54" s="346"/>
    </row>
    <row r="55" spans="1:7" ht="15.75">
      <c r="A55" s="346"/>
      <c r="B55" s="346"/>
      <c r="C55" s="346"/>
      <c r="D55" s="346"/>
      <c r="E55" s="346"/>
      <c r="F55" s="346"/>
      <c r="G55" s="346"/>
    </row>
    <row r="56" spans="1:6" ht="15.75">
      <c r="A56" s="350" t="s">
        <v>405</v>
      </c>
      <c r="B56" s="346"/>
      <c r="C56" s="346"/>
      <c r="D56" s="346"/>
      <c r="E56" s="346"/>
      <c r="F56" s="346"/>
    </row>
    <row r="57" spans="1:6" ht="15.75">
      <c r="A57" s="350" t="s">
        <v>406</v>
      </c>
      <c r="B57" s="346"/>
      <c r="C57" s="346"/>
      <c r="D57" s="346"/>
      <c r="E57" s="346"/>
      <c r="F57" s="346"/>
    </row>
    <row r="58" spans="1:6" ht="15.75">
      <c r="A58" s="350" t="s">
        <v>407</v>
      </c>
      <c r="B58" s="346"/>
      <c r="C58" s="346"/>
      <c r="D58" s="346"/>
      <c r="E58" s="346"/>
      <c r="F58" s="346"/>
    </row>
    <row r="59" spans="1:6" ht="15.75">
      <c r="A59" s="350"/>
      <c r="B59" s="346"/>
      <c r="C59" s="346"/>
      <c r="D59" s="346"/>
      <c r="E59" s="346"/>
      <c r="F59" s="346"/>
    </row>
    <row r="60" spans="1:7" ht="15.75">
      <c r="A60" s="346" t="s">
        <v>546</v>
      </c>
      <c r="B60" s="346"/>
      <c r="C60" s="346"/>
      <c r="D60" s="346"/>
      <c r="E60" s="346"/>
      <c r="F60" s="346"/>
      <c r="G60" s="346"/>
    </row>
    <row r="61" spans="1:7" ht="15.75">
      <c r="A61" s="346" t="s">
        <v>547</v>
      </c>
      <c r="B61" s="346"/>
      <c r="C61" s="346"/>
      <c r="D61" s="346"/>
      <c r="E61" s="346"/>
      <c r="F61" s="346"/>
      <c r="G61" s="346"/>
    </row>
    <row r="62" spans="1:7" ht="15.75">
      <c r="A62" s="346" t="s">
        <v>548</v>
      </c>
      <c r="B62" s="346"/>
      <c r="C62" s="346"/>
      <c r="D62" s="346"/>
      <c r="E62" s="346"/>
      <c r="F62" s="346"/>
      <c r="G62" s="346"/>
    </row>
    <row r="63" spans="1:7" ht="15.75">
      <c r="A63" s="346" t="s">
        <v>549</v>
      </c>
      <c r="B63" s="346"/>
      <c r="C63" s="346"/>
      <c r="D63" s="346"/>
      <c r="E63" s="346"/>
      <c r="F63" s="346"/>
      <c r="G63" s="346"/>
    </row>
    <row r="64" spans="1:7" ht="15.75">
      <c r="A64" s="346" t="s">
        <v>550</v>
      </c>
      <c r="B64" s="346"/>
      <c r="C64" s="346"/>
      <c r="D64" s="346"/>
      <c r="E64" s="346"/>
      <c r="F64" s="346"/>
      <c r="G64" s="346"/>
    </row>
    <row r="66" spans="1:6" ht="15.75">
      <c r="A66" s="350" t="s">
        <v>513</v>
      </c>
      <c r="B66" s="346"/>
      <c r="C66" s="346"/>
      <c r="D66" s="346"/>
      <c r="E66" s="346"/>
      <c r="F66" s="346"/>
    </row>
    <row r="67" spans="1:6" ht="15.75">
      <c r="A67" s="350" t="s">
        <v>514</v>
      </c>
      <c r="B67" s="346"/>
      <c r="C67" s="346"/>
      <c r="D67" s="346"/>
      <c r="E67" s="346"/>
      <c r="F67" s="346"/>
    </row>
    <row r="68" spans="1:6" ht="15.75">
      <c r="A68" s="350" t="s">
        <v>515</v>
      </c>
      <c r="B68" s="346"/>
      <c r="C68" s="346"/>
      <c r="D68" s="346"/>
      <c r="E68" s="346"/>
      <c r="F68" s="346"/>
    </row>
    <row r="69" spans="1:6" ht="15.75">
      <c r="A69" s="350" t="s">
        <v>516</v>
      </c>
      <c r="B69" s="346"/>
      <c r="C69" s="346"/>
      <c r="D69" s="346"/>
      <c r="E69" s="346"/>
      <c r="F69" s="346"/>
    </row>
    <row r="70" spans="1:6" ht="15.75">
      <c r="A70" s="350" t="s">
        <v>517</v>
      </c>
      <c r="B70" s="346"/>
      <c r="C70" s="346"/>
      <c r="D70" s="346"/>
      <c r="E70" s="346"/>
      <c r="F70" s="346"/>
    </row>
    <row r="71" ht="15.75">
      <c r="A71" s="346"/>
    </row>
    <row r="72" ht="15.75">
      <c r="A72" s="346" t="s">
        <v>434</v>
      </c>
    </row>
    <row r="73" ht="15.75">
      <c r="A73" s="346"/>
    </row>
    <row r="74" ht="15.75">
      <c r="A74" s="346"/>
    </row>
    <row r="75" ht="15.75">
      <c r="A75" s="346"/>
    </row>
    <row r="78" ht="15.75">
      <c r="A78" s="347"/>
    </row>
    <row r="80" ht="15.75">
      <c r="A80" s="346"/>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2" ht="15.75">
      <c r="A102" s="346"/>
    </row>
    <row r="103" ht="15.75">
      <c r="A103" s="346"/>
    </row>
    <row r="104" ht="15.75">
      <c r="A104" s="346"/>
    </row>
    <row r="105" ht="15.75">
      <c r="A105" s="346"/>
    </row>
    <row r="106" ht="15.7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45" t="s">
        <v>551</v>
      </c>
      <c r="B3" s="345"/>
      <c r="C3" s="345"/>
      <c r="D3" s="345"/>
      <c r="E3" s="345"/>
      <c r="F3" s="345"/>
      <c r="G3" s="345"/>
    </row>
    <row r="4" spans="1:7" ht="15.75">
      <c r="A4" s="345" t="s">
        <v>552</v>
      </c>
      <c r="B4" s="345"/>
      <c r="C4" s="345"/>
      <c r="D4" s="345"/>
      <c r="E4" s="345"/>
      <c r="F4" s="345"/>
      <c r="G4" s="345"/>
    </row>
    <row r="5" spans="1:7" ht="15.75">
      <c r="A5" s="345"/>
      <c r="B5" s="345"/>
      <c r="C5" s="345"/>
      <c r="D5" s="345"/>
      <c r="E5" s="345"/>
      <c r="F5" s="345"/>
      <c r="G5" s="345"/>
    </row>
    <row r="6" spans="1:7" ht="15.75">
      <c r="A6" s="345"/>
      <c r="B6" s="345"/>
      <c r="C6" s="345"/>
      <c r="D6" s="345"/>
      <c r="E6" s="345"/>
      <c r="F6" s="345"/>
      <c r="G6" s="345"/>
    </row>
    <row r="7" ht="15.75">
      <c r="A7" s="346" t="s">
        <v>379</v>
      </c>
    </row>
    <row r="8" ht="15.75">
      <c r="A8" s="346" t="str">
        <f>CONCATENATE("estimated ",inputPrYr!D9," 'total expenditures' exceed your ",inputPrYr!D9,"")</f>
        <v>estimated 2015 'total expenditures' exceed your 2015</v>
      </c>
    </row>
    <row r="9" ht="15.75">
      <c r="A9" s="349" t="s">
        <v>553</v>
      </c>
    </row>
    <row r="10" ht="15.75">
      <c r="A10" s="346"/>
    </row>
    <row r="11" ht="15.75">
      <c r="A11" s="346" t="s">
        <v>554</v>
      </c>
    </row>
    <row r="12" ht="15.75">
      <c r="A12" s="346" t="s">
        <v>555</v>
      </c>
    </row>
    <row r="13" ht="15.75">
      <c r="A13" s="346" t="s">
        <v>556</v>
      </c>
    </row>
    <row r="14" ht="15.75">
      <c r="A14" s="346"/>
    </row>
    <row r="15" ht="15.75">
      <c r="A15" s="347" t="s">
        <v>557</v>
      </c>
    </row>
    <row r="16" spans="1:7" ht="15.75">
      <c r="A16" s="345"/>
      <c r="B16" s="345"/>
      <c r="C16" s="345"/>
      <c r="D16" s="345"/>
      <c r="E16" s="345"/>
      <c r="F16" s="345"/>
      <c r="G16" s="345"/>
    </row>
    <row r="17" spans="1:8" ht="15.75">
      <c r="A17" s="352" t="s">
        <v>558</v>
      </c>
      <c r="B17" s="344"/>
      <c r="C17" s="344"/>
      <c r="D17" s="344"/>
      <c r="E17" s="344"/>
      <c r="F17" s="344"/>
      <c r="G17" s="344"/>
      <c r="H17" s="344"/>
    </row>
    <row r="18" spans="1:7" ht="15.75">
      <c r="A18" s="346" t="s">
        <v>559</v>
      </c>
      <c r="B18" s="353"/>
      <c r="C18" s="353"/>
      <c r="D18" s="353"/>
      <c r="E18" s="353"/>
      <c r="F18" s="353"/>
      <c r="G18" s="353"/>
    </row>
    <row r="19" ht="15.75">
      <c r="A19" s="346" t="s">
        <v>560</v>
      </c>
    </row>
    <row r="20" ht="15.75">
      <c r="A20" s="346" t="s">
        <v>561</v>
      </c>
    </row>
    <row r="22" ht="15.75">
      <c r="A22" s="347" t="s">
        <v>562</v>
      </c>
    </row>
    <row r="24" ht="15.75">
      <c r="A24" s="346" t="s">
        <v>563</v>
      </c>
    </row>
    <row r="25" ht="15.75">
      <c r="A25" s="346" t="s">
        <v>564</v>
      </c>
    </row>
    <row r="26" ht="15.75">
      <c r="A26" s="346" t="s">
        <v>565</v>
      </c>
    </row>
    <row r="28" ht="15.75">
      <c r="A28" s="347" t="s">
        <v>566</v>
      </c>
    </row>
    <row r="30" ht="15.75">
      <c r="A30" t="s">
        <v>567</v>
      </c>
    </row>
    <row r="31" ht="15.75">
      <c r="A31" t="s">
        <v>568</v>
      </c>
    </row>
    <row r="32" ht="15.75">
      <c r="A32" t="s">
        <v>569</v>
      </c>
    </row>
    <row r="33" ht="15.75">
      <c r="A33" s="346" t="s">
        <v>570</v>
      </c>
    </row>
    <row r="35" ht="15.75">
      <c r="A35" t="s">
        <v>571</v>
      </c>
    </row>
    <row r="36" ht="15.75">
      <c r="A36" t="s">
        <v>572</v>
      </c>
    </row>
    <row r="37" ht="15.75">
      <c r="A37" t="s">
        <v>573</v>
      </c>
    </row>
    <row r="38" ht="15.75">
      <c r="A38" t="s">
        <v>574</v>
      </c>
    </row>
    <row r="40" ht="15.75">
      <c r="A40" t="s">
        <v>575</v>
      </c>
    </row>
    <row r="41" ht="15.75">
      <c r="A41" t="s">
        <v>576</v>
      </c>
    </row>
    <row r="42" ht="15.75">
      <c r="A42" t="s">
        <v>577</v>
      </c>
    </row>
    <row r="43" ht="15.75">
      <c r="A43" t="s">
        <v>578</v>
      </c>
    </row>
    <row r="44" ht="15.75">
      <c r="A44" t="s">
        <v>579</v>
      </c>
    </row>
    <row r="45" ht="15.75">
      <c r="A45" t="s">
        <v>580</v>
      </c>
    </row>
    <row r="47" ht="15.75">
      <c r="A47" t="s">
        <v>581</v>
      </c>
    </row>
    <row r="48" ht="15.75">
      <c r="A48" t="s">
        <v>582</v>
      </c>
    </row>
    <row r="49" ht="15.75">
      <c r="A49" s="346" t="s">
        <v>583</v>
      </c>
    </row>
    <row r="50" ht="15.75">
      <c r="A50" s="346" t="s">
        <v>584</v>
      </c>
    </row>
    <row r="52" ht="15.75">
      <c r="A52" t="s">
        <v>434</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4.25">
      <c r="A1" s="366"/>
      <c r="B1" s="366"/>
      <c r="C1" s="366"/>
      <c r="D1" s="366"/>
      <c r="E1" s="366"/>
      <c r="F1" s="366"/>
      <c r="G1" s="366"/>
      <c r="H1" s="366"/>
      <c r="I1" s="366"/>
      <c r="J1" s="366"/>
      <c r="K1" s="366"/>
      <c r="L1" s="366"/>
    </row>
    <row r="2" spans="1:12" ht="14.25">
      <c r="A2" s="366"/>
      <c r="B2" s="366"/>
      <c r="C2" s="366"/>
      <c r="D2" s="366"/>
      <c r="E2" s="366"/>
      <c r="F2" s="366"/>
      <c r="G2" s="366"/>
      <c r="H2" s="366"/>
      <c r="I2" s="366"/>
      <c r="J2" s="366"/>
      <c r="K2" s="366"/>
      <c r="L2" s="366"/>
    </row>
    <row r="3" spans="1:12" ht="14.25">
      <c r="A3" s="366"/>
      <c r="B3" s="366"/>
      <c r="C3" s="366"/>
      <c r="D3" s="366"/>
      <c r="E3" s="366"/>
      <c r="F3" s="366"/>
      <c r="G3" s="366"/>
      <c r="H3" s="366"/>
      <c r="I3" s="366"/>
      <c r="J3" s="366"/>
      <c r="K3" s="366"/>
      <c r="L3" s="366"/>
    </row>
    <row r="4" spans="1:12" ht="14.25">
      <c r="A4" s="366"/>
      <c r="L4" s="366"/>
    </row>
    <row r="5" spans="1:12" ht="15" customHeight="1">
      <c r="A5" s="366"/>
      <c r="L5" s="366"/>
    </row>
    <row r="6" spans="1:12" ht="33" customHeight="1">
      <c r="A6" s="366"/>
      <c r="B6" s="906" t="s">
        <v>622</v>
      </c>
      <c r="C6" s="907"/>
      <c r="D6" s="907"/>
      <c r="E6" s="907"/>
      <c r="F6" s="907"/>
      <c r="G6" s="907"/>
      <c r="H6" s="907"/>
      <c r="I6" s="907"/>
      <c r="J6" s="907"/>
      <c r="K6" s="907"/>
      <c r="L6" s="368"/>
    </row>
    <row r="7" spans="1:12" ht="40.5" customHeight="1">
      <c r="A7" s="366"/>
      <c r="B7" s="908" t="s">
        <v>623</v>
      </c>
      <c r="C7" s="909"/>
      <c r="D7" s="909"/>
      <c r="E7" s="909"/>
      <c r="F7" s="909"/>
      <c r="G7" s="909"/>
      <c r="H7" s="909"/>
      <c r="I7" s="909"/>
      <c r="J7" s="909"/>
      <c r="K7" s="909"/>
      <c r="L7" s="366"/>
    </row>
    <row r="8" spans="1:12" ht="14.25">
      <c r="A8" s="366"/>
      <c r="B8" s="910" t="s">
        <v>624</v>
      </c>
      <c r="C8" s="910"/>
      <c r="D8" s="910"/>
      <c r="E8" s="910"/>
      <c r="F8" s="910"/>
      <c r="G8" s="910"/>
      <c r="H8" s="910"/>
      <c r="I8" s="910"/>
      <c r="J8" s="910"/>
      <c r="K8" s="910"/>
      <c r="L8" s="366"/>
    </row>
    <row r="9" spans="1:12" ht="14.25">
      <c r="A9" s="366"/>
      <c r="L9" s="366"/>
    </row>
    <row r="10" spans="1:12" ht="14.25">
      <c r="A10" s="366"/>
      <c r="B10" s="910" t="s">
        <v>625</v>
      </c>
      <c r="C10" s="910"/>
      <c r="D10" s="910"/>
      <c r="E10" s="910"/>
      <c r="F10" s="910"/>
      <c r="G10" s="910"/>
      <c r="H10" s="910"/>
      <c r="I10" s="910"/>
      <c r="J10" s="910"/>
      <c r="K10" s="910"/>
      <c r="L10" s="366"/>
    </row>
    <row r="11" spans="1:12" ht="14.25">
      <c r="A11" s="366"/>
      <c r="B11" s="369"/>
      <c r="C11" s="369"/>
      <c r="D11" s="369"/>
      <c r="E11" s="369"/>
      <c r="F11" s="369"/>
      <c r="G11" s="369"/>
      <c r="H11" s="369"/>
      <c r="I11" s="369"/>
      <c r="J11" s="369"/>
      <c r="K11" s="369"/>
      <c r="L11" s="366"/>
    </row>
    <row r="12" spans="1:12" ht="32.25" customHeight="1">
      <c r="A12" s="366"/>
      <c r="B12" s="911" t="s">
        <v>626</v>
      </c>
      <c r="C12" s="911"/>
      <c r="D12" s="911"/>
      <c r="E12" s="911"/>
      <c r="F12" s="911"/>
      <c r="G12" s="911"/>
      <c r="H12" s="911"/>
      <c r="I12" s="911"/>
      <c r="J12" s="911"/>
      <c r="K12" s="911"/>
      <c r="L12" s="366"/>
    </row>
    <row r="13" spans="1:12" ht="14.25">
      <c r="A13" s="366"/>
      <c r="L13" s="366"/>
    </row>
    <row r="14" spans="1:12" ht="14.25">
      <c r="A14" s="366"/>
      <c r="B14" s="370" t="s">
        <v>627</v>
      </c>
      <c r="L14" s="366"/>
    </row>
    <row r="15" spans="1:12" ht="14.25">
      <c r="A15" s="366"/>
      <c r="L15" s="366"/>
    </row>
    <row r="16" spans="1:12" ht="14.25">
      <c r="A16" s="366"/>
      <c r="B16" s="367" t="s">
        <v>628</v>
      </c>
      <c r="L16" s="366"/>
    </row>
    <row r="17" spans="1:12" ht="14.25">
      <c r="A17" s="366"/>
      <c r="B17" s="367" t="s">
        <v>629</v>
      </c>
      <c r="L17" s="366"/>
    </row>
    <row r="18" spans="1:12" ht="14.25">
      <c r="A18" s="366"/>
      <c r="L18" s="366"/>
    </row>
    <row r="19" spans="1:12" ht="14.25">
      <c r="A19" s="366"/>
      <c r="B19" s="370" t="s">
        <v>630</v>
      </c>
      <c r="L19" s="366"/>
    </row>
    <row r="20" spans="1:12" ht="14.25">
      <c r="A20" s="366"/>
      <c r="B20" s="370"/>
      <c r="L20" s="366"/>
    </row>
    <row r="21" spans="1:12" ht="14.25">
      <c r="A21" s="366"/>
      <c r="B21" s="367" t="s">
        <v>631</v>
      </c>
      <c r="L21" s="366"/>
    </row>
    <row r="22" spans="1:12" ht="14.25">
      <c r="A22" s="366"/>
      <c r="L22" s="366"/>
    </row>
    <row r="23" spans="1:12" ht="14.25">
      <c r="A23" s="366"/>
      <c r="B23" s="367" t="s">
        <v>632</v>
      </c>
      <c r="E23" s="367" t="s">
        <v>633</v>
      </c>
      <c r="F23" s="905">
        <v>133685008</v>
      </c>
      <c r="G23" s="905"/>
      <c r="L23" s="366"/>
    </row>
    <row r="24" spans="1:12" ht="14.25">
      <c r="A24" s="366"/>
      <c r="L24" s="366"/>
    </row>
    <row r="25" spans="1:12" ht="14.25">
      <c r="A25" s="366"/>
      <c r="C25" s="912">
        <f>F23</f>
        <v>133685008</v>
      </c>
      <c r="D25" s="912"/>
      <c r="E25" s="367" t="s">
        <v>634</v>
      </c>
      <c r="F25" s="371">
        <v>1000</v>
      </c>
      <c r="G25" s="371" t="s">
        <v>633</v>
      </c>
      <c r="H25" s="372">
        <f>F23/F25</f>
        <v>133685.008</v>
      </c>
      <c r="L25" s="366"/>
    </row>
    <row r="26" spans="1:12" ht="15" thickBot="1">
      <c r="A26" s="366"/>
      <c r="L26" s="366"/>
    </row>
    <row r="27" spans="1:12" ht="14.25">
      <c r="A27" s="366"/>
      <c r="B27" s="373" t="s">
        <v>627</v>
      </c>
      <c r="C27" s="374"/>
      <c r="D27" s="374"/>
      <c r="E27" s="374"/>
      <c r="F27" s="374"/>
      <c r="G27" s="374"/>
      <c r="H27" s="374"/>
      <c r="I27" s="374"/>
      <c r="J27" s="374"/>
      <c r="K27" s="375"/>
      <c r="L27" s="366"/>
    </row>
    <row r="28" spans="1:12" ht="14.25">
      <c r="A28" s="366"/>
      <c r="B28" s="376">
        <f>F23</f>
        <v>133685008</v>
      </c>
      <c r="C28" s="377" t="s">
        <v>635</v>
      </c>
      <c r="D28" s="377"/>
      <c r="E28" s="377" t="s">
        <v>634</v>
      </c>
      <c r="F28" s="378">
        <v>1000</v>
      </c>
      <c r="G28" s="378" t="s">
        <v>633</v>
      </c>
      <c r="H28" s="379">
        <f>B28/F28</f>
        <v>133685.008</v>
      </c>
      <c r="I28" s="377" t="s">
        <v>636</v>
      </c>
      <c r="J28" s="377"/>
      <c r="K28" s="380"/>
      <c r="L28" s="366"/>
    </row>
    <row r="29" spans="1:12" ht="15" thickBot="1">
      <c r="A29" s="366"/>
      <c r="B29" s="381"/>
      <c r="C29" s="382"/>
      <c r="D29" s="382"/>
      <c r="E29" s="382"/>
      <c r="F29" s="382"/>
      <c r="G29" s="382"/>
      <c r="H29" s="382"/>
      <c r="I29" s="382"/>
      <c r="J29" s="382"/>
      <c r="K29" s="383"/>
      <c r="L29" s="366"/>
    </row>
    <row r="30" spans="1:12" ht="40.5" customHeight="1">
      <c r="A30" s="366"/>
      <c r="B30" s="913" t="s">
        <v>623</v>
      </c>
      <c r="C30" s="913"/>
      <c r="D30" s="913"/>
      <c r="E30" s="913"/>
      <c r="F30" s="913"/>
      <c r="G30" s="913"/>
      <c r="H30" s="913"/>
      <c r="I30" s="913"/>
      <c r="J30" s="913"/>
      <c r="K30" s="913"/>
      <c r="L30" s="366"/>
    </row>
    <row r="31" spans="1:12" ht="14.25">
      <c r="A31" s="366"/>
      <c r="B31" s="910" t="s">
        <v>637</v>
      </c>
      <c r="C31" s="910"/>
      <c r="D31" s="910"/>
      <c r="E31" s="910"/>
      <c r="F31" s="910"/>
      <c r="G31" s="910"/>
      <c r="H31" s="910"/>
      <c r="I31" s="910"/>
      <c r="J31" s="910"/>
      <c r="K31" s="910"/>
      <c r="L31" s="366"/>
    </row>
    <row r="32" spans="1:12" ht="14.25">
      <c r="A32" s="366"/>
      <c r="L32" s="366"/>
    </row>
    <row r="33" spans="1:12" ht="14.25">
      <c r="A33" s="366"/>
      <c r="B33" s="910" t="s">
        <v>638</v>
      </c>
      <c r="C33" s="910"/>
      <c r="D33" s="910"/>
      <c r="E33" s="910"/>
      <c r="F33" s="910"/>
      <c r="G33" s="910"/>
      <c r="H33" s="910"/>
      <c r="I33" s="910"/>
      <c r="J33" s="910"/>
      <c r="K33" s="910"/>
      <c r="L33" s="366"/>
    </row>
    <row r="34" spans="1:12" ht="14.25">
      <c r="A34" s="366"/>
      <c r="L34" s="366"/>
    </row>
    <row r="35" spans="1:12" ht="89.25" customHeight="1">
      <c r="A35" s="366"/>
      <c r="B35" s="911" t="s">
        <v>639</v>
      </c>
      <c r="C35" s="914"/>
      <c r="D35" s="914"/>
      <c r="E35" s="914"/>
      <c r="F35" s="914"/>
      <c r="G35" s="914"/>
      <c r="H35" s="914"/>
      <c r="I35" s="914"/>
      <c r="J35" s="914"/>
      <c r="K35" s="914"/>
      <c r="L35" s="366"/>
    </row>
    <row r="36" spans="1:12" ht="14.25">
      <c r="A36" s="366"/>
      <c r="L36" s="366"/>
    </row>
    <row r="37" spans="1:12" ht="14.25">
      <c r="A37" s="366"/>
      <c r="B37" s="370" t="s">
        <v>640</v>
      </c>
      <c r="L37" s="366"/>
    </row>
    <row r="38" spans="1:12" ht="14.25">
      <c r="A38" s="366"/>
      <c r="L38" s="366"/>
    </row>
    <row r="39" spans="1:12" ht="14.25">
      <c r="A39" s="366"/>
      <c r="B39" s="367" t="s">
        <v>641</v>
      </c>
      <c r="L39" s="366"/>
    </row>
    <row r="40" spans="1:12" ht="14.25">
      <c r="A40" s="366"/>
      <c r="L40" s="366"/>
    </row>
    <row r="41" spans="1:12" ht="14.25">
      <c r="A41" s="366"/>
      <c r="C41" s="915">
        <v>3120000</v>
      </c>
      <c r="D41" s="915"/>
      <c r="E41" s="367" t="s">
        <v>634</v>
      </c>
      <c r="F41" s="371">
        <v>1000</v>
      </c>
      <c r="G41" s="371" t="s">
        <v>633</v>
      </c>
      <c r="H41" s="384">
        <f>C41/F41</f>
        <v>3120</v>
      </c>
      <c r="L41" s="366"/>
    </row>
    <row r="42" spans="1:12" ht="14.25">
      <c r="A42" s="366"/>
      <c r="L42" s="366"/>
    </row>
    <row r="43" spans="1:12" ht="14.25">
      <c r="A43" s="366"/>
      <c r="B43" s="367" t="s">
        <v>642</v>
      </c>
      <c r="L43" s="366"/>
    </row>
    <row r="44" spans="1:12" ht="14.25">
      <c r="A44" s="366"/>
      <c r="L44" s="366"/>
    </row>
    <row r="45" spans="1:12" ht="14.25">
      <c r="A45" s="366"/>
      <c r="B45" s="367" t="s">
        <v>643</v>
      </c>
      <c r="L45" s="366"/>
    </row>
    <row r="46" spans="1:12" ht="15" thickBot="1">
      <c r="A46" s="366"/>
      <c r="L46" s="366"/>
    </row>
    <row r="47" spans="1:12" ht="14.25">
      <c r="A47" s="366"/>
      <c r="B47" s="385" t="s">
        <v>627</v>
      </c>
      <c r="C47" s="374"/>
      <c r="D47" s="374"/>
      <c r="E47" s="374"/>
      <c r="F47" s="374"/>
      <c r="G47" s="374"/>
      <c r="H47" s="374"/>
      <c r="I47" s="374"/>
      <c r="J47" s="374"/>
      <c r="K47" s="375"/>
      <c r="L47" s="366"/>
    </row>
    <row r="48" spans="1:12" ht="14.25">
      <c r="A48" s="366"/>
      <c r="B48" s="905">
        <v>133685008</v>
      </c>
      <c r="C48" s="905"/>
      <c r="D48" s="377" t="s">
        <v>644</v>
      </c>
      <c r="E48" s="377" t="s">
        <v>634</v>
      </c>
      <c r="F48" s="378">
        <v>1000</v>
      </c>
      <c r="G48" s="378" t="s">
        <v>633</v>
      </c>
      <c r="H48" s="379">
        <f>B48/F48</f>
        <v>133685.008</v>
      </c>
      <c r="I48" s="377" t="s">
        <v>645</v>
      </c>
      <c r="J48" s="377"/>
      <c r="K48" s="380"/>
      <c r="L48" s="366"/>
    </row>
    <row r="49" spans="1:12" ht="14.25">
      <c r="A49" s="366"/>
      <c r="B49" s="386"/>
      <c r="C49" s="377"/>
      <c r="D49" s="377"/>
      <c r="E49" s="377"/>
      <c r="F49" s="377"/>
      <c r="G49" s="377"/>
      <c r="H49" s="377"/>
      <c r="I49" s="377"/>
      <c r="J49" s="377"/>
      <c r="K49" s="380"/>
      <c r="L49" s="366"/>
    </row>
    <row r="50" spans="1:12" ht="14.25">
      <c r="A50" s="366"/>
      <c r="B50" s="387">
        <v>7067793</v>
      </c>
      <c r="C50" s="377" t="s">
        <v>646</v>
      </c>
      <c r="D50" s="377"/>
      <c r="E50" s="377" t="s">
        <v>634</v>
      </c>
      <c r="F50" s="379">
        <f>H48</f>
        <v>133685.008</v>
      </c>
      <c r="G50" s="916" t="s">
        <v>647</v>
      </c>
      <c r="H50" s="917"/>
      <c r="I50" s="378" t="s">
        <v>633</v>
      </c>
      <c r="J50" s="388">
        <f>B50/F50</f>
        <v>52.8690023342034</v>
      </c>
      <c r="K50" s="380"/>
      <c r="L50" s="366"/>
    </row>
    <row r="51" spans="1:15" ht="15" thickBot="1">
      <c r="A51" s="366"/>
      <c r="B51" s="381"/>
      <c r="C51" s="382"/>
      <c r="D51" s="382"/>
      <c r="E51" s="382"/>
      <c r="F51" s="382"/>
      <c r="G51" s="382"/>
      <c r="H51" s="382"/>
      <c r="I51" s="918" t="s">
        <v>648</v>
      </c>
      <c r="J51" s="918"/>
      <c r="K51" s="919"/>
      <c r="L51" s="366"/>
      <c r="O51" s="389"/>
    </row>
    <row r="52" spans="1:12" ht="40.5" customHeight="1">
      <c r="A52" s="366"/>
      <c r="B52" s="913" t="s">
        <v>623</v>
      </c>
      <c r="C52" s="913"/>
      <c r="D52" s="913"/>
      <c r="E52" s="913"/>
      <c r="F52" s="913"/>
      <c r="G52" s="913"/>
      <c r="H52" s="913"/>
      <c r="I52" s="913"/>
      <c r="J52" s="913"/>
      <c r="K52" s="913"/>
      <c r="L52" s="366"/>
    </row>
    <row r="53" spans="1:12" ht="14.25">
      <c r="A53" s="366"/>
      <c r="B53" s="910" t="s">
        <v>649</v>
      </c>
      <c r="C53" s="910"/>
      <c r="D53" s="910"/>
      <c r="E53" s="910"/>
      <c r="F53" s="910"/>
      <c r="G53" s="910"/>
      <c r="H53" s="910"/>
      <c r="I53" s="910"/>
      <c r="J53" s="910"/>
      <c r="K53" s="910"/>
      <c r="L53" s="366"/>
    </row>
    <row r="54" spans="1:12" ht="14.25">
      <c r="A54" s="366"/>
      <c r="B54" s="369"/>
      <c r="C54" s="369"/>
      <c r="D54" s="369"/>
      <c r="E54" s="369"/>
      <c r="F54" s="369"/>
      <c r="G54" s="369"/>
      <c r="H54" s="369"/>
      <c r="I54" s="369"/>
      <c r="J54" s="369"/>
      <c r="K54" s="369"/>
      <c r="L54" s="366"/>
    </row>
    <row r="55" spans="1:12" ht="14.25">
      <c r="A55" s="366"/>
      <c r="B55" s="906" t="s">
        <v>650</v>
      </c>
      <c r="C55" s="906"/>
      <c r="D55" s="906"/>
      <c r="E55" s="906"/>
      <c r="F55" s="906"/>
      <c r="G55" s="906"/>
      <c r="H55" s="906"/>
      <c r="I55" s="906"/>
      <c r="J55" s="906"/>
      <c r="K55" s="906"/>
      <c r="L55" s="366"/>
    </row>
    <row r="56" spans="1:12" ht="15" customHeight="1">
      <c r="A56" s="366"/>
      <c r="L56" s="366"/>
    </row>
    <row r="57" spans="1:24" ht="74.25" customHeight="1">
      <c r="A57" s="366"/>
      <c r="B57" s="911" t="s">
        <v>651</v>
      </c>
      <c r="C57" s="914"/>
      <c r="D57" s="914"/>
      <c r="E57" s="914"/>
      <c r="F57" s="914"/>
      <c r="G57" s="914"/>
      <c r="H57" s="914"/>
      <c r="I57" s="914"/>
      <c r="J57" s="914"/>
      <c r="K57" s="914"/>
      <c r="L57" s="366"/>
      <c r="M57" s="390"/>
      <c r="N57" s="391"/>
      <c r="O57" s="391"/>
      <c r="P57" s="391"/>
      <c r="Q57" s="391"/>
      <c r="R57" s="391"/>
      <c r="S57" s="391"/>
      <c r="T57" s="391"/>
      <c r="U57" s="391"/>
      <c r="V57" s="391"/>
      <c r="W57" s="391"/>
      <c r="X57" s="391"/>
    </row>
    <row r="58" spans="1:24" ht="15" customHeight="1">
      <c r="A58" s="366"/>
      <c r="B58" s="911"/>
      <c r="C58" s="914"/>
      <c r="D58" s="914"/>
      <c r="E58" s="914"/>
      <c r="F58" s="914"/>
      <c r="G58" s="914"/>
      <c r="H58" s="914"/>
      <c r="I58" s="914"/>
      <c r="J58" s="914"/>
      <c r="K58" s="914"/>
      <c r="L58" s="366"/>
      <c r="M58" s="390"/>
      <c r="N58" s="391"/>
      <c r="O58" s="391"/>
      <c r="P58" s="391"/>
      <c r="Q58" s="391"/>
      <c r="R58" s="391"/>
      <c r="S58" s="391"/>
      <c r="T58" s="391"/>
      <c r="U58" s="391"/>
      <c r="V58" s="391"/>
      <c r="W58" s="391"/>
      <c r="X58" s="391"/>
    </row>
    <row r="59" spans="1:24" ht="14.25">
      <c r="A59" s="366"/>
      <c r="B59" s="370" t="s">
        <v>640</v>
      </c>
      <c r="L59" s="366"/>
      <c r="M59" s="391"/>
      <c r="N59" s="391"/>
      <c r="O59" s="391"/>
      <c r="P59" s="391"/>
      <c r="Q59" s="391"/>
      <c r="R59" s="391"/>
      <c r="S59" s="391"/>
      <c r="T59" s="391"/>
      <c r="U59" s="391"/>
      <c r="V59" s="391"/>
      <c r="W59" s="391"/>
      <c r="X59" s="391"/>
    </row>
    <row r="60" spans="1:24" ht="14.25">
      <c r="A60" s="366"/>
      <c r="L60" s="366"/>
      <c r="M60" s="391"/>
      <c r="N60" s="391"/>
      <c r="O60" s="391"/>
      <c r="P60" s="391"/>
      <c r="Q60" s="391"/>
      <c r="R60" s="391"/>
      <c r="S60" s="391"/>
      <c r="T60" s="391"/>
      <c r="U60" s="391"/>
      <c r="V60" s="391"/>
      <c r="W60" s="391"/>
      <c r="X60" s="391"/>
    </row>
    <row r="61" spans="1:24" ht="14.25">
      <c r="A61" s="366"/>
      <c r="B61" s="367" t="s">
        <v>652</v>
      </c>
      <c r="L61" s="366"/>
      <c r="M61" s="391"/>
      <c r="N61" s="391"/>
      <c r="O61" s="391"/>
      <c r="P61" s="391"/>
      <c r="Q61" s="391"/>
      <c r="R61" s="391"/>
      <c r="S61" s="391"/>
      <c r="T61" s="391"/>
      <c r="U61" s="391"/>
      <c r="V61" s="391"/>
      <c r="W61" s="391"/>
      <c r="X61" s="391"/>
    </row>
    <row r="62" spans="1:24" ht="14.25">
      <c r="A62" s="366"/>
      <c r="B62" s="367" t="s">
        <v>653</v>
      </c>
      <c r="L62" s="366"/>
      <c r="M62" s="391"/>
      <c r="N62" s="391"/>
      <c r="O62" s="391"/>
      <c r="P62" s="391"/>
      <c r="Q62" s="391"/>
      <c r="R62" s="391"/>
      <c r="S62" s="391"/>
      <c r="T62" s="391"/>
      <c r="U62" s="391"/>
      <c r="V62" s="391"/>
      <c r="W62" s="391"/>
      <c r="X62" s="391"/>
    </row>
    <row r="63" spans="1:24" ht="14.25">
      <c r="A63" s="366"/>
      <c r="B63" s="367" t="s">
        <v>654</v>
      </c>
      <c r="L63" s="366"/>
      <c r="M63" s="391"/>
      <c r="N63" s="391"/>
      <c r="O63" s="391"/>
      <c r="P63" s="391"/>
      <c r="Q63" s="391"/>
      <c r="R63" s="391"/>
      <c r="S63" s="391"/>
      <c r="T63" s="391"/>
      <c r="U63" s="391"/>
      <c r="V63" s="391"/>
      <c r="W63" s="391"/>
      <c r="X63" s="391"/>
    </row>
    <row r="64" spans="1:24" ht="14.25">
      <c r="A64" s="366"/>
      <c r="L64" s="366"/>
      <c r="M64" s="391"/>
      <c r="N64" s="391"/>
      <c r="O64" s="391"/>
      <c r="P64" s="391"/>
      <c r="Q64" s="391"/>
      <c r="R64" s="391"/>
      <c r="S64" s="391"/>
      <c r="T64" s="391"/>
      <c r="U64" s="391"/>
      <c r="V64" s="391"/>
      <c r="W64" s="391"/>
      <c r="X64" s="391"/>
    </row>
    <row r="65" spans="1:24" ht="14.25">
      <c r="A65" s="366"/>
      <c r="B65" s="367" t="s">
        <v>655</v>
      </c>
      <c r="L65" s="366"/>
      <c r="M65" s="391"/>
      <c r="N65" s="391"/>
      <c r="O65" s="391"/>
      <c r="P65" s="391"/>
      <c r="Q65" s="391"/>
      <c r="R65" s="391"/>
      <c r="S65" s="391"/>
      <c r="T65" s="391"/>
      <c r="U65" s="391"/>
      <c r="V65" s="391"/>
      <c r="W65" s="391"/>
      <c r="X65" s="391"/>
    </row>
    <row r="66" spans="1:24" ht="14.25">
      <c r="A66" s="366"/>
      <c r="B66" s="367" t="s">
        <v>656</v>
      </c>
      <c r="L66" s="366"/>
      <c r="M66" s="391"/>
      <c r="N66" s="391"/>
      <c r="O66" s="391"/>
      <c r="P66" s="391"/>
      <c r="Q66" s="391"/>
      <c r="R66" s="391"/>
      <c r="S66" s="391"/>
      <c r="T66" s="391"/>
      <c r="U66" s="391"/>
      <c r="V66" s="391"/>
      <c r="W66" s="391"/>
      <c r="X66" s="391"/>
    </row>
    <row r="67" spans="1:24" ht="14.25">
      <c r="A67" s="366"/>
      <c r="L67" s="366"/>
      <c r="M67" s="391"/>
      <c r="N67" s="391"/>
      <c r="O67" s="391"/>
      <c r="P67" s="391"/>
      <c r="Q67" s="391"/>
      <c r="R67" s="391"/>
      <c r="S67" s="391"/>
      <c r="T67" s="391"/>
      <c r="U67" s="391"/>
      <c r="V67" s="391"/>
      <c r="W67" s="391"/>
      <c r="X67" s="391"/>
    </row>
    <row r="68" spans="1:24" ht="14.25">
      <c r="A68" s="366"/>
      <c r="B68" s="367" t="s">
        <v>657</v>
      </c>
      <c r="L68" s="366"/>
      <c r="M68" s="392"/>
      <c r="N68" s="393"/>
      <c r="O68" s="393"/>
      <c r="P68" s="393"/>
      <c r="Q68" s="393"/>
      <c r="R68" s="393"/>
      <c r="S68" s="393"/>
      <c r="T68" s="393"/>
      <c r="U68" s="393"/>
      <c r="V68" s="393"/>
      <c r="W68" s="393"/>
      <c r="X68" s="391"/>
    </row>
    <row r="69" spans="1:24" ht="14.25">
      <c r="A69" s="366"/>
      <c r="B69" s="367" t="s">
        <v>658</v>
      </c>
      <c r="L69" s="366"/>
      <c r="M69" s="391"/>
      <c r="N69" s="391"/>
      <c r="O69" s="391"/>
      <c r="P69" s="391"/>
      <c r="Q69" s="391"/>
      <c r="R69" s="391"/>
      <c r="S69" s="391"/>
      <c r="T69" s="391"/>
      <c r="U69" s="391"/>
      <c r="V69" s="391"/>
      <c r="W69" s="391"/>
      <c r="X69" s="391"/>
    </row>
    <row r="70" spans="1:24" ht="14.25">
      <c r="A70" s="366"/>
      <c r="B70" s="367" t="s">
        <v>659</v>
      </c>
      <c r="L70" s="366"/>
      <c r="M70" s="391"/>
      <c r="N70" s="391"/>
      <c r="O70" s="391"/>
      <c r="P70" s="391"/>
      <c r="Q70" s="391"/>
      <c r="R70" s="391"/>
      <c r="S70" s="391"/>
      <c r="T70" s="391"/>
      <c r="U70" s="391"/>
      <c r="V70" s="391"/>
      <c r="W70" s="391"/>
      <c r="X70" s="391"/>
    </row>
    <row r="71" spans="1:12" ht="15" thickBot="1">
      <c r="A71" s="366"/>
      <c r="B71" s="377"/>
      <c r="C71" s="377"/>
      <c r="D71" s="377"/>
      <c r="E71" s="377"/>
      <c r="F71" s="377"/>
      <c r="G71" s="377"/>
      <c r="H71" s="377"/>
      <c r="I71" s="377"/>
      <c r="J71" s="377"/>
      <c r="K71" s="377"/>
      <c r="L71" s="366"/>
    </row>
    <row r="72" spans="1:12" ht="14.25">
      <c r="A72" s="366"/>
      <c r="B72" s="373" t="s">
        <v>627</v>
      </c>
      <c r="C72" s="374"/>
      <c r="D72" s="374"/>
      <c r="E72" s="374"/>
      <c r="F72" s="374"/>
      <c r="G72" s="374"/>
      <c r="H72" s="374"/>
      <c r="I72" s="374"/>
      <c r="J72" s="374"/>
      <c r="K72" s="375"/>
      <c r="L72" s="394"/>
    </row>
    <row r="73" spans="1:12" ht="14.25">
      <c r="A73" s="366"/>
      <c r="B73" s="386"/>
      <c r="C73" s="377" t="s">
        <v>635</v>
      </c>
      <c r="D73" s="377"/>
      <c r="E73" s="377"/>
      <c r="F73" s="377"/>
      <c r="G73" s="377"/>
      <c r="H73" s="377"/>
      <c r="I73" s="377"/>
      <c r="J73" s="377"/>
      <c r="K73" s="380"/>
      <c r="L73" s="394"/>
    </row>
    <row r="74" spans="1:12" ht="14.25">
      <c r="A74" s="366"/>
      <c r="B74" s="386" t="s">
        <v>660</v>
      </c>
      <c r="C74" s="905">
        <v>133685008</v>
      </c>
      <c r="D74" s="905"/>
      <c r="E74" s="378" t="s">
        <v>634</v>
      </c>
      <c r="F74" s="378">
        <v>1000</v>
      </c>
      <c r="G74" s="378" t="s">
        <v>633</v>
      </c>
      <c r="H74" s="395">
        <f>C74/F74</f>
        <v>133685.008</v>
      </c>
      <c r="I74" s="377" t="s">
        <v>661</v>
      </c>
      <c r="J74" s="377"/>
      <c r="K74" s="380"/>
      <c r="L74" s="394"/>
    </row>
    <row r="75" spans="1:12" ht="14.25">
      <c r="A75" s="366"/>
      <c r="B75" s="386"/>
      <c r="C75" s="377"/>
      <c r="D75" s="377"/>
      <c r="E75" s="378"/>
      <c r="F75" s="377"/>
      <c r="G75" s="377"/>
      <c r="H75" s="377"/>
      <c r="I75" s="377"/>
      <c r="J75" s="377"/>
      <c r="K75" s="380"/>
      <c r="L75" s="394"/>
    </row>
    <row r="76" spans="1:12" ht="14.25">
      <c r="A76" s="366"/>
      <c r="B76" s="386"/>
      <c r="C76" s="377" t="s">
        <v>662</v>
      </c>
      <c r="D76" s="377"/>
      <c r="E76" s="378"/>
      <c r="F76" s="377" t="s">
        <v>661</v>
      </c>
      <c r="G76" s="377"/>
      <c r="H76" s="377"/>
      <c r="I76" s="377"/>
      <c r="J76" s="377"/>
      <c r="K76" s="380"/>
      <c r="L76" s="394"/>
    </row>
    <row r="77" spans="1:12" ht="14.25">
      <c r="A77" s="366"/>
      <c r="B77" s="386" t="s">
        <v>663</v>
      </c>
      <c r="C77" s="905">
        <v>5000</v>
      </c>
      <c r="D77" s="905"/>
      <c r="E77" s="378" t="s">
        <v>634</v>
      </c>
      <c r="F77" s="395">
        <f>H74</f>
        <v>133685.008</v>
      </c>
      <c r="G77" s="378" t="s">
        <v>633</v>
      </c>
      <c r="H77" s="388">
        <f>C77/F77</f>
        <v>0.03740135169083432</v>
      </c>
      <c r="I77" s="377" t="s">
        <v>664</v>
      </c>
      <c r="J77" s="377"/>
      <c r="K77" s="380"/>
      <c r="L77" s="394"/>
    </row>
    <row r="78" spans="1:12" ht="14.25">
      <c r="A78" s="366"/>
      <c r="B78" s="386"/>
      <c r="C78" s="377"/>
      <c r="D78" s="377"/>
      <c r="E78" s="378"/>
      <c r="F78" s="377"/>
      <c r="G78" s="377"/>
      <c r="H78" s="377"/>
      <c r="I78" s="377"/>
      <c r="J78" s="377"/>
      <c r="K78" s="380"/>
      <c r="L78" s="394"/>
    </row>
    <row r="79" spans="1:12" ht="14.25">
      <c r="A79" s="366"/>
      <c r="B79" s="396"/>
      <c r="C79" s="397" t="s">
        <v>665</v>
      </c>
      <c r="D79" s="397"/>
      <c r="E79" s="398"/>
      <c r="F79" s="397"/>
      <c r="G79" s="397"/>
      <c r="H79" s="397"/>
      <c r="I79" s="397"/>
      <c r="J79" s="397"/>
      <c r="K79" s="399"/>
      <c r="L79" s="394"/>
    </row>
    <row r="80" spans="1:12" ht="14.25">
      <c r="A80" s="366"/>
      <c r="B80" s="386" t="s">
        <v>666</v>
      </c>
      <c r="C80" s="905">
        <v>100000</v>
      </c>
      <c r="D80" s="905"/>
      <c r="E80" s="378" t="s">
        <v>232</v>
      </c>
      <c r="F80" s="378">
        <v>0.115</v>
      </c>
      <c r="G80" s="378" t="s">
        <v>633</v>
      </c>
      <c r="H80" s="395">
        <f>C80*F80</f>
        <v>11500</v>
      </c>
      <c r="I80" s="377" t="s">
        <v>667</v>
      </c>
      <c r="J80" s="377"/>
      <c r="K80" s="380"/>
      <c r="L80" s="394"/>
    </row>
    <row r="81" spans="1:12" ht="14.25">
      <c r="A81" s="366"/>
      <c r="B81" s="386"/>
      <c r="C81" s="377"/>
      <c r="D81" s="377"/>
      <c r="E81" s="378"/>
      <c r="F81" s="377"/>
      <c r="G81" s="377"/>
      <c r="H81" s="377"/>
      <c r="I81" s="377"/>
      <c r="J81" s="377"/>
      <c r="K81" s="380"/>
      <c r="L81" s="394"/>
    </row>
    <row r="82" spans="1:12" ht="14.25">
      <c r="A82" s="366"/>
      <c r="B82" s="396"/>
      <c r="C82" s="397" t="s">
        <v>668</v>
      </c>
      <c r="D82" s="397"/>
      <c r="E82" s="398"/>
      <c r="F82" s="397" t="s">
        <v>664</v>
      </c>
      <c r="G82" s="397"/>
      <c r="H82" s="397"/>
      <c r="I82" s="397"/>
      <c r="J82" s="397" t="s">
        <v>669</v>
      </c>
      <c r="K82" s="399"/>
      <c r="L82" s="394"/>
    </row>
    <row r="83" spans="1:12" ht="14.25">
      <c r="A83" s="366"/>
      <c r="B83" s="386" t="s">
        <v>670</v>
      </c>
      <c r="C83" s="920">
        <f>H80</f>
        <v>11500</v>
      </c>
      <c r="D83" s="920"/>
      <c r="E83" s="378" t="s">
        <v>232</v>
      </c>
      <c r="F83" s="388">
        <f>H77</f>
        <v>0.03740135169083432</v>
      </c>
      <c r="G83" s="378" t="s">
        <v>634</v>
      </c>
      <c r="H83" s="378">
        <v>1000</v>
      </c>
      <c r="I83" s="378" t="s">
        <v>633</v>
      </c>
      <c r="J83" s="400">
        <f>C83*F83/H83</f>
        <v>0.43011554444459466</v>
      </c>
      <c r="K83" s="380"/>
      <c r="L83" s="394"/>
    </row>
    <row r="84" spans="1:12" ht="15" thickBot="1">
      <c r="A84" s="366"/>
      <c r="B84" s="381"/>
      <c r="C84" s="401"/>
      <c r="D84" s="401"/>
      <c r="E84" s="402"/>
      <c r="F84" s="403"/>
      <c r="G84" s="402"/>
      <c r="H84" s="402"/>
      <c r="I84" s="402"/>
      <c r="J84" s="404"/>
      <c r="K84" s="383"/>
      <c r="L84" s="394"/>
    </row>
    <row r="85" spans="1:12" ht="40.5" customHeight="1">
      <c r="A85" s="366"/>
      <c r="B85" s="913" t="s">
        <v>623</v>
      </c>
      <c r="C85" s="913"/>
      <c r="D85" s="913"/>
      <c r="E85" s="913"/>
      <c r="F85" s="913"/>
      <c r="G85" s="913"/>
      <c r="H85" s="913"/>
      <c r="I85" s="913"/>
      <c r="J85" s="913"/>
      <c r="K85" s="913"/>
      <c r="L85" s="366"/>
    </row>
    <row r="86" spans="1:12" ht="14.25">
      <c r="A86" s="366"/>
      <c r="B86" s="906" t="s">
        <v>671</v>
      </c>
      <c r="C86" s="906"/>
      <c r="D86" s="906"/>
      <c r="E86" s="906"/>
      <c r="F86" s="906"/>
      <c r="G86" s="906"/>
      <c r="H86" s="906"/>
      <c r="I86" s="906"/>
      <c r="J86" s="906"/>
      <c r="K86" s="906"/>
      <c r="L86" s="366"/>
    </row>
    <row r="87" spans="1:12" ht="14.25">
      <c r="A87" s="366"/>
      <c r="B87" s="405"/>
      <c r="C87" s="405"/>
      <c r="D87" s="405"/>
      <c r="E87" s="405"/>
      <c r="F87" s="405"/>
      <c r="G87" s="405"/>
      <c r="H87" s="405"/>
      <c r="I87" s="405"/>
      <c r="J87" s="405"/>
      <c r="K87" s="405"/>
      <c r="L87" s="366"/>
    </row>
    <row r="88" spans="1:12" ht="14.25">
      <c r="A88" s="366"/>
      <c r="B88" s="906" t="s">
        <v>672</v>
      </c>
      <c r="C88" s="906"/>
      <c r="D88" s="906"/>
      <c r="E88" s="906"/>
      <c r="F88" s="906"/>
      <c r="G88" s="906"/>
      <c r="H88" s="906"/>
      <c r="I88" s="906"/>
      <c r="J88" s="906"/>
      <c r="K88" s="906"/>
      <c r="L88" s="366"/>
    </row>
    <row r="89" spans="1:12" ht="14.25">
      <c r="A89" s="366"/>
      <c r="B89" s="406"/>
      <c r="C89" s="406"/>
      <c r="D89" s="406"/>
      <c r="E89" s="406"/>
      <c r="F89" s="406"/>
      <c r="G89" s="406"/>
      <c r="H89" s="406"/>
      <c r="I89" s="406"/>
      <c r="J89" s="406"/>
      <c r="K89" s="406"/>
      <c r="L89" s="366"/>
    </row>
    <row r="90" spans="1:12" ht="45" customHeight="1">
      <c r="A90" s="366"/>
      <c r="B90" s="911" t="s">
        <v>673</v>
      </c>
      <c r="C90" s="911"/>
      <c r="D90" s="911"/>
      <c r="E90" s="911"/>
      <c r="F90" s="911"/>
      <c r="G90" s="911"/>
      <c r="H90" s="911"/>
      <c r="I90" s="911"/>
      <c r="J90" s="911"/>
      <c r="K90" s="911"/>
      <c r="L90" s="366"/>
    </row>
    <row r="91" spans="1:12" ht="15" customHeight="1" thickBot="1">
      <c r="A91" s="366"/>
      <c r="L91" s="366"/>
    </row>
    <row r="92" spans="1:12" ht="15" customHeight="1">
      <c r="A92" s="366"/>
      <c r="B92" s="407" t="s">
        <v>627</v>
      </c>
      <c r="C92" s="408"/>
      <c r="D92" s="408"/>
      <c r="E92" s="408"/>
      <c r="F92" s="408"/>
      <c r="G92" s="408"/>
      <c r="H92" s="408"/>
      <c r="I92" s="408"/>
      <c r="J92" s="408"/>
      <c r="K92" s="409"/>
      <c r="L92" s="366"/>
    </row>
    <row r="93" spans="1:12" ht="15" customHeight="1">
      <c r="A93" s="366"/>
      <c r="B93" s="410"/>
      <c r="C93" s="411" t="s">
        <v>635</v>
      </c>
      <c r="D93" s="411"/>
      <c r="E93" s="411"/>
      <c r="F93" s="411"/>
      <c r="G93" s="411"/>
      <c r="H93" s="411"/>
      <c r="I93" s="411"/>
      <c r="J93" s="411"/>
      <c r="K93" s="412"/>
      <c r="L93" s="366"/>
    </row>
    <row r="94" spans="1:12" ht="15" customHeight="1">
      <c r="A94" s="366"/>
      <c r="B94" s="410" t="s">
        <v>660</v>
      </c>
      <c r="C94" s="905">
        <v>133685008</v>
      </c>
      <c r="D94" s="905"/>
      <c r="E94" s="378" t="s">
        <v>634</v>
      </c>
      <c r="F94" s="378">
        <v>1000</v>
      </c>
      <c r="G94" s="378" t="s">
        <v>633</v>
      </c>
      <c r="H94" s="395">
        <f>C94/F94</f>
        <v>133685.008</v>
      </c>
      <c r="I94" s="411" t="s">
        <v>661</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662</v>
      </c>
      <c r="D96" s="411"/>
      <c r="E96" s="378"/>
      <c r="F96" s="411" t="s">
        <v>661</v>
      </c>
      <c r="G96" s="411"/>
      <c r="H96" s="411"/>
      <c r="I96" s="411"/>
      <c r="J96" s="411"/>
      <c r="K96" s="412"/>
      <c r="L96" s="366"/>
    </row>
    <row r="97" spans="1:12" ht="15" customHeight="1">
      <c r="A97" s="366"/>
      <c r="B97" s="410" t="s">
        <v>663</v>
      </c>
      <c r="C97" s="905">
        <v>50000</v>
      </c>
      <c r="D97" s="905"/>
      <c r="E97" s="378" t="s">
        <v>634</v>
      </c>
      <c r="F97" s="395">
        <f>H94</f>
        <v>133685.008</v>
      </c>
      <c r="G97" s="378" t="s">
        <v>633</v>
      </c>
      <c r="H97" s="388">
        <f>C97/F97</f>
        <v>0.3740135169083432</v>
      </c>
      <c r="I97" s="411" t="s">
        <v>664</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674</v>
      </c>
      <c r="D99" s="414"/>
      <c r="E99" s="398"/>
      <c r="F99" s="414"/>
      <c r="G99" s="414"/>
      <c r="H99" s="414"/>
      <c r="I99" s="414"/>
      <c r="J99" s="414"/>
      <c r="K99" s="415"/>
      <c r="L99" s="366"/>
    </row>
    <row r="100" spans="1:12" ht="15" customHeight="1">
      <c r="A100" s="366"/>
      <c r="B100" s="410" t="s">
        <v>666</v>
      </c>
      <c r="C100" s="905">
        <v>2500000</v>
      </c>
      <c r="D100" s="905"/>
      <c r="E100" s="378" t="s">
        <v>232</v>
      </c>
      <c r="F100" s="416">
        <v>0.3</v>
      </c>
      <c r="G100" s="378" t="s">
        <v>633</v>
      </c>
      <c r="H100" s="395">
        <f>C100*F100</f>
        <v>750000</v>
      </c>
      <c r="I100" s="411" t="s">
        <v>667</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668</v>
      </c>
      <c r="D102" s="414"/>
      <c r="E102" s="398"/>
      <c r="F102" s="414" t="s">
        <v>664</v>
      </c>
      <c r="G102" s="414"/>
      <c r="H102" s="414"/>
      <c r="I102" s="414"/>
      <c r="J102" s="414" t="s">
        <v>669</v>
      </c>
      <c r="K102" s="415"/>
      <c r="L102" s="366"/>
    </row>
    <row r="103" spans="1:12" ht="15" customHeight="1">
      <c r="A103" s="366"/>
      <c r="B103" s="410" t="s">
        <v>670</v>
      </c>
      <c r="C103" s="920">
        <f>H100</f>
        <v>750000</v>
      </c>
      <c r="D103" s="920"/>
      <c r="E103" s="378" t="s">
        <v>232</v>
      </c>
      <c r="F103" s="388">
        <f>H97</f>
        <v>0.3740135169083432</v>
      </c>
      <c r="G103" s="378" t="s">
        <v>634</v>
      </c>
      <c r="H103" s="378">
        <v>1000</v>
      </c>
      <c r="I103" s="378" t="s">
        <v>633</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13" t="s">
        <v>623</v>
      </c>
      <c r="C105" s="921"/>
      <c r="D105" s="921"/>
      <c r="E105" s="921"/>
      <c r="F105" s="921"/>
      <c r="G105" s="921"/>
      <c r="H105" s="921"/>
      <c r="I105" s="921"/>
      <c r="J105" s="921"/>
      <c r="K105" s="921"/>
      <c r="L105" s="366"/>
    </row>
    <row r="106" spans="1:12" ht="15" customHeight="1">
      <c r="A106" s="366"/>
      <c r="B106" s="922" t="s">
        <v>675</v>
      </c>
      <c r="C106" s="907"/>
      <c r="D106" s="907"/>
      <c r="E106" s="907"/>
      <c r="F106" s="907"/>
      <c r="G106" s="907"/>
      <c r="H106" s="907"/>
      <c r="I106" s="907"/>
      <c r="J106" s="907"/>
      <c r="K106" s="907"/>
      <c r="L106" s="366"/>
    </row>
    <row r="107" spans="1:12" ht="15" customHeight="1">
      <c r="A107" s="366"/>
      <c r="B107" s="411"/>
      <c r="C107" s="419"/>
      <c r="D107" s="419"/>
      <c r="E107" s="378"/>
      <c r="F107" s="388"/>
      <c r="G107" s="378"/>
      <c r="H107" s="378"/>
      <c r="I107" s="378"/>
      <c r="J107" s="400"/>
      <c r="K107" s="411"/>
      <c r="L107" s="366"/>
    </row>
    <row r="108" spans="1:12" ht="15" customHeight="1">
      <c r="A108" s="366"/>
      <c r="B108" s="922" t="s">
        <v>676</v>
      </c>
      <c r="C108" s="923"/>
      <c r="D108" s="923"/>
      <c r="E108" s="923"/>
      <c r="F108" s="923"/>
      <c r="G108" s="923"/>
      <c r="H108" s="923"/>
      <c r="I108" s="923"/>
      <c r="J108" s="923"/>
      <c r="K108" s="923"/>
      <c r="L108" s="366"/>
    </row>
    <row r="109" spans="1:12" ht="15" customHeight="1">
      <c r="A109" s="366"/>
      <c r="B109" s="411"/>
      <c r="C109" s="419"/>
      <c r="D109" s="419"/>
      <c r="E109" s="378"/>
      <c r="F109" s="388"/>
      <c r="G109" s="378"/>
      <c r="H109" s="378"/>
      <c r="I109" s="378"/>
      <c r="J109" s="400"/>
      <c r="K109" s="411"/>
      <c r="L109" s="366"/>
    </row>
    <row r="110" spans="1:12" ht="59.25" customHeight="1">
      <c r="A110" s="366"/>
      <c r="B110" s="926" t="s">
        <v>677</v>
      </c>
      <c r="C110" s="914"/>
      <c r="D110" s="914"/>
      <c r="E110" s="914"/>
      <c r="F110" s="914"/>
      <c r="G110" s="914"/>
      <c r="H110" s="914"/>
      <c r="I110" s="914"/>
      <c r="J110" s="914"/>
      <c r="K110" s="914"/>
      <c r="L110" s="366"/>
    </row>
    <row r="111" spans="1:12" ht="15" thickBot="1">
      <c r="A111" s="366"/>
      <c r="B111" s="369"/>
      <c r="C111" s="369"/>
      <c r="D111" s="369"/>
      <c r="E111" s="369"/>
      <c r="F111" s="369"/>
      <c r="G111" s="369"/>
      <c r="H111" s="369"/>
      <c r="I111" s="369"/>
      <c r="J111" s="369"/>
      <c r="K111" s="369"/>
      <c r="L111" s="420"/>
    </row>
    <row r="112" spans="1:12" ht="14.25">
      <c r="A112" s="366"/>
      <c r="B112" s="373" t="s">
        <v>627</v>
      </c>
      <c r="C112" s="374"/>
      <c r="D112" s="374"/>
      <c r="E112" s="374"/>
      <c r="F112" s="374"/>
      <c r="G112" s="374"/>
      <c r="H112" s="374"/>
      <c r="I112" s="374"/>
      <c r="J112" s="374"/>
      <c r="K112" s="375"/>
      <c r="L112" s="366"/>
    </row>
    <row r="113" spans="1:12" ht="14.25">
      <c r="A113" s="366"/>
      <c r="B113" s="386"/>
      <c r="C113" s="377" t="s">
        <v>635</v>
      </c>
      <c r="D113" s="377"/>
      <c r="E113" s="377"/>
      <c r="F113" s="377"/>
      <c r="G113" s="377"/>
      <c r="H113" s="377"/>
      <c r="I113" s="377"/>
      <c r="J113" s="377"/>
      <c r="K113" s="380"/>
      <c r="L113" s="366"/>
    </row>
    <row r="114" spans="1:12" ht="14.25">
      <c r="A114" s="366"/>
      <c r="B114" s="386" t="s">
        <v>660</v>
      </c>
      <c r="C114" s="905">
        <v>133685008</v>
      </c>
      <c r="D114" s="905"/>
      <c r="E114" s="378" t="s">
        <v>634</v>
      </c>
      <c r="F114" s="378">
        <v>1000</v>
      </c>
      <c r="G114" s="378" t="s">
        <v>633</v>
      </c>
      <c r="H114" s="395">
        <f>C114/F114</f>
        <v>133685.008</v>
      </c>
      <c r="I114" s="377" t="s">
        <v>661</v>
      </c>
      <c r="J114" s="377"/>
      <c r="K114" s="380"/>
      <c r="L114" s="366"/>
    </row>
    <row r="115" spans="1:12" ht="14.25">
      <c r="A115" s="366"/>
      <c r="B115" s="386"/>
      <c r="C115" s="377"/>
      <c r="D115" s="377"/>
      <c r="E115" s="378"/>
      <c r="F115" s="377"/>
      <c r="G115" s="377"/>
      <c r="H115" s="377"/>
      <c r="I115" s="377"/>
      <c r="J115" s="377"/>
      <c r="K115" s="380"/>
      <c r="L115" s="366"/>
    </row>
    <row r="116" spans="1:12" ht="14.25">
      <c r="A116" s="366"/>
      <c r="B116" s="386"/>
      <c r="C116" s="377" t="s">
        <v>662</v>
      </c>
      <c r="D116" s="377"/>
      <c r="E116" s="378"/>
      <c r="F116" s="377" t="s">
        <v>661</v>
      </c>
      <c r="G116" s="377"/>
      <c r="H116" s="377"/>
      <c r="I116" s="377"/>
      <c r="J116" s="377"/>
      <c r="K116" s="380"/>
      <c r="L116" s="366"/>
    </row>
    <row r="117" spans="1:12" ht="14.25">
      <c r="A117" s="366"/>
      <c r="B117" s="386" t="s">
        <v>663</v>
      </c>
      <c r="C117" s="905">
        <v>50000</v>
      </c>
      <c r="D117" s="905"/>
      <c r="E117" s="378" t="s">
        <v>634</v>
      </c>
      <c r="F117" s="395">
        <f>H114</f>
        <v>133685.008</v>
      </c>
      <c r="G117" s="378" t="s">
        <v>633</v>
      </c>
      <c r="H117" s="388">
        <f>C117/F117</f>
        <v>0.3740135169083432</v>
      </c>
      <c r="I117" s="377" t="s">
        <v>664</v>
      </c>
      <c r="J117" s="377"/>
      <c r="K117" s="380"/>
      <c r="L117" s="366"/>
    </row>
    <row r="118" spans="1:12" ht="14.25">
      <c r="A118" s="366"/>
      <c r="B118" s="386"/>
      <c r="C118" s="377"/>
      <c r="D118" s="377"/>
      <c r="E118" s="378"/>
      <c r="F118" s="377"/>
      <c r="G118" s="377"/>
      <c r="H118" s="377"/>
      <c r="I118" s="377"/>
      <c r="J118" s="377"/>
      <c r="K118" s="380"/>
      <c r="L118" s="366"/>
    </row>
    <row r="119" spans="1:12" ht="14.25">
      <c r="A119" s="366"/>
      <c r="B119" s="396"/>
      <c r="C119" s="397" t="s">
        <v>674</v>
      </c>
      <c r="D119" s="397"/>
      <c r="E119" s="398"/>
      <c r="F119" s="397"/>
      <c r="G119" s="397"/>
      <c r="H119" s="397"/>
      <c r="I119" s="397"/>
      <c r="J119" s="397"/>
      <c r="K119" s="399"/>
      <c r="L119" s="366"/>
    </row>
    <row r="120" spans="1:12" ht="14.25">
      <c r="A120" s="366"/>
      <c r="B120" s="386" t="s">
        <v>666</v>
      </c>
      <c r="C120" s="905">
        <v>2500000</v>
      </c>
      <c r="D120" s="905"/>
      <c r="E120" s="378" t="s">
        <v>232</v>
      </c>
      <c r="F120" s="416">
        <v>0.25</v>
      </c>
      <c r="G120" s="378" t="s">
        <v>633</v>
      </c>
      <c r="H120" s="395">
        <f>C120*F120</f>
        <v>625000</v>
      </c>
      <c r="I120" s="377" t="s">
        <v>667</v>
      </c>
      <c r="J120" s="377"/>
      <c r="K120" s="380"/>
      <c r="L120" s="366"/>
    </row>
    <row r="121" spans="1:12" ht="14.25">
      <c r="A121" s="366"/>
      <c r="B121" s="386"/>
      <c r="C121" s="377"/>
      <c r="D121" s="377"/>
      <c r="E121" s="378"/>
      <c r="F121" s="377"/>
      <c r="G121" s="377"/>
      <c r="H121" s="377"/>
      <c r="I121" s="377"/>
      <c r="J121" s="377"/>
      <c r="K121" s="380"/>
      <c r="L121" s="366"/>
    </row>
    <row r="122" spans="1:12" ht="14.25">
      <c r="A122" s="366"/>
      <c r="B122" s="396"/>
      <c r="C122" s="397" t="s">
        <v>668</v>
      </c>
      <c r="D122" s="397"/>
      <c r="E122" s="398"/>
      <c r="F122" s="397" t="s">
        <v>664</v>
      </c>
      <c r="G122" s="397"/>
      <c r="H122" s="397"/>
      <c r="I122" s="397"/>
      <c r="J122" s="397" t="s">
        <v>669</v>
      </c>
      <c r="K122" s="399"/>
      <c r="L122" s="366"/>
    </row>
    <row r="123" spans="1:12" ht="14.25">
      <c r="A123" s="366"/>
      <c r="B123" s="386" t="s">
        <v>670</v>
      </c>
      <c r="C123" s="920">
        <f>H120</f>
        <v>625000</v>
      </c>
      <c r="D123" s="920"/>
      <c r="E123" s="378" t="s">
        <v>232</v>
      </c>
      <c r="F123" s="388">
        <f>H117</f>
        <v>0.3740135169083432</v>
      </c>
      <c r="G123" s="378" t="s">
        <v>634</v>
      </c>
      <c r="H123" s="378">
        <v>1000</v>
      </c>
      <c r="I123" s="378" t="s">
        <v>633</v>
      </c>
      <c r="J123" s="400">
        <f>C123*F123/H123</f>
        <v>233.7584480677145</v>
      </c>
      <c r="K123" s="380"/>
      <c r="L123" s="366"/>
    </row>
    <row r="124" spans="1:12" ht="15" thickBot="1">
      <c r="A124" s="366"/>
      <c r="B124" s="381"/>
      <c r="C124" s="401"/>
      <c r="D124" s="401"/>
      <c r="E124" s="402"/>
      <c r="F124" s="403"/>
      <c r="G124" s="402"/>
      <c r="H124" s="402"/>
      <c r="I124" s="402"/>
      <c r="J124" s="404"/>
      <c r="K124" s="383"/>
      <c r="L124" s="366"/>
    </row>
    <row r="125" spans="1:12" ht="40.5" customHeight="1">
      <c r="A125" s="366"/>
      <c r="B125" s="913" t="s">
        <v>623</v>
      </c>
      <c r="C125" s="913"/>
      <c r="D125" s="913"/>
      <c r="E125" s="913"/>
      <c r="F125" s="913"/>
      <c r="G125" s="913"/>
      <c r="H125" s="913"/>
      <c r="I125" s="913"/>
      <c r="J125" s="913"/>
      <c r="K125" s="913"/>
      <c r="L125" s="420"/>
    </row>
    <row r="126" spans="1:12" ht="14.25">
      <c r="A126" s="366"/>
      <c r="B126" s="906" t="s">
        <v>678</v>
      </c>
      <c r="C126" s="906"/>
      <c r="D126" s="906"/>
      <c r="E126" s="906"/>
      <c r="F126" s="906"/>
      <c r="G126" s="906"/>
      <c r="H126" s="906"/>
      <c r="I126" s="906"/>
      <c r="J126" s="906"/>
      <c r="K126" s="906"/>
      <c r="L126" s="420"/>
    </row>
    <row r="127" spans="1:12" ht="14.25">
      <c r="A127" s="366"/>
      <c r="B127" s="369"/>
      <c r="C127" s="369"/>
      <c r="D127" s="369"/>
      <c r="E127" s="369"/>
      <c r="F127" s="369"/>
      <c r="G127" s="369"/>
      <c r="H127" s="369"/>
      <c r="I127" s="369"/>
      <c r="J127" s="369"/>
      <c r="K127" s="369"/>
      <c r="L127" s="420"/>
    </row>
    <row r="128" spans="1:12" ht="14.25">
      <c r="A128" s="366"/>
      <c r="B128" s="906" t="s">
        <v>679</v>
      </c>
      <c r="C128" s="906"/>
      <c r="D128" s="906"/>
      <c r="E128" s="906"/>
      <c r="F128" s="906"/>
      <c r="G128" s="906"/>
      <c r="H128" s="906"/>
      <c r="I128" s="906"/>
      <c r="J128" s="906"/>
      <c r="K128" s="906"/>
      <c r="L128" s="420"/>
    </row>
    <row r="129" spans="1:12" ht="14.25">
      <c r="A129" s="366"/>
      <c r="B129" s="406"/>
      <c r="C129" s="406"/>
      <c r="D129" s="406"/>
      <c r="E129" s="406"/>
      <c r="F129" s="406"/>
      <c r="G129" s="406"/>
      <c r="H129" s="406"/>
      <c r="I129" s="406"/>
      <c r="J129" s="406"/>
      <c r="K129" s="406"/>
      <c r="L129" s="420"/>
    </row>
    <row r="130" spans="1:12" ht="74.25" customHeight="1">
      <c r="A130" s="366"/>
      <c r="B130" s="911" t="s">
        <v>680</v>
      </c>
      <c r="C130" s="911"/>
      <c r="D130" s="911"/>
      <c r="E130" s="911"/>
      <c r="F130" s="911"/>
      <c r="G130" s="911"/>
      <c r="H130" s="911"/>
      <c r="I130" s="911"/>
      <c r="J130" s="911"/>
      <c r="K130" s="911"/>
      <c r="L130" s="420"/>
    </row>
    <row r="131" spans="1:12" ht="15" thickBot="1">
      <c r="A131" s="366"/>
      <c r="L131" s="366"/>
    </row>
    <row r="132" spans="1:12" ht="14.25">
      <c r="A132" s="366"/>
      <c r="B132" s="373" t="s">
        <v>627</v>
      </c>
      <c r="C132" s="374"/>
      <c r="D132" s="374"/>
      <c r="E132" s="374"/>
      <c r="F132" s="374"/>
      <c r="G132" s="374"/>
      <c r="H132" s="374"/>
      <c r="I132" s="374"/>
      <c r="J132" s="374"/>
      <c r="K132" s="375"/>
      <c r="L132" s="366"/>
    </row>
    <row r="133" spans="1:12" ht="14.25">
      <c r="A133" s="366"/>
      <c r="B133" s="386"/>
      <c r="C133" s="934" t="s">
        <v>681</v>
      </c>
      <c r="D133" s="934"/>
      <c r="E133" s="377"/>
      <c r="F133" s="378" t="s">
        <v>682</v>
      </c>
      <c r="G133" s="377"/>
      <c r="H133" s="934" t="s">
        <v>667</v>
      </c>
      <c r="I133" s="934"/>
      <c r="J133" s="377"/>
      <c r="K133" s="380"/>
      <c r="L133" s="366"/>
    </row>
    <row r="134" spans="1:12" ht="14.25">
      <c r="A134" s="366"/>
      <c r="B134" s="386" t="s">
        <v>660</v>
      </c>
      <c r="C134" s="905">
        <v>100000</v>
      </c>
      <c r="D134" s="905"/>
      <c r="E134" s="378" t="s">
        <v>232</v>
      </c>
      <c r="F134" s="378">
        <v>0.115</v>
      </c>
      <c r="G134" s="378" t="s">
        <v>633</v>
      </c>
      <c r="H134" s="924">
        <f>C134*F134</f>
        <v>11500</v>
      </c>
      <c r="I134" s="924"/>
      <c r="J134" s="377"/>
      <c r="K134" s="380"/>
      <c r="L134" s="366"/>
    </row>
    <row r="135" spans="1:12" ht="14.25">
      <c r="A135" s="366"/>
      <c r="B135" s="386"/>
      <c r="C135" s="377"/>
      <c r="D135" s="377"/>
      <c r="E135" s="377"/>
      <c r="F135" s="377"/>
      <c r="G135" s="377"/>
      <c r="H135" s="377"/>
      <c r="I135" s="377"/>
      <c r="J135" s="377"/>
      <c r="K135" s="380"/>
      <c r="L135" s="366"/>
    </row>
    <row r="136" spans="1:12" ht="14.25">
      <c r="A136" s="366"/>
      <c r="B136" s="396"/>
      <c r="C136" s="925" t="s">
        <v>667</v>
      </c>
      <c r="D136" s="925"/>
      <c r="E136" s="397"/>
      <c r="F136" s="398" t="s">
        <v>683</v>
      </c>
      <c r="G136" s="398"/>
      <c r="H136" s="397"/>
      <c r="I136" s="397"/>
      <c r="J136" s="397" t="s">
        <v>684</v>
      </c>
      <c r="K136" s="399"/>
      <c r="L136" s="366"/>
    </row>
    <row r="137" spans="1:12" ht="14.25">
      <c r="A137" s="366"/>
      <c r="B137" s="386" t="s">
        <v>663</v>
      </c>
      <c r="C137" s="924">
        <f>H134</f>
        <v>11500</v>
      </c>
      <c r="D137" s="924"/>
      <c r="E137" s="378" t="s">
        <v>232</v>
      </c>
      <c r="F137" s="421">
        <v>52.869</v>
      </c>
      <c r="G137" s="378" t="s">
        <v>634</v>
      </c>
      <c r="H137" s="378">
        <v>1000</v>
      </c>
      <c r="I137" s="378" t="s">
        <v>633</v>
      </c>
      <c r="J137" s="422">
        <f>C137*F137/H137</f>
        <v>607.9935</v>
      </c>
      <c r="K137" s="380"/>
      <c r="L137" s="366"/>
    </row>
    <row r="138" spans="1:12" ht="15" thickBot="1">
      <c r="A138" s="366"/>
      <c r="B138" s="381"/>
      <c r="C138" s="423"/>
      <c r="D138" s="423"/>
      <c r="E138" s="402"/>
      <c r="F138" s="424"/>
      <c r="G138" s="402"/>
      <c r="H138" s="402"/>
      <c r="I138" s="402"/>
      <c r="J138" s="425"/>
      <c r="K138" s="383"/>
      <c r="L138" s="366"/>
    </row>
    <row r="139" spans="1:12" ht="40.5" customHeight="1">
      <c r="A139" s="366"/>
      <c r="B139" s="426" t="s">
        <v>623</v>
      </c>
      <c r="C139" s="427"/>
      <c r="D139" s="427"/>
      <c r="E139" s="428"/>
      <c r="F139" s="429"/>
      <c r="G139" s="428"/>
      <c r="H139" s="428"/>
      <c r="I139" s="428"/>
      <c r="J139" s="430"/>
      <c r="K139" s="431"/>
      <c r="L139" s="366"/>
    </row>
    <row r="140" spans="1:12" ht="14.25">
      <c r="A140" s="366"/>
      <c r="B140" s="432" t="s">
        <v>685</v>
      </c>
      <c r="C140" s="433"/>
      <c r="D140" s="433"/>
      <c r="E140" s="434"/>
      <c r="F140" s="435"/>
      <c r="G140" s="434"/>
      <c r="H140" s="434"/>
      <c r="I140" s="434"/>
      <c r="J140" s="436"/>
      <c r="K140" s="437"/>
      <c r="L140" s="366"/>
    </row>
    <row r="141" spans="1:12" ht="14.25">
      <c r="A141" s="366"/>
      <c r="B141" s="386"/>
      <c r="C141" s="395"/>
      <c r="D141" s="395"/>
      <c r="E141" s="378"/>
      <c r="F141" s="438"/>
      <c r="G141" s="378"/>
      <c r="H141" s="378"/>
      <c r="I141" s="378"/>
      <c r="J141" s="422"/>
      <c r="K141" s="380"/>
      <c r="L141" s="366"/>
    </row>
    <row r="142" spans="1:12" ht="14.25">
      <c r="A142" s="366"/>
      <c r="B142" s="432" t="s">
        <v>686</v>
      </c>
      <c r="C142" s="433"/>
      <c r="D142" s="433"/>
      <c r="E142" s="434"/>
      <c r="F142" s="435"/>
      <c r="G142" s="434"/>
      <c r="H142" s="434"/>
      <c r="I142" s="434"/>
      <c r="J142" s="436"/>
      <c r="K142" s="437"/>
      <c r="L142" s="366"/>
    </row>
    <row r="143" spans="1:12" ht="14.25">
      <c r="A143" s="366"/>
      <c r="B143" s="386"/>
      <c r="C143" s="395"/>
      <c r="D143" s="395"/>
      <c r="E143" s="378"/>
      <c r="F143" s="438"/>
      <c r="G143" s="378"/>
      <c r="H143" s="378"/>
      <c r="I143" s="378"/>
      <c r="J143" s="422"/>
      <c r="K143" s="380"/>
      <c r="L143" s="366"/>
    </row>
    <row r="144" spans="1:12" ht="76.5" customHeight="1">
      <c r="A144" s="366"/>
      <c r="B144" s="927" t="s">
        <v>687</v>
      </c>
      <c r="C144" s="928"/>
      <c r="D144" s="928"/>
      <c r="E144" s="928"/>
      <c r="F144" s="928"/>
      <c r="G144" s="928"/>
      <c r="H144" s="928"/>
      <c r="I144" s="928"/>
      <c r="J144" s="928"/>
      <c r="K144" s="929"/>
      <c r="L144" s="366"/>
    </row>
    <row r="145" spans="1:12" ht="15" thickBot="1">
      <c r="A145" s="366"/>
      <c r="B145" s="386"/>
      <c r="C145" s="395"/>
      <c r="D145" s="395"/>
      <c r="E145" s="378"/>
      <c r="F145" s="438"/>
      <c r="G145" s="378"/>
      <c r="H145" s="378"/>
      <c r="I145" s="378"/>
      <c r="J145" s="422"/>
      <c r="K145" s="380"/>
      <c r="L145" s="366"/>
    </row>
    <row r="146" spans="1:12" ht="14.25">
      <c r="A146" s="366"/>
      <c r="B146" s="373" t="s">
        <v>627</v>
      </c>
      <c r="C146" s="439"/>
      <c r="D146" s="439"/>
      <c r="E146" s="440"/>
      <c r="F146" s="441"/>
      <c r="G146" s="440"/>
      <c r="H146" s="440"/>
      <c r="I146" s="440"/>
      <c r="J146" s="442"/>
      <c r="K146" s="375"/>
      <c r="L146" s="366"/>
    </row>
    <row r="147" spans="1:12" ht="14.25">
      <c r="A147" s="366"/>
      <c r="B147" s="386"/>
      <c r="C147" s="924" t="s">
        <v>688</v>
      </c>
      <c r="D147" s="924"/>
      <c r="E147" s="378"/>
      <c r="F147" s="438" t="s">
        <v>689</v>
      </c>
      <c r="G147" s="378"/>
      <c r="H147" s="378"/>
      <c r="I147" s="378"/>
      <c r="J147" s="930" t="s">
        <v>690</v>
      </c>
      <c r="K147" s="931"/>
      <c r="L147" s="366"/>
    </row>
    <row r="148" spans="1:12" ht="14.25">
      <c r="A148" s="366"/>
      <c r="B148" s="386"/>
      <c r="C148" s="932">
        <v>52.869</v>
      </c>
      <c r="D148" s="932"/>
      <c r="E148" s="378" t="s">
        <v>232</v>
      </c>
      <c r="F148" s="443">
        <v>133685008</v>
      </c>
      <c r="G148" s="444" t="s">
        <v>634</v>
      </c>
      <c r="H148" s="378">
        <v>1000</v>
      </c>
      <c r="I148" s="378" t="s">
        <v>633</v>
      </c>
      <c r="J148" s="924">
        <f>C148*(F148/1000)</f>
        <v>7067792.687952</v>
      </c>
      <c r="K148" s="933"/>
      <c r="L148" s="366"/>
    </row>
    <row r="149" spans="1:12" ht="15" thickBot="1">
      <c r="A149" s="366"/>
      <c r="B149" s="381"/>
      <c r="C149" s="423"/>
      <c r="D149" s="423"/>
      <c r="E149" s="402"/>
      <c r="F149" s="424"/>
      <c r="G149" s="402"/>
      <c r="H149" s="402"/>
      <c r="I149" s="402"/>
      <c r="J149" s="425"/>
      <c r="K149" s="383"/>
      <c r="L149" s="366"/>
    </row>
    <row r="150" spans="1:12" ht="15" thickBot="1">
      <c r="A150" s="366"/>
      <c r="B150" s="381"/>
      <c r="C150" s="382"/>
      <c r="D150" s="382"/>
      <c r="E150" s="382"/>
      <c r="F150" s="382"/>
      <c r="G150" s="382"/>
      <c r="H150" s="382"/>
      <c r="I150" s="382"/>
      <c r="J150" s="382"/>
      <c r="K150" s="383"/>
      <c r="L150" s="366"/>
    </row>
    <row r="151" spans="1:12" ht="14.25">
      <c r="A151" s="366"/>
      <c r="B151" s="366"/>
      <c r="C151" s="366"/>
      <c r="D151" s="366"/>
      <c r="E151" s="366"/>
      <c r="F151" s="366"/>
      <c r="G151" s="366"/>
      <c r="H151" s="366"/>
      <c r="I151" s="366"/>
      <c r="J151" s="366"/>
      <c r="K151" s="366"/>
      <c r="L151" s="366"/>
    </row>
    <row r="152" spans="1:12" ht="14.25">
      <c r="A152" s="366"/>
      <c r="B152" s="366"/>
      <c r="C152" s="366"/>
      <c r="D152" s="366"/>
      <c r="E152" s="366"/>
      <c r="F152" s="366"/>
      <c r="G152" s="366"/>
      <c r="H152" s="366"/>
      <c r="I152" s="366"/>
      <c r="J152" s="366"/>
      <c r="K152" s="366"/>
      <c r="L152" s="366"/>
    </row>
    <row r="153" spans="1:12" ht="14.25">
      <c r="A153" s="366"/>
      <c r="B153" s="366"/>
      <c r="C153" s="366"/>
      <c r="D153" s="366"/>
      <c r="E153" s="366"/>
      <c r="F153" s="366"/>
      <c r="G153" s="366"/>
      <c r="H153" s="366"/>
      <c r="I153" s="366"/>
      <c r="J153" s="366"/>
      <c r="K153" s="366"/>
      <c r="L153" s="366"/>
    </row>
    <row r="154" spans="1:12" ht="14.25">
      <c r="A154" s="445"/>
      <c r="B154" s="445"/>
      <c r="C154" s="445"/>
      <c r="D154" s="445"/>
      <c r="E154" s="445"/>
      <c r="F154" s="445"/>
      <c r="G154" s="445"/>
      <c r="H154" s="445"/>
      <c r="I154" s="445"/>
      <c r="J154" s="445"/>
      <c r="K154" s="445"/>
      <c r="L154" s="445"/>
    </row>
    <row r="155" spans="1:12" ht="14.25">
      <c r="A155" s="445"/>
      <c r="B155" s="445"/>
      <c r="C155" s="445"/>
      <c r="D155" s="445"/>
      <c r="E155" s="445"/>
      <c r="F155" s="445"/>
      <c r="G155" s="445"/>
      <c r="H155" s="445"/>
      <c r="I155" s="445"/>
      <c r="J155" s="445"/>
      <c r="K155" s="445"/>
      <c r="L155" s="445"/>
    </row>
    <row r="156" spans="1:12" ht="14.25">
      <c r="A156" s="445"/>
      <c r="B156" s="445"/>
      <c r="C156" s="445"/>
      <c r="D156" s="445"/>
      <c r="E156" s="445"/>
      <c r="F156" s="445"/>
      <c r="G156" s="445"/>
      <c r="H156" s="445"/>
      <c r="I156" s="445"/>
      <c r="J156" s="445"/>
      <c r="K156" s="445"/>
      <c r="L156" s="445"/>
    </row>
    <row r="157" spans="1:12" ht="14.25">
      <c r="A157" s="445"/>
      <c r="B157" s="445"/>
      <c r="C157" s="445"/>
      <c r="D157" s="445"/>
      <c r="E157" s="445"/>
      <c r="F157" s="445"/>
      <c r="G157" s="445"/>
      <c r="H157" s="445"/>
      <c r="I157" s="445"/>
      <c r="J157" s="445"/>
      <c r="K157" s="445"/>
      <c r="L157" s="445"/>
    </row>
    <row r="158" spans="1:12" ht="14.25">
      <c r="A158" s="445"/>
      <c r="B158" s="445"/>
      <c r="C158" s="445"/>
      <c r="D158" s="445"/>
      <c r="E158" s="445"/>
      <c r="F158" s="445"/>
      <c r="G158" s="445"/>
      <c r="H158" s="445"/>
      <c r="I158" s="445"/>
      <c r="J158" s="445"/>
      <c r="K158" s="445"/>
      <c r="L158" s="445"/>
    </row>
    <row r="159" spans="1:12" ht="14.25">
      <c r="A159" s="445"/>
      <c r="B159" s="445"/>
      <c r="C159" s="445"/>
      <c r="D159" s="445"/>
      <c r="E159" s="445"/>
      <c r="F159" s="445"/>
      <c r="G159" s="445"/>
      <c r="H159" s="445"/>
      <c r="I159" s="445"/>
      <c r="J159" s="445"/>
      <c r="K159" s="445"/>
      <c r="L159" s="445"/>
    </row>
    <row r="160" spans="1:12" ht="14.25">
      <c r="A160" s="445"/>
      <c r="B160" s="445"/>
      <c r="C160" s="445"/>
      <c r="D160" s="445"/>
      <c r="E160" s="445"/>
      <c r="F160" s="445"/>
      <c r="G160" s="445"/>
      <c r="H160" s="445"/>
      <c r="I160" s="445"/>
      <c r="J160" s="445"/>
      <c r="K160" s="445"/>
      <c r="L160" s="445"/>
    </row>
    <row r="161" spans="1:12" ht="14.25">
      <c r="A161" s="445"/>
      <c r="B161" s="445"/>
      <c r="C161" s="445"/>
      <c r="D161" s="445"/>
      <c r="E161" s="445"/>
      <c r="F161" s="445"/>
      <c r="G161" s="445"/>
      <c r="H161" s="445"/>
      <c r="I161" s="445"/>
      <c r="J161" s="445"/>
      <c r="K161" s="445"/>
      <c r="L161" s="445"/>
    </row>
    <row r="162" spans="1:12" ht="14.25">
      <c r="A162" s="445"/>
      <c r="B162" s="445"/>
      <c r="C162" s="445"/>
      <c r="D162" s="445"/>
      <c r="E162" s="445"/>
      <c r="F162" s="445"/>
      <c r="G162" s="445"/>
      <c r="H162" s="445"/>
      <c r="I162" s="445"/>
      <c r="J162" s="445"/>
      <c r="K162" s="445"/>
      <c r="L162" s="445"/>
    </row>
    <row r="163" spans="1:12" ht="14.25">
      <c r="A163" s="445"/>
      <c r="B163" s="445"/>
      <c r="C163" s="445"/>
      <c r="D163" s="445"/>
      <c r="E163" s="445"/>
      <c r="F163" s="445"/>
      <c r="G163" s="445"/>
      <c r="H163" s="445"/>
      <c r="I163" s="445"/>
      <c r="J163" s="445"/>
      <c r="K163" s="445"/>
      <c r="L163" s="445"/>
    </row>
    <row r="164" spans="1:12" ht="14.25">
      <c r="A164" s="445"/>
      <c r="B164" s="445"/>
      <c r="C164" s="445"/>
      <c r="D164" s="445"/>
      <c r="E164" s="445"/>
      <c r="F164" s="445"/>
      <c r="G164" s="445"/>
      <c r="H164" s="445"/>
      <c r="I164" s="445"/>
      <c r="J164" s="445"/>
      <c r="K164" s="445"/>
      <c r="L164" s="445"/>
    </row>
    <row r="165" spans="1:12" ht="14.25">
      <c r="A165" s="445"/>
      <c r="B165" s="445"/>
      <c r="C165" s="445"/>
      <c r="D165" s="445"/>
      <c r="E165" s="445"/>
      <c r="F165" s="445"/>
      <c r="G165" s="445"/>
      <c r="H165" s="445"/>
      <c r="I165" s="445"/>
      <c r="J165" s="445"/>
      <c r="K165" s="445"/>
      <c r="L165" s="445"/>
    </row>
    <row r="166" spans="1:12" ht="14.25">
      <c r="A166" s="445"/>
      <c r="B166" s="445"/>
      <c r="C166" s="445"/>
      <c r="D166" s="445"/>
      <c r="E166" s="445"/>
      <c r="F166" s="445"/>
      <c r="G166" s="445"/>
      <c r="H166" s="445"/>
      <c r="I166" s="445"/>
      <c r="J166" s="445"/>
      <c r="K166" s="445"/>
      <c r="L166" s="445"/>
    </row>
    <row r="167" spans="1:12" ht="14.25">
      <c r="A167" s="445"/>
      <c r="B167" s="445"/>
      <c r="C167" s="445"/>
      <c r="D167" s="445"/>
      <c r="E167" s="445"/>
      <c r="F167" s="445"/>
      <c r="G167" s="445"/>
      <c r="H167" s="445"/>
      <c r="I167" s="445"/>
      <c r="J167" s="445"/>
      <c r="K167" s="445"/>
      <c r="L167" s="445"/>
    </row>
    <row r="168" spans="1:12" ht="14.25">
      <c r="A168" s="445"/>
      <c r="B168" s="445"/>
      <c r="C168" s="445"/>
      <c r="D168" s="445"/>
      <c r="E168" s="445"/>
      <c r="F168" s="445"/>
      <c r="G168" s="445"/>
      <c r="H168" s="445"/>
      <c r="I168" s="445"/>
      <c r="J168" s="445"/>
      <c r="K168" s="445"/>
      <c r="L168" s="445"/>
    </row>
    <row r="169" spans="1:12" ht="14.25">
      <c r="A169" s="445"/>
      <c r="B169" s="445"/>
      <c r="C169" s="445"/>
      <c r="D169" s="445"/>
      <c r="E169" s="445"/>
      <c r="F169" s="445"/>
      <c r="G169" s="445"/>
      <c r="H169" s="445"/>
      <c r="I169" s="445"/>
      <c r="J169" s="445"/>
      <c r="K169" s="445"/>
      <c r="L169" s="445"/>
    </row>
    <row r="170" spans="1:12" ht="14.25">
      <c r="A170" s="445"/>
      <c r="B170" s="445"/>
      <c r="C170" s="445"/>
      <c r="D170" s="445"/>
      <c r="E170" s="445"/>
      <c r="F170" s="445"/>
      <c r="G170" s="445"/>
      <c r="H170" s="445"/>
      <c r="I170" s="445"/>
      <c r="J170" s="445"/>
      <c r="K170" s="445"/>
      <c r="L170" s="445"/>
    </row>
    <row r="171" spans="1:12" ht="14.25">
      <c r="A171" s="445"/>
      <c r="B171" s="445"/>
      <c r="C171" s="445"/>
      <c r="D171" s="445"/>
      <c r="E171" s="445"/>
      <c r="F171" s="445"/>
      <c r="G171" s="445"/>
      <c r="H171" s="445"/>
      <c r="I171" s="445"/>
      <c r="J171" s="445"/>
      <c r="K171" s="445"/>
      <c r="L171" s="445"/>
    </row>
    <row r="172" spans="1:12" ht="14.25">
      <c r="A172" s="445"/>
      <c r="B172" s="445"/>
      <c r="C172" s="445"/>
      <c r="D172" s="445"/>
      <c r="E172" s="445"/>
      <c r="F172" s="445"/>
      <c r="G172" s="445"/>
      <c r="H172" s="445"/>
      <c r="I172" s="445"/>
      <c r="J172" s="445"/>
      <c r="K172" s="445"/>
      <c r="L172" s="445"/>
    </row>
    <row r="173" spans="1:12" ht="14.25">
      <c r="A173" s="445"/>
      <c r="B173" s="445"/>
      <c r="C173" s="445"/>
      <c r="D173" s="445"/>
      <c r="E173" s="445"/>
      <c r="F173" s="445"/>
      <c r="G173" s="445"/>
      <c r="H173" s="445"/>
      <c r="I173" s="445"/>
      <c r="J173" s="445"/>
      <c r="K173" s="445"/>
      <c r="L173" s="445"/>
    </row>
    <row r="174" spans="1:12" ht="14.25">
      <c r="A174" s="445"/>
      <c r="B174" s="445"/>
      <c r="C174" s="445"/>
      <c r="D174" s="445"/>
      <c r="E174" s="445"/>
      <c r="F174" s="445"/>
      <c r="G174" s="445"/>
      <c r="H174" s="445"/>
      <c r="I174" s="445"/>
      <c r="J174" s="445"/>
      <c r="K174" s="445"/>
      <c r="L174" s="445"/>
    </row>
    <row r="175" spans="1:12" ht="14.25">
      <c r="A175" s="445"/>
      <c r="B175" s="445"/>
      <c r="C175" s="445"/>
      <c r="D175" s="445"/>
      <c r="E175" s="445"/>
      <c r="F175" s="445"/>
      <c r="G175" s="445"/>
      <c r="H175" s="445"/>
      <c r="I175" s="445"/>
      <c r="J175" s="445"/>
      <c r="K175" s="445"/>
      <c r="L175" s="445"/>
    </row>
    <row r="176" spans="1:12" ht="14.25">
      <c r="A176" s="445"/>
      <c r="B176" s="445"/>
      <c r="C176" s="445"/>
      <c r="D176" s="445"/>
      <c r="E176" s="445"/>
      <c r="F176" s="445"/>
      <c r="G176" s="445"/>
      <c r="H176" s="445"/>
      <c r="I176" s="445"/>
      <c r="J176" s="445"/>
      <c r="K176" s="445"/>
      <c r="L176" s="445"/>
    </row>
    <row r="177" spans="1:12" ht="14.25">
      <c r="A177" s="445"/>
      <c r="B177" s="445"/>
      <c r="C177" s="445"/>
      <c r="D177" s="445"/>
      <c r="E177" s="445"/>
      <c r="F177" s="445"/>
      <c r="G177" s="445"/>
      <c r="H177" s="445"/>
      <c r="I177" s="445"/>
      <c r="J177" s="445"/>
      <c r="K177" s="445"/>
      <c r="L177" s="445"/>
    </row>
    <row r="178" spans="1:12" ht="14.25">
      <c r="A178" s="445"/>
      <c r="B178" s="445"/>
      <c r="C178" s="445"/>
      <c r="D178" s="445"/>
      <c r="E178" s="445"/>
      <c r="F178" s="445"/>
      <c r="G178" s="445"/>
      <c r="H178" s="445"/>
      <c r="I178" s="445"/>
      <c r="J178" s="445"/>
      <c r="K178" s="445"/>
      <c r="L178" s="445"/>
    </row>
    <row r="179" spans="1:12" ht="14.25">
      <c r="A179" s="445"/>
      <c r="B179" s="445"/>
      <c r="C179" s="445"/>
      <c r="D179" s="445"/>
      <c r="E179" s="445"/>
      <c r="F179" s="445"/>
      <c r="G179" s="445"/>
      <c r="H179" s="445"/>
      <c r="I179" s="445"/>
      <c r="J179" s="445"/>
      <c r="K179" s="445"/>
      <c r="L179" s="445"/>
    </row>
    <row r="180" spans="1:12" ht="14.25">
      <c r="A180" s="445"/>
      <c r="B180" s="445"/>
      <c r="C180" s="445"/>
      <c r="D180" s="445"/>
      <c r="E180" s="445"/>
      <c r="F180" s="445"/>
      <c r="G180" s="445"/>
      <c r="H180" s="445"/>
      <c r="I180" s="445"/>
      <c r="J180" s="445"/>
      <c r="K180" s="445"/>
      <c r="L180" s="445"/>
    </row>
    <row r="181" spans="1:12" ht="14.25">
      <c r="A181" s="445"/>
      <c r="B181" s="445"/>
      <c r="C181" s="445"/>
      <c r="D181" s="445"/>
      <c r="E181" s="445"/>
      <c r="F181" s="445"/>
      <c r="G181" s="445"/>
      <c r="H181" s="445"/>
      <c r="I181" s="445"/>
      <c r="J181" s="445"/>
      <c r="K181" s="445"/>
      <c r="L181" s="445"/>
    </row>
    <row r="182" spans="1:12" ht="14.25">
      <c r="A182" s="445"/>
      <c r="B182" s="445"/>
      <c r="C182" s="445"/>
      <c r="D182" s="445"/>
      <c r="E182" s="445"/>
      <c r="F182" s="445"/>
      <c r="G182" s="445"/>
      <c r="H182" s="445"/>
      <c r="I182" s="445"/>
      <c r="J182" s="445"/>
      <c r="K182" s="445"/>
      <c r="L182" s="445"/>
    </row>
    <row r="183" spans="1:12" ht="14.25">
      <c r="A183" s="445"/>
      <c r="B183" s="445"/>
      <c r="C183" s="445"/>
      <c r="D183" s="445"/>
      <c r="E183" s="445"/>
      <c r="F183" s="445"/>
      <c r="G183" s="445"/>
      <c r="H183" s="445"/>
      <c r="I183" s="445"/>
      <c r="J183" s="445"/>
      <c r="K183" s="445"/>
      <c r="L183" s="445"/>
    </row>
    <row r="184" spans="1:12" ht="14.25">
      <c r="A184" s="445"/>
      <c r="B184" s="445"/>
      <c r="C184" s="445"/>
      <c r="D184" s="445"/>
      <c r="E184" s="445"/>
      <c r="F184" s="445"/>
      <c r="G184" s="445"/>
      <c r="H184" s="445"/>
      <c r="I184" s="445"/>
      <c r="J184" s="445"/>
      <c r="K184" s="445"/>
      <c r="L184" s="445"/>
    </row>
    <row r="185" spans="1:12" ht="14.25">
      <c r="A185" s="445"/>
      <c r="B185" s="445"/>
      <c r="C185" s="445"/>
      <c r="D185" s="445"/>
      <c r="E185" s="445"/>
      <c r="F185" s="445"/>
      <c r="G185" s="445"/>
      <c r="H185" s="445"/>
      <c r="I185" s="445"/>
      <c r="J185" s="445"/>
      <c r="K185" s="445"/>
      <c r="L185" s="445"/>
    </row>
    <row r="186" spans="1:12" ht="14.25">
      <c r="A186" s="445"/>
      <c r="B186" s="445"/>
      <c r="C186" s="445"/>
      <c r="D186" s="445"/>
      <c r="E186" s="445"/>
      <c r="F186" s="445"/>
      <c r="G186" s="445"/>
      <c r="H186" s="445"/>
      <c r="I186" s="445"/>
      <c r="J186" s="445"/>
      <c r="K186" s="445"/>
      <c r="L186" s="445"/>
    </row>
    <row r="187" spans="1:12" ht="14.25">
      <c r="A187" s="445"/>
      <c r="B187" s="445"/>
      <c r="C187" s="445"/>
      <c r="D187" s="445"/>
      <c r="E187" s="445"/>
      <c r="F187" s="445"/>
      <c r="G187" s="445"/>
      <c r="H187" s="445"/>
      <c r="I187" s="445"/>
      <c r="J187" s="445"/>
      <c r="K187" s="445"/>
      <c r="L187" s="445"/>
    </row>
    <row r="188" spans="1:12" ht="14.25">
      <c r="A188" s="445"/>
      <c r="B188" s="445"/>
      <c r="C188" s="445"/>
      <c r="D188" s="445"/>
      <c r="E188" s="445"/>
      <c r="F188" s="445"/>
      <c r="G188" s="445"/>
      <c r="H188" s="445"/>
      <c r="I188" s="445"/>
      <c r="J188" s="445"/>
      <c r="K188" s="445"/>
      <c r="L188" s="445"/>
    </row>
    <row r="189" spans="1:12" ht="14.25">
      <c r="A189" s="445"/>
      <c r="B189" s="445"/>
      <c r="C189" s="445"/>
      <c r="D189" s="445"/>
      <c r="E189" s="445"/>
      <c r="F189" s="445"/>
      <c r="G189" s="445"/>
      <c r="H189" s="445"/>
      <c r="I189" s="445"/>
      <c r="J189" s="445"/>
      <c r="K189" s="445"/>
      <c r="L189" s="445"/>
    </row>
    <row r="190" spans="1:12" ht="14.25">
      <c r="A190" s="445"/>
      <c r="B190" s="445"/>
      <c r="C190" s="445"/>
      <c r="D190" s="445"/>
      <c r="E190" s="445"/>
      <c r="F190" s="445"/>
      <c r="G190" s="445"/>
      <c r="H190" s="445"/>
      <c r="I190" s="445"/>
      <c r="J190" s="445"/>
      <c r="K190" s="445"/>
      <c r="L190" s="445"/>
    </row>
    <row r="191" spans="1:12" ht="14.25">
      <c r="A191" s="445"/>
      <c r="B191" s="445"/>
      <c r="C191" s="445"/>
      <c r="D191" s="445"/>
      <c r="E191" s="445"/>
      <c r="F191" s="445"/>
      <c r="G191" s="445"/>
      <c r="H191" s="445"/>
      <c r="I191" s="445"/>
      <c r="J191" s="445"/>
      <c r="K191" s="445"/>
      <c r="L191" s="445"/>
    </row>
    <row r="192" spans="1:12" ht="14.25">
      <c r="A192" s="445"/>
      <c r="B192" s="445"/>
      <c r="C192" s="445"/>
      <c r="D192" s="445"/>
      <c r="E192" s="445"/>
      <c r="F192" s="445"/>
      <c r="G192" s="445"/>
      <c r="H192" s="445"/>
      <c r="I192" s="445"/>
      <c r="J192" s="445"/>
      <c r="K192" s="445"/>
      <c r="L192" s="445"/>
    </row>
    <row r="193" spans="1:12" ht="14.25">
      <c r="A193" s="445"/>
      <c r="B193" s="445"/>
      <c r="C193" s="445"/>
      <c r="D193" s="445"/>
      <c r="E193" s="445"/>
      <c r="F193" s="445"/>
      <c r="G193" s="445"/>
      <c r="H193" s="445"/>
      <c r="I193" s="445"/>
      <c r="J193" s="445"/>
      <c r="K193" s="445"/>
      <c r="L193" s="445"/>
    </row>
    <row r="194" spans="1:12" ht="14.25">
      <c r="A194" s="445"/>
      <c r="B194" s="445"/>
      <c r="C194" s="445"/>
      <c r="D194" s="445"/>
      <c r="E194" s="445"/>
      <c r="F194" s="445"/>
      <c r="G194" s="445"/>
      <c r="H194" s="445"/>
      <c r="I194" s="445"/>
      <c r="J194" s="445"/>
      <c r="K194" s="445"/>
      <c r="L194" s="445"/>
    </row>
    <row r="195" spans="1:12" ht="14.25">
      <c r="A195" s="445"/>
      <c r="B195" s="445"/>
      <c r="C195" s="445"/>
      <c r="D195" s="445"/>
      <c r="E195" s="445"/>
      <c r="F195" s="445"/>
      <c r="G195" s="445"/>
      <c r="H195" s="445"/>
      <c r="I195" s="445"/>
      <c r="J195" s="445"/>
      <c r="K195" s="445"/>
      <c r="L195" s="445"/>
    </row>
    <row r="196" spans="1:12" ht="14.25">
      <c r="A196" s="445"/>
      <c r="B196" s="445"/>
      <c r="C196" s="445"/>
      <c r="D196" s="445"/>
      <c r="E196" s="445"/>
      <c r="F196" s="445"/>
      <c r="G196" s="445"/>
      <c r="H196" s="445"/>
      <c r="I196" s="445"/>
      <c r="J196" s="445"/>
      <c r="K196" s="445"/>
      <c r="L196" s="445"/>
    </row>
    <row r="197" spans="1:12" ht="14.25">
      <c r="A197" s="445"/>
      <c r="B197" s="445"/>
      <c r="C197" s="445"/>
      <c r="D197" s="445"/>
      <c r="E197" s="445"/>
      <c r="F197" s="445"/>
      <c r="G197" s="445"/>
      <c r="H197" s="445"/>
      <c r="I197" s="445"/>
      <c r="J197" s="445"/>
      <c r="K197" s="445"/>
      <c r="L197" s="445"/>
    </row>
    <row r="198" spans="1:12" ht="14.25">
      <c r="A198" s="445"/>
      <c r="B198" s="445"/>
      <c r="C198" s="445"/>
      <c r="D198" s="445"/>
      <c r="E198" s="445"/>
      <c r="F198" s="445"/>
      <c r="G198" s="445"/>
      <c r="H198" s="445"/>
      <c r="I198" s="445"/>
      <c r="J198" s="445"/>
      <c r="K198" s="445"/>
      <c r="L198" s="445"/>
    </row>
    <row r="199" spans="1:12" ht="14.25">
      <c r="A199" s="445"/>
      <c r="B199" s="445"/>
      <c r="C199" s="445"/>
      <c r="D199" s="445"/>
      <c r="E199" s="445"/>
      <c r="F199" s="445"/>
      <c r="G199" s="445"/>
      <c r="H199" s="445"/>
      <c r="I199" s="445"/>
      <c r="J199" s="445"/>
      <c r="K199" s="445"/>
      <c r="L199" s="445"/>
    </row>
    <row r="200" spans="1:12" ht="14.25">
      <c r="A200" s="445"/>
      <c r="B200" s="445"/>
      <c r="C200" s="445"/>
      <c r="D200" s="445"/>
      <c r="E200" s="445"/>
      <c r="F200" s="445"/>
      <c r="G200" s="445"/>
      <c r="H200" s="445"/>
      <c r="I200" s="445"/>
      <c r="J200" s="445"/>
      <c r="K200" s="445"/>
      <c r="L200" s="445"/>
    </row>
    <row r="201" spans="1:12" ht="14.25">
      <c r="A201" s="445"/>
      <c r="B201" s="445"/>
      <c r="C201" s="445"/>
      <c r="D201" s="445"/>
      <c r="E201" s="445"/>
      <c r="F201" s="445"/>
      <c r="G201" s="445"/>
      <c r="H201" s="445"/>
      <c r="I201" s="445"/>
      <c r="J201" s="445"/>
      <c r="K201" s="445"/>
      <c r="L201" s="445"/>
    </row>
    <row r="202" spans="1:12" ht="14.25">
      <c r="A202" s="445"/>
      <c r="B202" s="445"/>
      <c r="C202" s="445"/>
      <c r="D202" s="445"/>
      <c r="E202" s="445"/>
      <c r="F202" s="445"/>
      <c r="G202" s="445"/>
      <c r="H202" s="445"/>
      <c r="I202" s="445"/>
      <c r="J202" s="445"/>
      <c r="K202" s="445"/>
      <c r="L202" s="445"/>
    </row>
    <row r="203" spans="1:12" ht="14.25">
      <c r="A203" s="445"/>
      <c r="B203" s="445"/>
      <c r="C203" s="445"/>
      <c r="D203" s="445"/>
      <c r="E203" s="445"/>
      <c r="F203" s="445"/>
      <c r="G203" s="445"/>
      <c r="H203" s="445"/>
      <c r="I203" s="445"/>
      <c r="J203" s="445"/>
      <c r="K203" s="445"/>
      <c r="L203" s="445"/>
    </row>
    <row r="204" spans="1:12" ht="14.25">
      <c r="A204" s="445"/>
      <c r="B204" s="445"/>
      <c r="C204" s="445"/>
      <c r="D204" s="445"/>
      <c r="E204" s="445"/>
      <c r="F204" s="445"/>
      <c r="G204" s="445"/>
      <c r="H204" s="445"/>
      <c r="I204" s="445"/>
      <c r="J204" s="445"/>
      <c r="K204" s="445"/>
      <c r="L204" s="445"/>
    </row>
    <row r="205" spans="1:12" ht="14.25">
      <c r="A205" s="445"/>
      <c r="B205" s="445"/>
      <c r="C205" s="445"/>
      <c r="D205" s="445"/>
      <c r="E205" s="445"/>
      <c r="F205" s="445"/>
      <c r="G205" s="445"/>
      <c r="H205" s="445"/>
      <c r="I205" s="445"/>
      <c r="J205" s="445"/>
      <c r="K205" s="445"/>
      <c r="L205" s="445"/>
    </row>
    <row r="206" spans="1:12" ht="14.25">
      <c r="A206" s="445"/>
      <c r="B206" s="445"/>
      <c r="C206" s="445"/>
      <c r="D206" s="445"/>
      <c r="E206" s="445"/>
      <c r="F206" s="445"/>
      <c r="G206" s="445"/>
      <c r="H206" s="445"/>
      <c r="I206" s="445"/>
      <c r="J206" s="445"/>
      <c r="K206" s="445"/>
      <c r="L206" s="445"/>
    </row>
    <row r="207" spans="1:12" ht="14.25">
      <c r="A207" s="445"/>
      <c r="B207" s="445"/>
      <c r="C207" s="445"/>
      <c r="D207" s="445"/>
      <c r="E207" s="445"/>
      <c r="F207" s="445"/>
      <c r="G207" s="445"/>
      <c r="H207" s="445"/>
      <c r="I207" s="445"/>
      <c r="J207" s="445"/>
      <c r="K207" s="445"/>
      <c r="L207" s="445"/>
    </row>
    <row r="208" spans="1:12" ht="14.25">
      <c r="A208" s="445"/>
      <c r="B208" s="445"/>
      <c r="C208" s="445"/>
      <c r="D208" s="445"/>
      <c r="E208" s="445"/>
      <c r="F208" s="445"/>
      <c r="G208" s="445"/>
      <c r="H208" s="445"/>
      <c r="I208" s="445"/>
      <c r="J208" s="445"/>
      <c r="K208" s="445"/>
      <c r="L208" s="445"/>
    </row>
    <row r="209" spans="1:12" ht="14.25">
      <c r="A209" s="445"/>
      <c r="B209" s="445"/>
      <c r="C209" s="445"/>
      <c r="D209" s="445"/>
      <c r="E209" s="445"/>
      <c r="F209" s="445"/>
      <c r="G209" s="445"/>
      <c r="H209" s="445"/>
      <c r="I209" s="445"/>
      <c r="J209" s="445"/>
      <c r="K209" s="445"/>
      <c r="L209" s="445"/>
    </row>
    <row r="210" spans="1:12" ht="14.25">
      <c r="A210" s="445"/>
      <c r="B210" s="445"/>
      <c r="C210" s="445"/>
      <c r="D210" s="445"/>
      <c r="E210" s="445"/>
      <c r="F210" s="445"/>
      <c r="G210" s="445"/>
      <c r="H210" s="445"/>
      <c r="I210" s="445"/>
      <c r="J210" s="445"/>
      <c r="K210" s="445"/>
      <c r="L210" s="445"/>
    </row>
    <row r="211" spans="1:12" ht="14.25">
      <c r="A211" s="445"/>
      <c r="B211" s="445"/>
      <c r="C211" s="445"/>
      <c r="D211" s="445"/>
      <c r="E211" s="445"/>
      <c r="F211" s="445"/>
      <c r="G211" s="445"/>
      <c r="H211" s="445"/>
      <c r="I211" s="445"/>
      <c r="J211" s="445"/>
      <c r="K211" s="445"/>
      <c r="L211" s="445"/>
    </row>
    <row r="212" spans="1:12" ht="14.25">
      <c r="A212" s="445"/>
      <c r="B212" s="445"/>
      <c r="C212" s="445"/>
      <c r="D212" s="445"/>
      <c r="E212" s="445"/>
      <c r="F212" s="445"/>
      <c r="G212" s="445"/>
      <c r="H212" s="445"/>
      <c r="I212" s="445"/>
      <c r="J212" s="445"/>
      <c r="K212" s="445"/>
      <c r="L212" s="445"/>
    </row>
    <row r="213" spans="1:12" ht="14.25">
      <c r="A213" s="445"/>
      <c r="B213" s="445"/>
      <c r="C213" s="445"/>
      <c r="D213" s="445"/>
      <c r="E213" s="445"/>
      <c r="F213" s="445"/>
      <c r="G213" s="445"/>
      <c r="H213" s="445"/>
      <c r="I213" s="445"/>
      <c r="J213" s="445"/>
      <c r="K213" s="445"/>
      <c r="L213" s="445"/>
    </row>
    <row r="214" spans="1:12" ht="14.25">
      <c r="A214" s="445"/>
      <c r="B214" s="445"/>
      <c r="C214" s="445"/>
      <c r="D214" s="445"/>
      <c r="E214" s="445"/>
      <c r="F214" s="445"/>
      <c r="G214" s="445"/>
      <c r="H214" s="445"/>
      <c r="I214" s="445"/>
      <c r="J214" s="445"/>
      <c r="K214" s="445"/>
      <c r="L214" s="445"/>
    </row>
    <row r="215" spans="1:12" ht="14.25">
      <c r="A215" s="445"/>
      <c r="B215" s="445"/>
      <c r="C215" s="445"/>
      <c r="D215" s="445"/>
      <c r="E215" s="445"/>
      <c r="F215" s="445"/>
      <c r="G215" s="445"/>
      <c r="H215" s="445"/>
      <c r="I215" s="445"/>
      <c r="J215" s="445"/>
      <c r="K215" s="445"/>
      <c r="L215" s="445"/>
    </row>
    <row r="216" spans="1:12" ht="14.25">
      <c r="A216" s="445"/>
      <c r="B216" s="445"/>
      <c r="C216" s="445"/>
      <c r="D216" s="445"/>
      <c r="E216" s="445"/>
      <c r="F216" s="445"/>
      <c r="G216" s="445"/>
      <c r="H216" s="445"/>
      <c r="I216" s="445"/>
      <c r="J216" s="445"/>
      <c r="K216" s="445"/>
      <c r="L216" s="445"/>
    </row>
    <row r="217" spans="1:12" ht="14.25">
      <c r="A217" s="445"/>
      <c r="B217" s="445"/>
      <c r="C217" s="445"/>
      <c r="D217" s="445"/>
      <c r="E217" s="445"/>
      <c r="F217" s="445"/>
      <c r="G217" s="445"/>
      <c r="H217" s="445"/>
      <c r="I217" s="445"/>
      <c r="J217" s="445"/>
      <c r="K217" s="445"/>
      <c r="L217" s="445"/>
    </row>
    <row r="218" spans="1:12" ht="14.25">
      <c r="A218" s="445"/>
      <c r="B218" s="445"/>
      <c r="C218" s="445"/>
      <c r="D218" s="445"/>
      <c r="E218" s="445"/>
      <c r="F218" s="445"/>
      <c r="G218" s="445"/>
      <c r="H218" s="445"/>
      <c r="I218" s="445"/>
      <c r="J218" s="445"/>
      <c r="K218" s="445"/>
      <c r="L218" s="445"/>
    </row>
    <row r="219" spans="1:12" ht="14.25">
      <c r="A219" s="445"/>
      <c r="B219" s="445"/>
      <c r="C219" s="445"/>
      <c r="D219" s="445"/>
      <c r="E219" s="445"/>
      <c r="F219" s="445"/>
      <c r="G219" s="445"/>
      <c r="H219" s="445"/>
      <c r="I219" s="445"/>
      <c r="J219" s="445"/>
      <c r="K219" s="445"/>
      <c r="L219" s="445"/>
    </row>
    <row r="220" spans="1:12" ht="14.25">
      <c r="A220" s="445"/>
      <c r="B220" s="445"/>
      <c r="C220" s="445"/>
      <c r="D220" s="445"/>
      <c r="E220" s="445"/>
      <c r="F220" s="445"/>
      <c r="G220" s="445"/>
      <c r="H220" s="445"/>
      <c r="I220" s="445"/>
      <c r="J220" s="445"/>
      <c r="K220" s="445"/>
      <c r="L220" s="445"/>
    </row>
    <row r="221" spans="1:12" ht="14.25">
      <c r="A221" s="445"/>
      <c r="B221" s="445"/>
      <c r="C221" s="445"/>
      <c r="D221" s="445"/>
      <c r="E221" s="445"/>
      <c r="F221" s="445"/>
      <c r="G221" s="445"/>
      <c r="H221" s="445"/>
      <c r="I221" s="445"/>
      <c r="J221" s="445"/>
      <c r="K221" s="445"/>
      <c r="L221" s="445"/>
    </row>
    <row r="222" spans="1:12" ht="14.25">
      <c r="A222" s="445"/>
      <c r="B222" s="445"/>
      <c r="C222" s="445"/>
      <c r="D222" s="445"/>
      <c r="E222" s="445"/>
      <c r="F222" s="445"/>
      <c r="G222" s="445"/>
      <c r="H222" s="445"/>
      <c r="I222" s="445"/>
      <c r="J222" s="445"/>
      <c r="K222" s="445"/>
      <c r="L222" s="445"/>
    </row>
    <row r="223" spans="1:12" ht="14.25">
      <c r="A223" s="445"/>
      <c r="B223" s="445"/>
      <c r="C223" s="445"/>
      <c r="D223" s="445"/>
      <c r="E223" s="445"/>
      <c r="F223" s="445"/>
      <c r="G223" s="445"/>
      <c r="H223" s="445"/>
      <c r="I223" s="445"/>
      <c r="J223" s="445"/>
      <c r="K223" s="445"/>
      <c r="L223" s="445"/>
    </row>
    <row r="224" spans="1:12" ht="14.25">
      <c r="A224" s="445"/>
      <c r="B224" s="445"/>
      <c r="C224" s="445"/>
      <c r="D224" s="445"/>
      <c r="E224" s="445"/>
      <c r="F224" s="445"/>
      <c r="G224" s="445"/>
      <c r="H224" s="445"/>
      <c r="I224" s="445"/>
      <c r="J224" s="445"/>
      <c r="K224" s="445"/>
      <c r="L224" s="445"/>
    </row>
    <row r="225" spans="1:12" ht="14.25">
      <c r="A225" s="445"/>
      <c r="B225" s="445"/>
      <c r="C225" s="445"/>
      <c r="D225" s="445"/>
      <c r="E225" s="445"/>
      <c r="F225" s="445"/>
      <c r="G225" s="445"/>
      <c r="H225" s="445"/>
      <c r="I225" s="445"/>
      <c r="J225" s="445"/>
      <c r="K225" s="445"/>
      <c r="L225" s="445"/>
    </row>
    <row r="226" spans="1:12" ht="14.25">
      <c r="A226" s="445"/>
      <c r="B226" s="445"/>
      <c r="C226" s="445"/>
      <c r="D226" s="445"/>
      <c r="E226" s="445"/>
      <c r="F226" s="445"/>
      <c r="G226" s="445"/>
      <c r="H226" s="445"/>
      <c r="I226" s="445"/>
      <c r="J226" s="445"/>
      <c r="K226" s="445"/>
      <c r="L226" s="445"/>
    </row>
    <row r="227" spans="1:12" ht="14.25">
      <c r="A227" s="445"/>
      <c r="B227" s="445"/>
      <c r="C227" s="445"/>
      <c r="D227" s="445"/>
      <c r="E227" s="445"/>
      <c r="F227" s="445"/>
      <c r="G227" s="445"/>
      <c r="H227" s="445"/>
      <c r="I227" s="445"/>
      <c r="J227" s="445"/>
      <c r="K227" s="445"/>
      <c r="L227" s="445"/>
    </row>
    <row r="228" spans="1:12" ht="14.25">
      <c r="A228" s="445"/>
      <c r="B228" s="445"/>
      <c r="C228" s="445"/>
      <c r="D228" s="445"/>
      <c r="E228" s="445"/>
      <c r="F228" s="445"/>
      <c r="G228" s="445"/>
      <c r="H228" s="445"/>
      <c r="I228" s="445"/>
      <c r="J228" s="445"/>
      <c r="K228" s="445"/>
      <c r="L228" s="445"/>
    </row>
    <row r="229" spans="1:12" ht="14.25">
      <c r="A229" s="445"/>
      <c r="B229" s="445"/>
      <c r="C229" s="445"/>
      <c r="D229" s="445"/>
      <c r="E229" s="445"/>
      <c r="F229" s="445"/>
      <c r="G229" s="445"/>
      <c r="H229" s="445"/>
      <c r="I229" s="445"/>
      <c r="J229" s="445"/>
      <c r="K229" s="445"/>
      <c r="L229" s="445"/>
    </row>
    <row r="230" spans="1:12" ht="14.25">
      <c r="A230" s="445"/>
      <c r="B230" s="445"/>
      <c r="C230" s="445"/>
      <c r="D230" s="445"/>
      <c r="E230" s="445"/>
      <c r="F230" s="445"/>
      <c r="G230" s="445"/>
      <c r="H230" s="445"/>
      <c r="I230" s="445"/>
      <c r="J230" s="445"/>
      <c r="K230" s="445"/>
      <c r="L230" s="445"/>
    </row>
    <row r="231" spans="1:12" ht="14.25">
      <c r="A231" s="445"/>
      <c r="B231" s="445"/>
      <c r="C231" s="445"/>
      <c r="D231" s="445"/>
      <c r="E231" s="445"/>
      <c r="F231" s="445"/>
      <c r="G231" s="445"/>
      <c r="H231" s="445"/>
      <c r="I231" s="445"/>
      <c r="J231" s="445"/>
      <c r="K231" s="445"/>
      <c r="L231" s="445"/>
    </row>
    <row r="232" spans="1:12" ht="14.25">
      <c r="A232" s="445"/>
      <c r="B232" s="445"/>
      <c r="C232" s="445"/>
      <c r="D232" s="445"/>
      <c r="E232" s="445"/>
      <c r="F232" s="445"/>
      <c r="G232" s="445"/>
      <c r="H232" s="445"/>
      <c r="I232" s="445"/>
      <c r="J232" s="445"/>
      <c r="K232" s="445"/>
      <c r="L232" s="445"/>
    </row>
    <row r="233" spans="1:12" ht="14.25">
      <c r="A233" s="445"/>
      <c r="B233" s="445"/>
      <c r="C233" s="445"/>
      <c r="D233" s="445"/>
      <c r="E233" s="445"/>
      <c r="F233" s="445"/>
      <c r="G233" s="445"/>
      <c r="H233" s="445"/>
      <c r="I233" s="445"/>
      <c r="J233" s="445"/>
      <c r="K233" s="445"/>
      <c r="L233" s="445"/>
    </row>
    <row r="234" spans="1:12" ht="14.25">
      <c r="A234" s="445"/>
      <c r="B234" s="445"/>
      <c r="C234" s="445"/>
      <c r="D234" s="445"/>
      <c r="E234" s="445"/>
      <c r="F234" s="445"/>
      <c r="G234" s="445"/>
      <c r="H234" s="445"/>
      <c r="I234" s="445"/>
      <c r="J234" s="445"/>
      <c r="K234" s="445"/>
      <c r="L234" s="445"/>
    </row>
    <row r="235" spans="1:12" ht="14.25">
      <c r="A235" s="445"/>
      <c r="B235" s="445"/>
      <c r="C235" s="445"/>
      <c r="D235" s="445"/>
      <c r="E235" s="445"/>
      <c r="F235" s="445"/>
      <c r="G235" s="445"/>
      <c r="H235" s="445"/>
      <c r="I235" s="445"/>
      <c r="J235" s="445"/>
      <c r="K235" s="445"/>
      <c r="L235" s="445"/>
    </row>
    <row r="236" spans="1:12" ht="14.25">
      <c r="A236" s="445"/>
      <c r="B236" s="445"/>
      <c r="C236" s="445"/>
      <c r="D236" s="445"/>
      <c r="E236" s="445"/>
      <c r="F236" s="445"/>
      <c r="G236" s="445"/>
      <c r="H236" s="445"/>
      <c r="I236" s="445"/>
      <c r="J236" s="445"/>
      <c r="K236" s="445"/>
      <c r="L236" s="445"/>
    </row>
    <row r="237" spans="1:12" ht="14.25">
      <c r="A237" s="445"/>
      <c r="B237" s="445"/>
      <c r="C237" s="445"/>
      <c r="D237" s="445"/>
      <c r="E237" s="445"/>
      <c r="F237" s="445"/>
      <c r="G237" s="445"/>
      <c r="H237" s="445"/>
      <c r="I237" s="445"/>
      <c r="J237" s="445"/>
      <c r="K237" s="445"/>
      <c r="L237" s="445"/>
    </row>
    <row r="238" spans="1:12" ht="14.25">
      <c r="A238" s="445"/>
      <c r="B238" s="445"/>
      <c r="C238" s="445"/>
      <c r="D238" s="445"/>
      <c r="E238" s="445"/>
      <c r="F238" s="445"/>
      <c r="G238" s="445"/>
      <c r="H238" s="445"/>
      <c r="I238" s="445"/>
      <c r="J238" s="445"/>
      <c r="K238" s="445"/>
      <c r="L238" s="445"/>
    </row>
    <row r="239" spans="1:12" ht="14.25">
      <c r="A239" s="445"/>
      <c r="B239" s="445"/>
      <c r="C239" s="445"/>
      <c r="D239" s="445"/>
      <c r="E239" s="445"/>
      <c r="F239" s="445"/>
      <c r="G239" s="445"/>
      <c r="H239" s="445"/>
      <c r="I239" s="445"/>
      <c r="J239" s="445"/>
      <c r="K239" s="445"/>
      <c r="L239" s="445"/>
    </row>
    <row r="240" spans="1:12" ht="14.25">
      <c r="A240" s="445"/>
      <c r="B240" s="445"/>
      <c r="C240" s="445"/>
      <c r="D240" s="445"/>
      <c r="E240" s="445"/>
      <c r="F240" s="445"/>
      <c r="G240" s="445"/>
      <c r="H240" s="445"/>
      <c r="I240" s="445"/>
      <c r="J240" s="445"/>
      <c r="K240" s="445"/>
      <c r="L240" s="445"/>
    </row>
    <row r="241" spans="1:12" ht="14.25">
      <c r="A241" s="445"/>
      <c r="B241" s="445"/>
      <c r="C241" s="445"/>
      <c r="D241" s="445"/>
      <c r="E241" s="445"/>
      <c r="F241" s="445"/>
      <c r="G241" s="445"/>
      <c r="H241" s="445"/>
      <c r="I241" s="445"/>
      <c r="J241" s="445"/>
      <c r="K241" s="445"/>
      <c r="L241" s="445"/>
    </row>
    <row r="242" spans="1:12" ht="14.25">
      <c r="A242" s="445"/>
      <c r="B242" s="445"/>
      <c r="C242" s="445"/>
      <c r="D242" s="445"/>
      <c r="E242" s="445"/>
      <c r="F242" s="445"/>
      <c r="G242" s="445"/>
      <c r="H242" s="445"/>
      <c r="I242" s="445"/>
      <c r="J242" s="445"/>
      <c r="K242" s="445"/>
      <c r="L242" s="445"/>
    </row>
    <row r="243" spans="1:12" ht="14.25">
      <c r="A243" s="445"/>
      <c r="B243" s="445"/>
      <c r="C243" s="445"/>
      <c r="D243" s="445"/>
      <c r="E243" s="445"/>
      <c r="F243" s="445"/>
      <c r="G243" s="445"/>
      <c r="H243" s="445"/>
      <c r="I243" s="445"/>
      <c r="J243" s="445"/>
      <c r="K243" s="445"/>
      <c r="L243" s="445"/>
    </row>
    <row r="244" spans="1:12" ht="14.25">
      <c r="A244" s="445"/>
      <c r="B244" s="445"/>
      <c r="C244" s="445"/>
      <c r="D244" s="445"/>
      <c r="E244" s="445"/>
      <c r="F244" s="445"/>
      <c r="G244" s="445"/>
      <c r="H244" s="445"/>
      <c r="I244" s="445"/>
      <c r="J244" s="445"/>
      <c r="K244" s="445"/>
      <c r="L244" s="445"/>
    </row>
    <row r="245" spans="1:12" ht="14.25">
      <c r="A245" s="445"/>
      <c r="B245" s="445"/>
      <c r="C245" s="445"/>
      <c r="D245" s="445"/>
      <c r="E245" s="445"/>
      <c r="F245" s="445"/>
      <c r="G245" s="445"/>
      <c r="H245" s="445"/>
      <c r="I245" s="445"/>
      <c r="J245" s="445"/>
      <c r="K245" s="445"/>
      <c r="L245" s="445"/>
    </row>
    <row r="246" spans="1:12" ht="14.25">
      <c r="A246" s="445"/>
      <c r="B246" s="445"/>
      <c r="C246" s="445"/>
      <c r="D246" s="445"/>
      <c r="E246" s="445"/>
      <c r="F246" s="445"/>
      <c r="G246" s="445"/>
      <c r="H246" s="445"/>
      <c r="I246" s="445"/>
      <c r="J246" s="445"/>
      <c r="K246" s="445"/>
      <c r="L246" s="445"/>
    </row>
    <row r="247" spans="1:12" ht="14.25">
      <c r="A247" s="445"/>
      <c r="B247" s="445"/>
      <c r="C247" s="445"/>
      <c r="D247" s="445"/>
      <c r="E247" s="445"/>
      <c r="F247" s="445"/>
      <c r="G247" s="445"/>
      <c r="H247" s="445"/>
      <c r="I247" s="445"/>
      <c r="J247" s="445"/>
      <c r="K247" s="445"/>
      <c r="L247" s="445"/>
    </row>
    <row r="248" spans="1:12" ht="14.25">
      <c r="A248" s="445"/>
      <c r="B248" s="445"/>
      <c r="C248" s="445"/>
      <c r="D248" s="445"/>
      <c r="E248" s="445"/>
      <c r="F248" s="445"/>
      <c r="G248" s="445"/>
      <c r="H248" s="445"/>
      <c r="I248" s="445"/>
      <c r="J248" s="445"/>
      <c r="K248" s="445"/>
      <c r="L248" s="445"/>
    </row>
    <row r="249" spans="1:12" ht="14.25">
      <c r="A249" s="445"/>
      <c r="B249" s="445"/>
      <c r="C249" s="445"/>
      <c r="D249" s="445"/>
      <c r="E249" s="445"/>
      <c r="F249" s="445"/>
      <c r="G249" s="445"/>
      <c r="H249" s="445"/>
      <c r="I249" s="445"/>
      <c r="J249" s="445"/>
      <c r="K249" s="445"/>
      <c r="L249" s="445"/>
    </row>
    <row r="250" spans="1:12" ht="14.25">
      <c r="A250" s="445"/>
      <c r="B250" s="445"/>
      <c r="C250" s="445"/>
      <c r="D250" s="445"/>
      <c r="E250" s="445"/>
      <c r="F250" s="445"/>
      <c r="G250" s="445"/>
      <c r="H250" s="445"/>
      <c r="I250" s="445"/>
      <c r="J250" s="445"/>
      <c r="K250" s="445"/>
      <c r="L250" s="445"/>
    </row>
    <row r="251" spans="1:12" ht="14.25">
      <c r="A251" s="445"/>
      <c r="B251" s="445"/>
      <c r="C251" s="445"/>
      <c r="D251" s="445"/>
      <c r="E251" s="445"/>
      <c r="F251" s="445"/>
      <c r="G251" s="445"/>
      <c r="H251" s="445"/>
      <c r="I251" s="445"/>
      <c r="J251" s="445"/>
      <c r="K251" s="445"/>
      <c r="L251" s="445"/>
    </row>
    <row r="252" spans="1:12" ht="14.25">
      <c r="A252" s="445"/>
      <c r="B252" s="445"/>
      <c r="C252" s="445"/>
      <c r="D252" s="445"/>
      <c r="E252" s="445"/>
      <c r="F252" s="445"/>
      <c r="G252" s="445"/>
      <c r="H252" s="445"/>
      <c r="I252" s="445"/>
      <c r="J252" s="445"/>
      <c r="K252" s="445"/>
      <c r="L252" s="445"/>
    </row>
    <row r="253" spans="1:12" ht="14.25">
      <c r="A253" s="445"/>
      <c r="B253" s="445"/>
      <c r="C253" s="445"/>
      <c r="D253" s="445"/>
      <c r="E253" s="445"/>
      <c r="F253" s="445"/>
      <c r="G253" s="445"/>
      <c r="H253" s="445"/>
      <c r="I253" s="445"/>
      <c r="J253" s="445"/>
      <c r="K253" s="445"/>
      <c r="L253" s="445"/>
    </row>
    <row r="254" spans="1:12" ht="14.25">
      <c r="A254" s="445"/>
      <c r="B254" s="445"/>
      <c r="C254" s="445"/>
      <c r="D254" s="445"/>
      <c r="E254" s="445"/>
      <c r="F254" s="445"/>
      <c r="G254" s="445"/>
      <c r="H254" s="445"/>
      <c r="I254" s="445"/>
      <c r="J254" s="445"/>
      <c r="K254" s="445"/>
      <c r="L254" s="445"/>
    </row>
    <row r="255" spans="1:12" ht="14.25">
      <c r="A255" s="445"/>
      <c r="B255" s="445"/>
      <c r="C255" s="445"/>
      <c r="D255" s="445"/>
      <c r="E255" s="445"/>
      <c r="F255" s="445"/>
      <c r="G255" s="445"/>
      <c r="H255" s="445"/>
      <c r="I255" s="445"/>
      <c r="J255" s="445"/>
      <c r="K255" s="445"/>
      <c r="L255" s="445"/>
    </row>
    <row r="256" spans="1:12" ht="14.25">
      <c r="A256" s="445"/>
      <c r="B256" s="445"/>
      <c r="C256" s="445"/>
      <c r="D256" s="445"/>
      <c r="E256" s="445"/>
      <c r="F256" s="445"/>
      <c r="G256" s="445"/>
      <c r="H256" s="445"/>
      <c r="I256" s="445"/>
      <c r="J256" s="445"/>
      <c r="K256" s="445"/>
      <c r="L256" s="445"/>
    </row>
    <row r="257" spans="1:12" ht="14.25">
      <c r="A257" s="445"/>
      <c r="B257" s="445"/>
      <c r="C257" s="445"/>
      <c r="D257" s="445"/>
      <c r="E257" s="445"/>
      <c r="F257" s="445"/>
      <c r="G257" s="445"/>
      <c r="H257" s="445"/>
      <c r="I257" s="445"/>
      <c r="J257" s="445"/>
      <c r="K257" s="445"/>
      <c r="L257" s="445"/>
    </row>
    <row r="258" spans="1:12" ht="14.25">
      <c r="A258" s="445"/>
      <c r="B258" s="445"/>
      <c r="C258" s="445"/>
      <c r="D258" s="445"/>
      <c r="E258" s="445"/>
      <c r="F258" s="445"/>
      <c r="G258" s="445"/>
      <c r="H258" s="445"/>
      <c r="I258" s="445"/>
      <c r="J258" s="445"/>
      <c r="K258" s="445"/>
      <c r="L258" s="445"/>
    </row>
    <row r="259" spans="1:12" ht="14.25">
      <c r="A259" s="445"/>
      <c r="B259" s="445"/>
      <c r="C259" s="445"/>
      <c r="D259" s="445"/>
      <c r="E259" s="445"/>
      <c r="F259" s="445"/>
      <c r="G259" s="445"/>
      <c r="H259" s="445"/>
      <c r="I259" s="445"/>
      <c r="J259" s="445"/>
      <c r="K259" s="445"/>
      <c r="L259" s="445"/>
    </row>
    <row r="260" spans="1:12" ht="14.25">
      <c r="A260" s="445"/>
      <c r="B260" s="445"/>
      <c r="C260" s="445"/>
      <c r="D260" s="445"/>
      <c r="E260" s="445"/>
      <c r="F260" s="445"/>
      <c r="G260" s="445"/>
      <c r="H260" s="445"/>
      <c r="I260" s="445"/>
      <c r="J260" s="445"/>
      <c r="K260" s="445"/>
      <c r="L260" s="445"/>
    </row>
    <row r="261" spans="1:12" ht="14.25">
      <c r="A261" s="445"/>
      <c r="B261" s="445"/>
      <c r="C261" s="445"/>
      <c r="D261" s="445"/>
      <c r="E261" s="445"/>
      <c r="F261" s="445"/>
      <c r="G261" s="445"/>
      <c r="H261" s="445"/>
      <c r="I261" s="445"/>
      <c r="J261" s="445"/>
      <c r="K261" s="445"/>
      <c r="L261" s="445"/>
    </row>
    <row r="262" spans="1:12" ht="14.25">
      <c r="A262" s="445"/>
      <c r="B262" s="445"/>
      <c r="C262" s="445"/>
      <c r="D262" s="445"/>
      <c r="E262" s="445"/>
      <c r="F262" s="445"/>
      <c r="G262" s="445"/>
      <c r="H262" s="445"/>
      <c r="I262" s="445"/>
      <c r="J262" s="445"/>
      <c r="K262" s="445"/>
      <c r="L262" s="445"/>
    </row>
    <row r="263" spans="1:12" ht="14.25">
      <c r="A263" s="445"/>
      <c r="B263" s="445"/>
      <c r="C263" s="445"/>
      <c r="D263" s="445"/>
      <c r="E263" s="445"/>
      <c r="F263" s="445"/>
      <c r="G263" s="445"/>
      <c r="H263" s="445"/>
      <c r="I263" s="445"/>
      <c r="J263" s="445"/>
      <c r="K263" s="445"/>
      <c r="L263" s="445"/>
    </row>
    <row r="264" spans="1:12" ht="14.25">
      <c r="A264" s="445"/>
      <c r="B264" s="445"/>
      <c r="C264" s="445"/>
      <c r="D264" s="445"/>
      <c r="E264" s="445"/>
      <c r="F264" s="445"/>
      <c r="G264" s="445"/>
      <c r="H264" s="445"/>
      <c r="I264" s="445"/>
      <c r="J264" s="445"/>
      <c r="K264" s="445"/>
      <c r="L264" s="445"/>
    </row>
    <row r="265" spans="1:12" ht="14.25">
      <c r="A265" s="445"/>
      <c r="B265" s="445"/>
      <c r="C265" s="445"/>
      <c r="D265" s="445"/>
      <c r="E265" s="445"/>
      <c r="F265" s="445"/>
      <c r="G265" s="445"/>
      <c r="H265" s="445"/>
      <c r="I265" s="445"/>
      <c r="J265" s="445"/>
      <c r="K265" s="445"/>
      <c r="L265" s="445"/>
    </row>
    <row r="266" spans="1:12" ht="14.25">
      <c r="A266" s="445"/>
      <c r="B266" s="445"/>
      <c r="C266" s="445"/>
      <c r="D266" s="445"/>
      <c r="E266" s="445"/>
      <c r="F266" s="445"/>
      <c r="G266" s="445"/>
      <c r="H266" s="445"/>
      <c r="I266" s="445"/>
      <c r="J266" s="445"/>
      <c r="K266" s="445"/>
      <c r="L266" s="445"/>
    </row>
    <row r="267" spans="1:12" ht="14.25">
      <c r="A267" s="445"/>
      <c r="B267" s="445"/>
      <c r="C267" s="445"/>
      <c r="D267" s="445"/>
      <c r="E267" s="445"/>
      <c r="F267" s="445"/>
      <c r="G267" s="445"/>
      <c r="H267" s="445"/>
      <c r="I267" s="445"/>
      <c r="J267" s="445"/>
      <c r="K267" s="445"/>
      <c r="L267" s="445"/>
    </row>
    <row r="268" spans="1:12" ht="14.25">
      <c r="A268" s="445"/>
      <c r="B268" s="445"/>
      <c r="C268" s="445"/>
      <c r="D268" s="445"/>
      <c r="E268" s="445"/>
      <c r="F268" s="445"/>
      <c r="G268" s="445"/>
      <c r="H268" s="445"/>
      <c r="I268" s="445"/>
      <c r="J268" s="445"/>
      <c r="K268" s="445"/>
      <c r="L268" s="445"/>
    </row>
    <row r="269" spans="1:12" ht="14.25">
      <c r="A269" s="445"/>
      <c r="B269" s="445"/>
      <c r="C269" s="445"/>
      <c r="D269" s="445"/>
      <c r="E269" s="445"/>
      <c r="F269" s="445"/>
      <c r="G269" s="445"/>
      <c r="H269" s="445"/>
      <c r="I269" s="445"/>
      <c r="J269" s="445"/>
      <c r="K269" s="445"/>
      <c r="L269" s="445"/>
    </row>
    <row r="270" spans="1:12" ht="14.25">
      <c r="A270" s="445"/>
      <c r="B270" s="445"/>
      <c r="C270" s="445"/>
      <c r="D270" s="445"/>
      <c r="E270" s="445"/>
      <c r="F270" s="445"/>
      <c r="G270" s="445"/>
      <c r="H270" s="445"/>
      <c r="I270" s="445"/>
      <c r="J270" s="445"/>
      <c r="K270" s="445"/>
      <c r="L270" s="445"/>
    </row>
    <row r="271" spans="1:12" ht="14.25">
      <c r="A271" s="445"/>
      <c r="B271" s="445"/>
      <c r="C271" s="445"/>
      <c r="D271" s="445"/>
      <c r="E271" s="445"/>
      <c r="F271" s="445"/>
      <c r="G271" s="445"/>
      <c r="H271" s="445"/>
      <c r="I271" s="445"/>
      <c r="J271" s="445"/>
      <c r="K271" s="445"/>
      <c r="L271" s="445"/>
    </row>
    <row r="272" spans="1:12" ht="14.25">
      <c r="A272" s="445"/>
      <c r="B272" s="445"/>
      <c r="C272" s="445"/>
      <c r="D272" s="445"/>
      <c r="E272" s="445"/>
      <c r="F272" s="445"/>
      <c r="G272" s="445"/>
      <c r="H272" s="445"/>
      <c r="I272" s="445"/>
      <c r="J272" s="445"/>
      <c r="K272" s="445"/>
      <c r="L272" s="445"/>
    </row>
    <row r="273" spans="1:12" ht="14.25">
      <c r="A273" s="445"/>
      <c r="B273" s="445"/>
      <c r="C273" s="445"/>
      <c r="D273" s="445"/>
      <c r="E273" s="445"/>
      <c r="F273" s="445"/>
      <c r="G273" s="445"/>
      <c r="H273" s="445"/>
      <c r="I273" s="445"/>
      <c r="J273" s="445"/>
      <c r="K273" s="445"/>
      <c r="L273" s="445"/>
    </row>
    <row r="274" spans="1:12" ht="14.25">
      <c r="A274" s="445"/>
      <c r="B274" s="445"/>
      <c r="C274" s="445"/>
      <c r="D274" s="445"/>
      <c r="E274" s="445"/>
      <c r="F274" s="445"/>
      <c r="G274" s="445"/>
      <c r="H274" s="445"/>
      <c r="I274" s="445"/>
      <c r="J274" s="445"/>
      <c r="K274" s="445"/>
      <c r="L274" s="445"/>
    </row>
    <row r="275" spans="1:12" ht="14.25">
      <c r="A275" s="445"/>
      <c r="B275" s="445"/>
      <c r="C275" s="445"/>
      <c r="D275" s="445"/>
      <c r="E275" s="445"/>
      <c r="F275" s="445"/>
      <c r="G275" s="445"/>
      <c r="H275" s="445"/>
      <c r="I275" s="445"/>
      <c r="J275" s="445"/>
      <c r="K275" s="445"/>
      <c r="L275" s="445"/>
    </row>
    <row r="276" spans="1:12" ht="14.25">
      <c r="A276" s="445"/>
      <c r="B276" s="445"/>
      <c r="C276" s="445"/>
      <c r="D276" s="445"/>
      <c r="E276" s="445"/>
      <c r="F276" s="445"/>
      <c r="G276" s="445"/>
      <c r="H276" s="445"/>
      <c r="I276" s="445"/>
      <c r="J276" s="445"/>
      <c r="K276" s="445"/>
      <c r="L276" s="445"/>
    </row>
    <row r="277" spans="1:12" ht="14.25">
      <c r="A277" s="445"/>
      <c r="B277" s="445"/>
      <c r="C277" s="445"/>
      <c r="D277" s="445"/>
      <c r="E277" s="445"/>
      <c r="F277" s="445"/>
      <c r="G277" s="445"/>
      <c r="H277" s="445"/>
      <c r="I277" s="445"/>
      <c r="J277" s="445"/>
      <c r="K277" s="445"/>
      <c r="L277" s="445"/>
    </row>
    <row r="278" spans="1:12" ht="14.25">
      <c r="A278" s="445"/>
      <c r="B278" s="445"/>
      <c r="C278" s="445"/>
      <c r="D278" s="445"/>
      <c r="E278" s="445"/>
      <c r="F278" s="445"/>
      <c r="G278" s="445"/>
      <c r="H278" s="445"/>
      <c r="I278" s="445"/>
      <c r="J278" s="445"/>
      <c r="K278" s="445"/>
      <c r="L278" s="445"/>
    </row>
    <row r="279" spans="1:12" ht="14.25">
      <c r="A279" s="445"/>
      <c r="B279" s="445"/>
      <c r="C279" s="445"/>
      <c r="D279" s="445"/>
      <c r="E279" s="445"/>
      <c r="F279" s="445"/>
      <c r="G279" s="445"/>
      <c r="H279" s="445"/>
      <c r="I279" s="445"/>
      <c r="J279" s="445"/>
      <c r="K279" s="445"/>
      <c r="L279" s="445"/>
    </row>
    <row r="280" spans="1:12" ht="14.25">
      <c r="A280" s="445"/>
      <c r="B280" s="445"/>
      <c r="C280" s="445"/>
      <c r="D280" s="445"/>
      <c r="E280" s="445"/>
      <c r="F280" s="445"/>
      <c r="G280" s="445"/>
      <c r="H280" s="445"/>
      <c r="I280" s="445"/>
      <c r="J280" s="445"/>
      <c r="K280" s="445"/>
      <c r="L280" s="445"/>
    </row>
    <row r="281" spans="1:12" ht="14.25">
      <c r="A281" s="445"/>
      <c r="B281" s="445"/>
      <c r="C281" s="445"/>
      <c r="D281" s="445"/>
      <c r="E281" s="445"/>
      <c r="F281" s="445"/>
      <c r="G281" s="445"/>
      <c r="H281" s="445"/>
      <c r="I281" s="445"/>
      <c r="J281" s="445"/>
      <c r="K281" s="445"/>
      <c r="L281" s="445"/>
    </row>
    <row r="282" spans="1:12" ht="14.25">
      <c r="A282" s="445"/>
      <c r="B282" s="445"/>
      <c r="C282" s="445"/>
      <c r="D282" s="445"/>
      <c r="E282" s="445"/>
      <c r="F282" s="445"/>
      <c r="G282" s="445"/>
      <c r="H282" s="445"/>
      <c r="I282" s="445"/>
      <c r="J282" s="445"/>
      <c r="K282" s="445"/>
      <c r="L282" s="445"/>
    </row>
    <row r="283" spans="1:12" ht="14.25">
      <c r="A283" s="445"/>
      <c r="B283" s="445"/>
      <c r="C283" s="445"/>
      <c r="D283" s="445"/>
      <c r="E283" s="445"/>
      <c r="F283" s="445"/>
      <c r="G283" s="445"/>
      <c r="H283" s="445"/>
      <c r="I283" s="445"/>
      <c r="J283" s="445"/>
      <c r="K283" s="445"/>
      <c r="L283" s="445"/>
    </row>
    <row r="284" spans="1:12" ht="14.25">
      <c r="A284" s="445"/>
      <c r="B284" s="445"/>
      <c r="C284" s="445"/>
      <c r="D284" s="445"/>
      <c r="E284" s="445"/>
      <c r="F284" s="445"/>
      <c r="G284" s="445"/>
      <c r="H284" s="445"/>
      <c r="I284" s="445"/>
      <c r="J284" s="445"/>
      <c r="K284" s="445"/>
      <c r="L284" s="445"/>
    </row>
    <row r="285" spans="1:12" ht="14.25">
      <c r="A285" s="445"/>
      <c r="B285" s="445"/>
      <c r="C285" s="445"/>
      <c r="D285" s="445"/>
      <c r="E285" s="445"/>
      <c r="F285" s="445"/>
      <c r="G285" s="445"/>
      <c r="H285" s="445"/>
      <c r="I285" s="445"/>
      <c r="J285" s="445"/>
      <c r="K285" s="445"/>
      <c r="L285" s="445"/>
    </row>
    <row r="286" spans="1:12" ht="14.25">
      <c r="A286" s="445"/>
      <c r="B286" s="445"/>
      <c r="C286" s="445"/>
      <c r="D286" s="445"/>
      <c r="E286" s="445"/>
      <c r="F286" s="445"/>
      <c r="G286" s="445"/>
      <c r="H286" s="445"/>
      <c r="I286" s="445"/>
      <c r="J286" s="445"/>
      <c r="K286" s="445"/>
      <c r="L286" s="445"/>
    </row>
    <row r="287" spans="1:12" ht="14.25">
      <c r="A287" s="445"/>
      <c r="B287" s="445"/>
      <c r="C287" s="445"/>
      <c r="D287" s="445"/>
      <c r="E287" s="445"/>
      <c r="F287" s="445"/>
      <c r="G287" s="445"/>
      <c r="H287" s="445"/>
      <c r="I287" s="445"/>
      <c r="J287" s="445"/>
      <c r="K287" s="445"/>
      <c r="L287" s="445"/>
    </row>
    <row r="288" spans="1:12" ht="14.25">
      <c r="A288" s="445"/>
      <c r="B288" s="445"/>
      <c r="C288" s="445"/>
      <c r="D288" s="445"/>
      <c r="E288" s="445"/>
      <c r="F288" s="445"/>
      <c r="G288" s="445"/>
      <c r="H288" s="445"/>
      <c r="I288" s="445"/>
      <c r="J288" s="445"/>
      <c r="K288" s="445"/>
      <c r="L288" s="445"/>
    </row>
    <row r="289" spans="1:12" ht="14.25">
      <c r="A289" s="445"/>
      <c r="B289" s="445"/>
      <c r="C289" s="445"/>
      <c r="D289" s="445"/>
      <c r="E289" s="445"/>
      <c r="F289" s="445"/>
      <c r="G289" s="445"/>
      <c r="H289" s="445"/>
      <c r="I289" s="445"/>
      <c r="J289" s="445"/>
      <c r="K289" s="445"/>
      <c r="L289" s="445"/>
    </row>
    <row r="290" spans="1:12" ht="14.25">
      <c r="A290" s="445"/>
      <c r="B290" s="445"/>
      <c r="C290" s="445"/>
      <c r="D290" s="445"/>
      <c r="E290" s="445"/>
      <c r="F290" s="445"/>
      <c r="G290" s="445"/>
      <c r="H290" s="445"/>
      <c r="I290" s="445"/>
      <c r="J290" s="445"/>
      <c r="K290" s="445"/>
      <c r="L290" s="445"/>
    </row>
    <row r="291" spans="1:12" ht="14.25">
      <c r="A291" s="445"/>
      <c r="B291" s="445"/>
      <c r="C291" s="445"/>
      <c r="D291" s="445"/>
      <c r="E291" s="445"/>
      <c r="F291" s="445"/>
      <c r="G291" s="445"/>
      <c r="H291" s="445"/>
      <c r="I291" s="445"/>
      <c r="J291" s="445"/>
      <c r="K291" s="445"/>
      <c r="L291" s="445"/>
    </row>
    <row r="292" spans="1:12" ht="14.25">
      <c r="A292" s="445"/>
      <c r="B292" s="445"/>
      <c r="C292" s="445"/>
      <c r="D292" s="445"/>
      <c r="E292" s="445"/>
      <c r="F292" s="445"/>
      <c r="G292" s="445"/>
      <c r="H292" s="445"/>
      <c r="I292" s="445"/>
      <c r="J292" s="445"/>
      <c r="K292" s="445"/>
      <c r="L292" s="445"/>
    </row>
    <row r="293" spans="1:12" ht="14.25">
      <c r="A293" s="445"/>
      <c r="B293" s="445"/>
      <c r="C293" s="445"/>
      <c r="D293" s="445"/>
      <c r="E293" s="445"/>
      <c r="F293" s="445"/>
      <c r="G293" s="445"/>
      <c r="H293" s="445"/>
      <c r="I293" s="445"/>
      <c r="J293" s="445"/>
      <c r="K293" s="445"/>
      <c r="L293" s="445"/>
    </row>
    <row r="294" spans="1:12" ht="14.25">
      <c r="A294" s="445"/>
      <c r="B294" s="445"/>
      <c r="C294" s="445"/>
      <c r="D294" s="445"/>
      <c r="E294" s="445"/>
      <c r="F294" s="445"/>
      <c r="G294" s="445"/>
      <c r="H294" s="445"/>
      <c r="I294" s="445"/>
      <c r="J294" s="445"/>
      <c r="K294" s="445"/>
      <c r="L294" s="445"/>
    </row>
    <row r="295" spans="1:12" ht="14.25">
      <c r="A295" s="445"/>
      <c r="B295" s="445"/>
      <c r="C295" s="445"/>
      <c r="D295" s="445"/>
      <c r="E295" s="445"/>
      <c r="F295" s="445"/>
      <c r="G295" s="445"/>
      <c r="H295" s="445"/>
      <c r="I295" s="445"/>
      <c r="J295" s="445"/>
      <c r="K295" s="445"/>
      <c r="L295" s="445"/>
    </row>
    <row r="296" spans="1:12" ht="14.25">
      <c r="A296" s="445"/>
      <c r="B296" s="445"/>
      <c r="C296" s="445"/>
      <c r="D296" s="445"/>
      <c r="E296" s="445"/>
      <c r="F296" s="445"/>
      <c r="G296" s="445"/>
      <c r="H296" s="445"/>
      <c r="I296" s="445"/>
      <c r="J296" s="445"/>
      <c r="K296" s="445"/>
      <c r="L296" s="445"/>
    </row>
    <row r="297" spans="1:12" ht="14.25">
      <c r="A297" s="445"/>
      <c r="B297" s="445"/>
      <c r="C297" s="445"/>
      <c r="D297" s="445"/>
      <c r="E297" s="445"/>
      <c r="F297" s="445"/>
      <c r="G297" s="445"/>
      <c r="H297" s="445"/>
      <c r="I297" s="445"/>
      <c r="J297" s="445"/>
      <c r="K297" s="445"/>
      <c r="L297" s="445"/>
    </row>
    <row r="298" spans="1:12" ht="14.25">
      <c r="A298" s="445"/>
      <c r="B298" s="445"/>
      <c r="C298" s="445"/>
      <c r="D298" s="445"/>
      <c r="E298" s="445"/>
      <c r="F298" s="445"/>
      <c r="G298" s="445"/>
      <c r="H298" s="445"/>
      <c r="I298" s="445"/>
      <c r="J298" s="445"/>
      <c r="K298" s="445"/>
      <c r="L298" s="445"/>
    </row>
    <row r="299" spans="1:12" ht="14.25">
      <c r="A299" s="445"/>
      <c r="B299" s="445"/>
      <c r="C299" s="445"/>
      <c r="D299" s="445"/>
      <c r="E299" s="445"/>
      <c r="F299" s="445"/>
      <c r="G299" s="445"/>
      <c r="H299" s="445"/>
      <c r="I299" s="445"/>
      <c r="J299" s="445"/>
      <c r="K299" s="445"/>
      <c r="L299" s="445"/>
    </row>
    <row r="300" spans="1:12" ht="14.25">
      <c r="A300" s="445"/>
      <c r="B300" s="445"/>
      <c r="C300" s="445"/>
      <c r="D300" s="445"/>
      <c r="E300" s="445"/>
      <c r="F300" s="445"/>
      <c r="G300" s="445"/>
      <c r="H300" s="445"/>
      <c r="I300" s="445"/>
      <c r="J300" s="445"/>
      <c r="K300" s="445"/>
      <c r="L300" s="445"/>
    </row>
    <row r="301" spans="1:12" ht="14.25">
      <c r="A301" s="445"/>
      <c r="B301" s="445"/>
      <c r="C301" s="445"/>
      <c r="D301" s="445"/>
      <c r="E301" s="445"/>
      <c r="F301" s="445"/>
      <c r="G301" s="445"/>
      <c r="H301" s="445"/>
      <c r="I301" s="445"/>
      <c r="J301" s="445"/>
      <c r="K301" s="445"/>
      <c r="L301" s="445"/>
    </row>
    <row r="302" spans="1:12" ht="14.25">
      <c r="A302" s="445"/>
      <c r="B302" s="445"/>
      <c r="C302" s="445"/>
      <c r="D302" s="445"/>
      <c r="E302" s="445"/>
      <c r="F302" s="445"/>
      <c r="G302" s="445"/>
      <c r="H302" s="445"/>
      <c r="I302" s="445"/>
      <c r="J302" s="445"/>
      <c r="K302" s="445"/>
      <c r="L302" s="445"/>
    </row>
    <row r="303" spans="1:12" ht="14.25">
      <c r="A303" s="445"/>
      <c r="B303" s="445"/>
      <c r="C303" s="445"/>
      <c r="D303" s="445"/>
      <c r="E303" s="445"/>
      <c r="F303" s="445"/>
      <c r="G303" s="445"/>
      <c r="H303" s="445"/>
      <c r="I303" s="445"/>
      <c r="J303" s="445"/>
      <c r="K303" s="445"/>
      <c r="L303" s="445"/>
    </row>
    <row r="304" spans="1:12" ht="14.25">
      <c r="A304" s="445"/>
      <c r="B304" s="445"/>
      <c r="C304" s="445"/>
      <c r="D304" s="445"/>
      <c r="E304" s="445"/>
      <c r="F304" s="445"/>
      <c r="G304" s="445"/>
      <c r="H304" s="445"/>
      <c r="I304" s="445"/>
      <c r="J304" s="445"/>
      <c r="K304" s="445"/>
      <c r="L304" s="445"/>
    </row>
    <row r="305" spans="1:12" ht="14.25">
      <c r="A305" s="445"/>
      <c r="B305" s="445"/>
      <c r="C305" s="445"/>
      <c r="D305" s="445"/>
      <c r="E305" s="445"/>
      <c r="F305" s="445"/>
      <c r="G305" s="445"/>
      <c r="H305" s="445"/>
      <c r="I305" s="445"/>
      <c r="J305" s="445"/>
      <c r="K305" s="445"/>
      <c r="L305" s="445"/>
    </row>
    <row r="306" spans="1:12" ht="14.25">
      <c r="A306" s="445"/>
      <c r="B306" s="445"/>
      <c r="C306" s="445"/>
      <c r="D306" s="445"/>
      <c r="E306" s="445"/>
      <c r="F306" s="445"/>
      <c r="G306" s="445"/>
      <c r="H306" s="445"/>
      <c r="I306" s="445"/>
      <c r="J306" s="445"/>
      <c r="K306" s="445"/>
      <c r="L306" s="445"/>
    </row>
    <row r="307" spans="1:12" ht="14.25">
      <c r="A307" s="445"/>
      <c r="B307" s="445"/>
      <c r="C307" s="445"/>
      <c r="D307" s="445"/>
      <c r="E307" s="445"/>
      <c r="F307" s="445"/>
      <c r="G307" s="445"/>
      <c r="H307" s="445"/>
      <c r="I307" s="445"/>
      <c r="J307" s="445"/>
      <c r="K307" s="445"/>
      <c r="L307" s="445"/>
    </row>
    <row r="308" spans="1:12" ht="14.25">
      <c r="A308" s="445"/>
      <c r="B308" s="445"/>
      <c r="C308" s="445"/>
      <c r="D308" s="445"/>
      <c r="E308" s="445"/>
      <c r="F308" s="445"/>
      <c r="G308" s="445"/>
      <c r="H308" s="445"/>
      <c r="I308" s="445"/>
      <c r="J308" s="445"/>
      <c r="K308" s="445"/>
      <c r="L308" s="445"/>
    </row>
    <row r="309" spans="1:12" ht="14.25">
      <c r="A309" s="445"/>
      <c r="B309" s="445"/>
      <c r="C309" s="445"/>
      <c r="D309" s="445"/>
      <c r="E309" s="445"/>
      <c r="F309" s="445"/>
      <c r="G309" s="445"/>
      <c r="H309" s="445"/>
      <c r="I309" s="445"/>
      <c r="J309" s="445"/>
      <c r="K309" s="445"/>
      <c r="L309" s="445"/>
    </row>
    <row r="310" spans="1:12" ht="14.25">
      <c r="A310" s="445"/>
      <c r="B310" s="445"/>
      <c r="C310" s="445"/>
      <c r="D310" s="445"/>
      <c r="E310" s="445"/>
      <c r="F310" s="445"/>
      <c r="G310" s="445"/>
      <c r="H310" s="445"/>
      <c r="I310" s="445"/>
      <c r="J310" s="445"/>
      <c r="K310" s="445"/>
      <c r="L310" s="445"/>
    </row>
    <row r="311" spans="1:12" ht="14.25">
      <c r="A311" s="445"/>
      <c r="B311" s="445"/>
      <c r="C311" s="445"/>
      <c r="D311" s="445"/>
      <c r="E311" s="445"/>
      <c r="F311" s="445"/>
      <c r="G311" s="445"/>
      <c r="H311" s="445"/>
      <c r="I311" s="445"/>
      <c r="J311" s="445"/>
      <c r="K311" s="445"/>
      <c r="L311" s="445"/>
    </row>
    <row r="312" spans="1:12" ht="14.25">
      <c r="A312" s="445"/>
      <c r="B312" s="445"/>
      <c r="C312" s="445"/>
      <c r="D312" s="445"/>
      <c r="E312" s="445"/>
      <c r="F312" s="445"/>
      <c r="G312" s="445"/>
      <c r="H312" s="445"/>
      <c r="I312" s="445"/>
      <c r="J312" s="445"/>
      <c r="K312" s="445"/>
      <c r="L312" s="445"/>
    </row>
    <row r="313" spans="1:12" ht="14.25">
      <c r="A313" s="445"/>
      <c r="B313" s="445"/>
      <c r="C313" s="445"/>
      <c r="D313" s="445"/>
      <c r="E313" s="445"/>
      <c r="F313" s="445"/>
      <c r="G313" s="445"/>
      <c r="H313" s="445"/>
      <c r="I313" s="445"/>
      <c r="J313" s="445"/>
      <c r="K313" s="445"/>
      <c r="L313" s="445"/>
    </row>
    <row r="314" spans="1:12" ht="14.25">
      <c r="A314" s="445"/>
      <c r="B314" s="445"/>
      <c r="C314" s="445"/>
      <c r="D314" s="445"/>
      <c r="E314" s="445"/>
      <c r="F314" s="445"/>
      <c r="G314" s="445"/>
      <c r="H314" s="445"/>
      <c r="I314" s="445"/>
      <c r="J314" s="445"/>
      <c r="K314" s="445"/>
      <c r="L314" s="445"/>
    </row>
    <row r="315" spans="1:12" ht="14.25">
      <c r="A315" s="445"/>
      <c r="B315" s="445"/>
      <c r="C315" s="445"/>
      <c r="D315" s="445"/>
      <c r="E315" s="445"/>
      <c r="F315" s="445"/>
      <c r="G315" s="445"/>
      <c r="H315" s="445"/>
      <c r="I315" s="445"/>
      <c r="J315" s="445"/>
      <c r="K315" s="445"/>
      <c r="L315" s="445"/>
    </row>
    <row r="316" spans="1:12" ht="14.25">
      <c r="A316" s="445"/>
      <c r="B316" s="445"/>
      <c r="C316" s="445"/>
      <c r="D316" s="445"/>
      <c r="E316" s="445"/>
      <c r="F316" s="445"/>
      <c r="G316" s="445"/>
      <c r="H316" s="445"/>
      <c r="I316" s="445"/>
      <c r="J316" s="445"/>
      <c r="K316" s="445"/>
      <c r="L316" s="445"/>
    </row>
    <row r="317" spans="1:12" ht="14.25">
      <c r="A317" s="445"/>
      <c r="B317" s="445"/>
      <c r="C317" s="445"/>
      <c r="D317" s="445"/>
      <c r="E317" s="445"/>
      <c r="F317" s="445"/>
      <c r="G317" s="445"/>
      <c r="H317" s="445"/>
      <c r="I317" s="445"/>
      <c r="J317" s="445"/>
      <c r="K317" s="445"/>
      <c r="L317" s="445"/>
    </row>
    <row r="318" spans="1:12" ht="14.25">
      <c r="A318" s="445"/>
      <c r="B318" s="445"/>
      <c r="C318" s="445"/>
      <c r="D318" s="445"/>
      <c r="E318" s="445"/>
      <c r="F318" s="445"/>
      <c r="G318" s="445"/>
      <c r="H318" s="445"/>
      <c r="I318" s="445"/>
      <c r="J318" s="445"/>
      <c r="K318" s="445"/>
      <c r="L318" s="445"/>
    </row>
    <row r="319" spans="1:12" ht="14.25">
      <c r="A319" s="445"/>
      <c r="B319" s="445"/>
      <c r="C319" s="445"/>
      <c r="D319" s="445"/>
      <c r="E319" s="445"/>
      <c r="F319" s="445"/>
      <c r="G319" s="445"/>
      <c r="H319" s="445"/>
      <c r="I319" s="445"/>
      <c r="J319" s="445"/>
      <c r="K319" s="445"/>
      <c r="L319" s="445"/>
    </row>
    <row r="320" spans="1:12" ht="14.25">
      <c r="A320" s="445"/>
      <c r="B320" s="445"/>
      <c r="C320" s="445"/>
      <c r="D320" s="445"/>
      <c r="E320" s="445"/>
      <c r="F320" s="445"/>
      <c r="G320" s="445"/>
      <c r="H320" s="445"/>
      <c r="I320" s="445"/>
      <c r="J320" s="445"/>
      <c r="K320" s="445"/>
      <c r="L320" s="445"/>
    </row>
    <row r="321" spans="1:12" ht="14.25">
      <c r="A321" s="445"/>
      <c r="B321" s="445"/>
      <c r="C321" s="445"/>
      <c r="D321" s="445"/>
      <c r="E321" s="445"/>
      <c r="F321" s="445"/>
      <c r="G321" s="445"/>
      <c r="H321" s="445"/>
      <c r="I321" s="445"/>
      <c r="J321" s="445"/>
      <c r="K321" s="445"/>
      <c r="L321" s="445"/>
    </row>
    <row r="322" spans="1:12" ht="14.25">
      <c r="A322" s="445"/>
      <c r="B322" s="445"/>
      <c r="C322" s="445"/>
      <c r="D322" s="445"/>
      <c r="E322" s="445"/>
      <c r="F322" s="445"/>
      <c r="G322" s="445"/>
      <c r="H322" s="445"/>
      <c r="I322" s="445"/>
      <c r="J322" s="445"/>
      <c r="K322" s="445"/>
      <c r="L322" s="445"/>
    </row>
    <row r="323" spans="1:12" ht="14.25">
      <c r="A323" s="445"/>
      <c r="B323" s="445"/>
      <c r="C323" s="445"/>
      <c r="D323" s="445"/>
      <c r="E323" s="445"/>
      <c r="F323" s="445"/>
      <c r="G323" s="445"/>
      <c r="H323" s="445"/>
      <c r="I323" s="445"/>
      <c r="J323" s="445"/>
      <c r="K323" s="445"/>
      <c r="L323" s="445"/>
    </row>
    <row r="324" spans="1:12" ht="14.25">
      <c r="A324" s="445"/>
      <c r="B324" s="445"/>
      <c r="C324" s="445"/>
      <c r="D324" s="445"/>
      <c r="E324" s="445"/>
      <c r="F324" s="445"/>
      <c r="G324" s="445"/>
      <c r="H324" s="445"/>
      <c r="I324" s="445"/>
      <c r="J324" s="445"/>
      <c r="K324" s="445"/>
      <c r="L324" s="445"/>
    </row>
    <row r="325" spans="1:12" ht="14.25">
      <c r="A325" s="445"/>
      <c r="B325" s="445"/>
      <c r="C325" s="445"/>
      <c r="D325" s="445"/>
      <c r="E325" s="445"/>
      <c r="F325" s="445"/>
      <c r="G325" s="445"/>
      <c r="H325" s="445"/>
      <c r="I325" s="445"/>
      <c r="J325" s="445"/>
      <c r="K325" s="445"/>
      <c r="L325" s="445"/>
    </row>
    <row r="326" spans="1:12" ht="14.25">
      <c r="A326" s="445"/>
      <c r="B326" s="445"/>
      <c r="C326" s="445"/>
      <c r="D326" s="445"/>
      <c r="E326" s="445"/>
      <c r="F326" s="445"/>
      <c r="G326" s="445"/>
      <c r="H326" s="445"/>
      <c r="I326" s="445"/>
      <c r="J326" s="445"/>
      <c r="K326" s="445"/>
      <c r="L326" s="445"/>
    </row>
    <row r="327" spans="1:12" ht="14.25">
      <c r="A327" s="445"/>
      <c r="B327" s="445"/>
      <c r="C327" s="445"/>
      <c r="D327" s="445"/>
      <c r="E327" s="445"/>
      <c r="F327" s="445"/>
      <c r="G327" s="445"/>
      <c r="H327" s="445"/>
      <c r="I327" s="445"/>
      <c r="J327" s="445"/>
      <c r="K327" s="445"/>
      <c r="L327" s="445"/>
    </row>
    <row r="328" spans="1:12" ht="14.25">
      <c r="A328" s="445"/>
      <c r="B328" s="445"/>
      <c r="C328" s="445"/>
      <c r="D328" s="445"/>
      <c r="E328" s="445"/>
      <c r="F328" s="445"/>
      <c r="G328" s="445"/>
      <c r="H328" s="445"/>
      <c r="I328" s="445"/>
      <c r="J328" s="445"/>
      <c r="K328" s="445"/>
      <c r="L328" s="445"/>
    </row>
    <row r="329" spans="1:12" ht="14.25">
      <c r="A329" s="445"/>
      <c r="B329" s="445"/>
      <c r="C329" s="445"/>
      <c r="D329" s="445"/>
      <c r="E329" s="445"/>
      <c r="F329" s="445"/>
      <c r="G329" s="445"/>
      <c r="H329" s="445"/>
      <c r="I329" s="445"/>
      <c r="J329" s="445"/>
      <c r="K329" s="445"/>
      <c r="L329" s="445"/>
    </row>
    <row r="330" spans="1:12" ht="14.25">
      <c r="A330" s="445"/>
      <c r="B330" s="445"/>
      <c r="C330" s="445"/>
      <c r="D330" s="445"/>
      <c r="E330" s="445"/>
      <c r="F330" s="445"/>
      <c r="G330" s="445"/>
      <c r="H330" s="445"/>
      <c r="I330" s="445"/>
      <c r="J330" s="445"/>
      <c r="K330" s="445"/>
      <c r="L330" s="445"/>
    </row>
    <row r="331" spans="1:12" ht="14.25">
      <c r="A331" s="445"/>
      <c r="B331" s="445"/>
      <c r="C331" s="445"/>
      <c r="D331" s="445"/>
      <c r="E331" s="445"/>
      <c r="F331" s="445"/>
      <c r="G331" s="445"/>
      <c r="H331" s="445"/>
      <c r="I331" s="445"/>
      <c r="J331" s="445"/>
      <c r="K331" s="445"/>
      <c r="L331" s="445"/>
    </row>
    <row r="332" spans="1:12" ht="14.25">
      <c r="A332" s="445"/>
      <c r="B332" s="445"/>
      <c r="C332" s="445"/>
      <c r="D332" s="445"/>
      <c r="E332" s="445"/>
      <c r="F332" s="445"/>
      <c r="G332" s="445"/>
      <c r="H332" s="445"/>
      <c r="I332" s="445"/>
      <c r="J332" s="445"/>
      <c r="K332" s="445"/>
      <c r="L332" s="445"/>
    </row>
    <row r="333" spans="1:12" ht="14.25">
      <c r="A333" s="445"/>
      <c r="B333" s="445"/>
      <c r="C333" s="445"/>
      <c r="D333" s="445"/>
      <c r="E333" s="445"/>
      <c r="F333" s="445"/>
      <c r="G333" s="445"/>
      <c r="H333" s="445"/>
      <c r="I333" s="445"/>
      <c r="J333" s="445"/>
      <c r="K333" s="445"/>
      <c r="L333" s="445"/>
    </row>
    <row r="334" spans="1:12" ht="14.25">
      <c r="A334" s="445"/>
      <c r="B334" s="445"/>
      <c r="C334" s="445"/>
      <c r="D334" s="445"/>
      <c r="E334" s="445"/>
      <c r="F334" s="445"/>
      <c r="G334" s="445"/>
      <c r="H334" s="445"/>
      <c r="I334" s="445"/>
      <c r="J334" s="445"/>
      <c r="K334" s="445"/>
      <c r="L334" s="445"/>
    </row>
    <row r="335" spans="1:12" ht="14.25">
      <c r="A335" s="445"/>
      <c r="B335" s="445"/>
      <c r="C335" s="445"/>
      <c r="D335" s="445"/>
      <c r="E335" s="445"/>
      <c r="F335" s="445"/>
      <c r="G335" s="445"/>
      <c r="H335" s="445"/>
      <c r="I335" s="445"/>
      <c r="J335" s="445"/>
      <c r="K335" s="445"/>
      <c r="L335" s="445"/>
    </row>
    <row r="336" spans="1:12" ht="14.25">
      <c r="A336" s="445"/>
      <c r="B336" s="445"/>
      <c r="C336" s="445"/>
      <c r="D336" s="445"/>
      <c r="E336" s="445"/>
      <c r="F336" s="445"/>
      <c r="G336" s="445"/>
      <c r="H336" s="445"/>
      <c r="I336" s="445"/>
      <c r="J336" s="445"/>
      <c r="K336" s="445"/>
      <c r="L336" s="445"/>
    </row>
    <row r="337" spans="1:12" ht="14.25">
      <c r="A337" s="445"/>
      <c r="B337" s="445"/>
      <c r="C337" s="445"/>
      <c r="D337" s="445"/>
      <c r="E337" s="445"/>
      <c r="F337" s="445"/>
      <c r="G337" s="445"/>
      <c r="H337" s="445"/>
      <c r="I337" s="445"/>
      <c r="J337" s="445"/>
      <c r="K337" s="445"/>
      <c r="L337" s="445"/>
    </row>
    <row r="338" spans="1:12" ht="14.25">
      <c r="A338" s="445"/>
      <c r="B338" s="445"/>
      <c r="C338" s="445"/>
      <c r="D338" s="445"/>
      <c r="E338" s="445"/>
      <c r="F338" s="445"/>
      <c r="G338" s="445"/>
      <c r="H338" s="445"/>
      <c r="I338" s="445"/>
      <c r="J338" s="445"/>
      <c r="K338" s="445"/>
      <c r="L338" s="445"/>
    </row>
    <row r="339" spans="1:12" ht="14.25">
      <c r="A339" s="445"/>
      <c r="B339" s="445"/>
      <c r="C339" s="445"/>
      <c r="D339" s="445"/>
      <c r="E339" s="445"/>
      <c r="F339" s="445"/>
      <c r="G339" s="445"/>
      <c r="H339" s="445"/>
      <c r="I339" s="445"/>
      <c r="J339" s="445"/>
      <c r="K339" s="445"/>
      <c r="L339" s="445"/>
    </row>
    <row r="340" spans="1:12" ht="14.25">
      <c r="A340" s="445"/>
      <c r="B340" s="445"/>
      <c r="C340" s="445"/>
      <c r="D340" s="445"/>
      <c r="E340" s="445"/>
      <c r="F340" s="445"/>
      <c r="G340" s="445"/>
      <c r="H340" s="445"/>
      <c r="I340" s="445"/>
      <c r="J340" s="445"/>
      <c r="K340" s="445"/>
      <c r="L340" s="445"/>
    </row>
    <row r="341" spans="1:12" ht="14.25">
      <c r="A341" s="445"/>
      <c r="B341" s="445"/>
      <c r="C341" s="445"/>
      <c r="D341" s="445"/>
      <c r="E341" s="445"/>
      <c r="F341" s="445"/>
      <c r="G341" s="445"/>
      <c r="H341" s="445"/>
      <c r="I341" s="445"/>
      <c r="J341" s="445"/>
      <c r="K341" s="445"/>
      <c r="L341" s="445"/>
    </row>
    <row r="342" spans="1:12" ht="14.25">
      <c r="A342" s="445"/>
      <c r="B342" s="445"/>
      <c r="C342" s="445"/>
      <c r="D342" s="445"/>
      <c r="E342" s="445"/>
      <c r="F342" s="445"/>
      <c r="G342" s="445"/>
      <c r="H342" s="445"/>
      <c r="I342" s="445"/>
      <c r="J342" s="445"/>
      <c r="K342" s="445"/>
      <c r="L342" s="445"/>
    </row>
    <row r="343" spans="1:12" ht="14.25">
      <c r="A343" s="445"/>
      <c r="B343" s="445"/>
      <c r="C343" s="445"/>
      <c r="D343" s="445"/>
      <c r="E343" s="445"/>
      <c r="F343" s="445"/>
      <c r="G343" s="445"/>
      <c r="H343" s="445"/>
      <c r="I343" s="445"/>
      <c r="J343" s="445"/>
      <c r="K343" s="445"/>
      <c r="L343" s="445"/>
    </row>
    <row r="344" spans="1:12" ht="14.25">
      <c r="A344" s="445"/>
      <c r="B344" s="445"/>
      <c r="C344" s="445"/>
      <c r="D344" s="445"/>
      <c r="E344" s="445"/>
      <c r="F344" s="445"/>
      <c r="G344" s="445"/>
      <c r="H344" s="445"/>
      <c r="I344" s="445"/>
      <c r="J344" s="445"/>
      <c r="K344" s="445"/>
      <c r="L344" s="445"/>
    </row>
    <row r="345" spans="1:12" ht="14.25">
      <c r="A345" s="445"/>
      <c r="B345" s="445"/>
      <c r="C345" s="445"/>
      <c r="D345" s="445"/>
      <c r="E345" s="445"/>
      <c r="F345" s="445"/>
      <c r="G345" s="445"/>
      <c r="H345" s="445"/>
      <c r="I345" s="445"/>
      <c r="J345" s="445"/>
      <c r="K345" s="445"/>
      <c r="L345" s="445"/>
    </row>
    <row r="346" spans="1:12" ht="14.25">
      <c r="A346" s="445"/>
      <c r="B346" s="445"/>
      <c r="C346" s="445"/>
      <c r="D346" s="445"/>
      <c r="E346" s="445"/>
      <c r="F346" s="445"/>
      <c r="G346" s="445"/>
      <c r="H346" s="445"/>
      <c r="I346" s="445"/>
      <c r="J346" s="445"/>
      <c r="K346" s="445"/>
      <c r="L346" s="445"/>
    </row>
    <row r="347" spans="1:12" ht="14.25">
      <c r="A347" s="445"/>
      <c r="B347" s="445"/>
      <c r="C347" s="445"/>
      <c r="D347" s="445"/>
      <c r="E347" s="445"/>
      <c r="F347" s="445"/>
      <c r="G347" s="445"/>
      <c r="H347" s="445"/>
      <c r="I347" s="445"/>
      <c r="J347" s="445"/>
      <c r="K347" s="445"/>
      <c r="L347" s="445"/>
    </row>
    <row r="348" spans="1:12" ht="14.25">
      <c r="A348" s="445"/>
      <c r="B348" s="445"/>
      <c r="C348" s="445"/>
      <c r="D348" s="445"/>
      <c r="E348" s="445"/>
      <c r="F348" s="445"/>
      <c r="G348" s="445"/>
      <c r="H348" s="445"/>
      <c r="I348" s="445"/>
      <c r="J348" s="445"/>
      <c r="K348" s="445"/>
      <c r="L348" s="445"/>
    </row>
    <row r="349" spans="1:12" ht="14.25">
      <c r="A349" s="445"/>
      <c r="B349" s="445"/>
      <c r="C349" s="445"/>
      <c r="D349" s="445"/>
      <c r="E349" s="445"/>
      <c r="F349" s="445"/>
      <c r="G349" s="445"/>
      <c r="H349" s="445"/>
      <c r="I349" s="445"/>
      <c r="J349" s="445"/>
      <c r="K349" s="445"/>
      <c r="L349" s="445"/>
    </row>
    <row r="350" spans="1:12" ht="14.25">
      <c r="A350" s="445"/>
      <c r="B350" s="445"/>
      <c r="C350" s="445"/>
      <c r="D350" s="445"/>
      <c r="E350" s="445"/>
      <c r="F350" s="445"/>
      <c r="G350" s="445"/>
      <c r="H350" s="445"/>
      <c r="I350" s="445"/>
      <c r="J350" s="445"/>
      <c r="K350" s="445"/>
      <c r="L350" s="445"/>
    </row>
    <row r="351" spans="1:12" ht="14.25">
      <c r="A351" s="445"/>
      <c r="B351" s="445"/>
      <c r="C351" s="445"/>
      <c r="D351" s="445"/>
      <c r="E351" s="445"/>
      <c r="F351" s="445"/>
      <c r="G351" s="445"/>
      <c r="H351" s="445"/>
      <c r="I351" s="445"/>
      <c r="J351" s="445"/>
      <c r="K351" s="445"/>
      <c r="L351" s="445"/>
    </row>
    <row r="352" spans="1:12" ht="14.25">
      <c r="A352" s="445"/>
      <c r="B352" s="445"/>
      <c r="C352" s="445"/>
      <c r="D352" s="445"/>
      <c r="E352" s="445"/>
      <c r="F352" s="445"/>
      <c r="G352" s="445"/>
      <c r="H352" s="445"/>
      <c r="I352" s="445"/>
      <c r="J352" s="445"/>
      <c r="K352" s="445"/>
      <c r="L352" s="445"/>
    </row>
    <row r="353" spans="1:12" ht="14.25">
      <c r="A353" s="445"/>
      <c r="B353" s="445"/>
      <c r="C353" s="445"/>
      <c r="D353" s="445"/>
      <c r="E353" s="445"/>
      <c r="F353" s="445"/>
      <c r="G353" s="445"/>
      <c r="H353" s="445"/>
      <c r="I353" s="445"/>
      <c r="J353" s="445"/>
      <c r="K353" s="445"/>
      <c r="L353" s="445"/>
    </row>
    <row r="354" spans="1:12" ht="14.25">
      <c r="A354" s="445"/>
      <c r="B354" s="445"/>
      <c r="C354" s="445"/>
      <c r="D354" s="445"/>
      <c r="E354" s="445"/>
      <c r="F354" s="445"/>
      <c r="G354" s="445"/>
      <c r="H354" s="445"/>
      <c r="I354" s="445"/>
      <c r="J354" s="445"/>
      <c r="K354" s="445"/>
      <c r="L354" s="445"/>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601</v>
      </c>
    </row>
    <row r="3" ht="31.5">
      <c r="A3" s="460" t="s">
        <v>602</v>
      </c>
    </row>
    <row r="4" ht="15.75">
      <c r="A4" s="461" t="s">
        <v>603</v>
      </c>
    </row>
    <row r="7" ht="31.5">
      <c r="A7" s="460" t="s">
        <v>604</v>
      </c>
    </row>
    <row r="8" ht="15.75">
      <c r="A8" s="461" t="s">
        <v>605</v>
      </c>
    </row>
    <row r="11" ht="15.75">
      <c r="A11" s="459" t="s">
        <v>606</v>
      </c>
    </row>
    <row r="12" ht="15.75">
      <c r="A12" s="461" t="s">
        <v>607</v>
      </c>
    </row>
    <row r="15" ht="15.75">
      <c r="A15" s="459" t="s">
        <v>608</v>
      </c>
    </row>
    <row r="16" ht="15.75">
      <c r="A16" s="461" t="s">
        <v>609</v>
      </c>
    </row>
    <row r="19" ht="15.75">
      <c r="A19" s="459" t="s">
        <v>610</v>
      </c>
    </row>
    <row r="20" ht="15.75">
      <c r="A20" s="461" t="s">
        <v>611</v>
      </c>
    </row>
    <row r="23" ht="15.75">
      <c r="A23" s="459" t="s">
        <v>612</v>
      </c>
    </row>
    <row r="24" ht="15.75">
      <c r="A24" s="461" t="s">
        <v>613</v>
      </c>
    </row>
    <row r="27" ht="15.75">
      <c r="A27" s="459" t="s">
        <v>614</v>
      </c>
    </row>
    <row r="28" ht="15.75">
      <c r="A28" s="461" t="s">
        <v>615</v>
      </c>
    </row>
    <row r="31" ht="15.75">
      <c r="A31" s="459" t="s">
        <v>616</v>
      </c>
    </row>
    <row r="32" ht="15.75">
      <c r="A32" s="461" t="s">
        <v>617</v>
      </c>
    </row>
    <row r="35" ht="15.75">
      <c r="A35" s="459" t="s">
        <v>618</v>
      </c>
    </row>
    <row r="36" ht="15.75">
      <c r="A36" s="461" t="s">
        <v>619</v>
      </c>
    </row>
    <row r="39" ht="15.75">
      <c r="A39" s="459" t="s">
        <v>620</v>
      </c>
    </row>
    <row r="40" ht="15.75">
      <c r="A40" s="461" t="s">
        <v>621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75">
      <c r="A1" s="528" t="s">
        <v>936</v>
      </c>
    </row>
    <row r="2" ht="15.75">
      <c r="A2" s="780" t="s">
        <v>935</v>
      </c>
    </row>
    <row r="4" ht="15.75">
      <c r="A4" s="528" t="s">
        <v>937</v>
      </c>
    </row>
    <row r="5" ht="15.75">
      <c r="A5" s="729" t="s">
        <v>908</v>
      </c>
    </row>
    <row r="7" ht="15.75">
      <c r="A7" s="528" t="s">
        <v>938</v>
      </c>
    </row>
    <row r="8" ht="15.75">
      <c r="A8" s="95" t="s">
        <v>907</v>
      </c>
    </row>
    <row r="10" ht="15.75">
      <c r="A10" s="528" t="s">
        <v>939</v>
      </c>
    </row>
    <row r="11" ht="15.75">
      <c r="A11" s="708" t="s">
        <v>906</v>
      </c>
    </row>
    <row r="13" ht="15.75">
      <c r="A13" s="528" t="s">
        <v>940</v>
      </c>
    </row>
    <row r="14" ht="15.75">
      <c r="A14" s="708" t="s">
        <v>904</v>
      </c>
    </row>
    <row r="16" ht="15.75">
      <c r="A16" s="528" t="s">
        <v>941</v>
      </c>
    </row>
    <row r="17" ht="15.75">
      <c r="A17" s="711" t="s">
        <v>902</v>
      </c>
    </row>
    <row r="19" ht="15.75">
      <c r="A19" s="528" t="s">
        <v>941</v>
      </c>
    </row>
    <row r="20" ht="15.75">
      <c r="A20" s="711" t="s">
        <v>903</v>
      </c>
    </row>
    <row r="22" ht="15.75">
      <c r="A22" s="528" t="s">
        <v>942</v>
      </c>
    </row>
    <row r="23" ht="15.75">
      <c r="A23" s="708" t="s">
        <v>901</v>
      </c>
    </row>
    <row r="25" ht="15.75">
      <c r="A25" s="528" t="s">
        <v>943</v>
      </c>
    </row>
    <row r="26" ht="15.75">
      <c r="A26" s="705" t="s">
        <v>869</v>
      </c>
    </row>
    <row r="27" ht="15.75">
      <c r="A27" s="705" t="s">
        <v>870</v>
      </c>
    </row>
    <row r="28" ht="15.75">
      <c r="A28" s="705" t="s">
        <v>871</v>
      </c>
    </row>
    <row r="29" ht="15.75">
      <c r="A29" s="705" t="s">
        <v>872</v>
      </c>
    </row>
    <row r="30" ht="15.75">
      <c r="A30" s="705" t="s">
        <v>873</v>
      </c>
    </row>
    <row r="31" ht="15.75">
      <c r="A31" s="705" t="s">
        <v>874</v>
      </c>
    </row>
    <row r="32" ht="15.75">
      <c r="A32" s="705" t="s">
        <v>875</v>
      </c>
    </row>
    <row r="33" ht="15.75">
      <c r="A33" s="705" t="s">
        <v>876</v>
      </c>
    </row>
    <row r="34" ht="15.75">
      <c r="A34" s="705" t="s">
        <v>877</v>
      </c>
    </row>
    <row r="35" ht="15.75">
      <c r="A35" s="705" t="s">
        <v>878</v>
      </c>
    </row>
    <row r="36" ht="15.75">
      <c r="A36" s="705" t="s">
        <v>879</v>
      </c>
    </row>
    <row r="37" ht="15.75">
      <c r="A37" s="705" t="s">
        <v>880</v>
      </c>
    </row>
    <row r="38" ht="15.75">
      <c r="A38" s="705" t="s">
        <v>881</v>
      </c>
    </row>
    <row r="39" ht="15.75">
      <c r="A39" s="705" t="s">
        <v>882</v>
      </c>
    </row>
    <row r="40" ht="15.75">
      <c r="A40" s="705" t="s">
        <v>883</v>
      </c>
    </row>
    <row r="41" ht="15.75">
      <c r="A41" s="705" t="s">
        <v>884</v>
      </c>
    </row>
    <row r="42" ht="15.75">
      <c r="A42" s="705" t="s">
        <v>885</v>
      </c>
    </row>
    <row r="43" ht="15.75">
      <c r="A43" s="705" t="s">
        <v>886</v>
      </c>
    </row>
    <row r="44" ht="15.75">
      <c r="A44" s="705" t="s">
        <v>887</v>
      </c>
    </row>
    <row r="45" ht="15.75">
      <c r="A45" s="705" t="s">
        <v>888</v>
      </c>
    </row>
    <row r="46" ht="15.75">
      <c r="A46" s="705" t="s">
        <v>889</v>
      </c>
    </row>
    <row r="47" ht="15.75">
      <c r="A47" s="705" t="s">
        <v>890</v>
      </c>
    </row>
    <row r="48" ht="15.75">
      <c r="A48" s="705" t="s">
        <v>891</v>
      </c>
    </row>
    <row r="49" ht="15.75">
      <c r="A49" s="705" t="s">
        <v>892</v>
      </c>
    </row>
    <row r="50" ht="15.75">
      <c r="A50" s="705" t="s">
        <v>893</v>
      </c>
    </row>
    <row r="51" ht="15.75">
      <c r="A51" s="705" t="s">
        <v>894</v>
      </c>
    </row>
    <row r="52" ht="15.75">
      <c r="A52" s="705" t="s">
        <v>895</v>
      </c>
    </row>
    <row r="53" ht="15.75">
      <c r="A53" s="705" t="s">
        <v>896</v>
      </c>
    </row>
    <row r="54" ht="15.75">
      <c r="A54" s="705" t="s">
        <v>897</v>
      </c>
    </row>
    <row r="56" ht="15.75">
      <c r="A56" s="528" t="s">
        <v>944</v>
      </c>
    </row>
    <row r="57" ht="15.75">
      <c r="A57" s="95" t="s">
        <v>740</v>
      </c>
    </row>
    <row r="58" ht="15.75">
      <c r="A58" s="95" t="s">
        <v>741</v>
      </c>
    </row>
    <row r="60" ht="15.75">
      <c r="A60" s="528" t="s">
        <v>945</v>
      </c>
    </row>
    <row r="61" ht="15.75">
      <c r="A61" s="512" t="s">
        <v>738</v>
      </c>
    </row>
    <row r="63" ht="15.75">
      <c r="A63" s="355" t="s">
        <v>946</v>
      </c>
    </row>
    <row r="64" ht="15.75">
      <c r="A64" s="512" t="s">
        <v>712</v>
      </c>
    </row>
    <row r="65" ht="15.75">
      <c r="A65" s="512" t="s">
        <v>713</v>
      </c>
    </row>
    <row r="66" ht="31.5">
      <c r="A66" s="511" t="s">
        <v>714</v>
      </c>
    </row>
    <row r="67" ht="15.75">
      <c r="A67" s="512" t="s">
        <v>715</v>
      </c>
    </row>
    <row r="68" ht="15.75">
      <c r="A68" s="512" t="s">
        <v>716</v>
      </c>
    </row>
    <row r="69" ht="15.75">
      <c r="A69" s="512" t="s">
        <v>717</v>
      </c>
    </row>
    <row r="70" ht="15.75">
      <c r="A70" s="512" t="s">
        <v>718</v>
      </c>
    </row>
    <row r="71" ht="15.75">
      <c r="A71" s="512" t="s">
        <v>719</v>
      </c>
    </row>
    <row r="72" ht="15.75">
      <c r="A72" s="512" t="s">
        <v>720</v>
      </c>
    </row>
    <row r="73" ht="15.75">
      <c r="A73" s="512" t="s">
        <v>721</v>
      </c>
    </row>
    <row r="74" ht="15.75">
      <c r="A74" s="512" t="s">
        <v>722</v>
      </c>
    </row>
    <row r="75" ht="15.75">
      <c r="A75" s="512" t="s">
        <v>723</v>
      </c>
    </row>
    <row r="76" ht="15.75">
      <c r="A76" s="512" t="s">
        <v>724</v>
      </c>
    </row>
    <row r="77" ht="15.75">
      <c r="A77" s="512" t="s">
        <v>725</v>
      </c>
    </row>
    <row r="78" ht="15.75">
      <c r="A78" s="512" t="s">
        <v>726</v>
      </c>
    </row>
    <row r="79" ht="15.75">
      <c r="A79" s="512" t="s">
        <v>727</v>
      </c>
    </row>
    <row r="80" ht="15.75">
      <c r="A80" s="512" t="s">
        <v>728</v>
      </c>
    </row>
    <row r="81" ht="15.75">
      <c r="A81" s="512" t="s">
        <v>729</v>
      </c>
    </row>
    <row r="82" ht="15.75">
      <c r="A82" s="512" t="s">
        <v>730</v>
      </c>
    </row>
    <row r="83" ht="15.75">
      <c r="A83" s="512" t="s">
        <v>731</v>
      </c>
    </row>
    <row r="84" ht="15.75">
      <c r="A84" s="512" t="s">
        <v>732</v>
      </c>
    </row>
    <row r="85" ht="15.75">
      <c r="A85" s="512" t="s">
        <v>733</v>
      </c>
    </row>
    <row r="86" ht="15.75">
      <c r="A86" s="95" t="s">
        <v>737</v>
      </c>
    </row>
    <row r="88" ht="15.75">
      <c r="A88" s="355" t="s">
        <v>947</v>
      </c>
    </row>
    <row r="89" ht="36" customHeight="1">
      <c r="A89" s="194" t="s">
        <v>600</v>
      </c>
    </row>
    <row r="91" ht="15.75">
      <c r="A91" s="355" t="s">
        <v>948</v>
      </c>
    </row>
    <row r="92" ht="15.75">
      <c r="A92" s="95" t="s">
        <v>597</v>
      </c>
    </row>
    <row r="93" ht="15.75">
      <c r="A93" s="95" t="s">
        <v>598</v>
      </c>
    </row>
    <row r="94" ht="15.75">
      <c r="A94" s="95" t="s">
        <v>599</v>
      </c>
    </row>
    <row r="96" ht="15.75">
      <c r="A96" s="355" t="s">
        <v>949</v>
      </c>
    </row>
    <row r="97" ht="15.75">
      <c r="A97" s="95" t="s">
        <v>596</v>
      </c>
    </row>
    <row r="99" ht="15.75">
      <c r="A99" s="354" t="s">
        <v>950</v>
      </c>
    </row>
    <row r="100" ht="15.75">
      <c r="A100" s="95" t="s">
        <v>355</v>
      </c>
    </row>
    <row r="101" ht="15.75">
      <c r="A101" s="95" t="s">
        <v>356</v>
      </c>
    </row>
    <row r="102" ht="15.75">
      <c r="A102" s="95" t="s">
        <v>374</v>
      </c>
    </row>
    <row r="103" ht="15.75">
      <c r="A103" s="95" t="s">
        <v>375</v>
      </c>
    </row>
    <row r="104" ht="15.75">
      <c r="A104" s="95" t="s">
        <v>376</v>
      </c>
    </row>
    <row r="105" ht="15.75">
      <c r="A105" s="95" t="s">
        <v>585</v>
      </c>
    </row>
    <row r="107" ht="15.75">
      <c r="A107" s="354" t="s">
        <v>951</v>
      </c>
    </row>
    <row r="108" ht="15.75">
      <c r="A108" s="95" t="s">
        <v>296</v>
      </c>
    </row>
    <row r="109" ht="15.75">
      <c r="A109" s="95" t="s">
        <v>297</v>
      </c>
    </row>
    <row r="110" ht="15.75">
      <c r="A110" s="95" t="s">
        <v>298</v>
      </c>
    </row>
    <row r="111" ht="15.75">
      <c r="A111" s="95" t="s">
        <v>299</v>
      </c>
    </row>
    <row r="112" ht="15.75">
      <c r="A112" s="95" t="s">
        <v>300</v>
      </c>
    </row>
    <row r="113" ht="15.75">
      <c r="A113" s="95" t="s">
        <v>301</v>
      </c>
    </row>
    <row r="114" ht="15.75">
      <c r="A114" s="95" t="s">
        <v>302</v>
      </c>
    </row>
    <row r="115" ht="15.75">
      <c r="A115" s="95" t="s">
        <v>304</v>
      </c>
    </row>
    <row r="116" ht="15.75">
      <c r="A116" s="95" t="s">
        <v>305</v>
      </c>
    </row>
    <row r="117" ht="15.75">
      <c r="A117" s="95" t="s">
        <v>321</v>
      </c>
    </row>
    <row r="118" ht="15.75">
      <c r="A118" s="95" t="s">
        <v>322</v>
      </c>
    </row>
    <row r="119" ht="15.75">
      <c r="A119" s="95" t="s">
        <v>323</v>
      </c>
    </row>
    <row r="120" ht="15.75">
      <c r="A120" s="95" t="s">
        <v>324</v>
      </c>
    </row>
    <row r="121" ht="15.75">
      <c r="A121" s="95" t="s">
        <v>338</v>
      </c>
    </row>
    <row r="122" ht="15.75">
      <c r="A122" s="95" t="s">
        <v>339</v>
      </c>
    </row>
    <row r="123" ht="15.75">
      <c r="A123" s="95" t="s">
        <v>351</v>
      </c>
    </row>
    <row r="124" ht="15.75">
      <c r="A124" s="337" t="s">
        <v>352</v>
      </c>
    </row>
    <row r="126" ht="15.75">
      <c r="A126" s="354" t="s">
        <v>952</v>
      </c>
    </row>
    <row r="127" ht="15.75">
      <c r="A127" s="95" t="s">
        <v>292</v>
      </c>
    </row>
    <row r="129" ht="15.75">
      <c r="A129" s="354" t="s">
        <v>953</v>
      </c>
    </row>
    <row r="130" ht="15.75">
      <c r="A130" s="95" t="s">
        <v>291</v>
      </c>
    </row>
    <row r="132" ht="15.75">
      <c r="A132" s="354" t="s">
        <v>287</v>
      </c>
    </row>
    <row r="133" ht="15.75">
      <c r="A133" s="95" t="s">
        <v>288</v>
      </c>
    </row>
    <row r="134" ht="15.75">
      <c r="A134" s="95" t="s">
        <v>289</v>
      </c>
    </row>
    <row r="135" ht="15.75">
      <c r="A135" s="95" t="s">
        <v>290</v>
      </c>
    </row>
    <row r="137" ht="15.75">
      <c r="A137" s="354" t="s">
        <v>283</v>
      </c>
    </row>
    <row r="138" ht="15.75">
      <c r="A138" s="95" t="s">
        <v>284</v>
      </c>
    </row>
    <row r="139" ht="15.75">
      <c r="A139" s="95" t="s">
        <v>285</v>
      </c>
    </row>
    <row r="141" ht="15.75">
      <c r="A141" s="354" t="s">
        <v>199</v>
      </c>
    </row>
    <row r="142" ht="15.75">
      <c r="A142" s="95" t="s">
        <v>171</v>
      </c>
    </row>
    <row r="143" ht="31.5">
      <c r="A143" s="194" t="s">
        <v>172</v>
      </c>
    </row>
    <row r="144" ht="15.75">
      <c r="A144" s="95" t="s">
        <v>185</v>
      </c>
    </row>
    <row r="145" ht="15.75">
      <c r="A145" s="95" t="s">
        <v>186</v>
      </c>
    </row>
    <row r="146" ht="15.75">
      <c r="A146" s="95" t="s">
        <v>187</v>
      </c>
    </row>
    <row r="147" ht="15.75">
      <c r="A147" s="95" t="s">
        <v>188</v>
      </c>
    </row>
    <row r="148" ht="31.5">
      <c r="A148" s="194" t="s">
        <v>180</v>
      </c>
    </row>
    <row r="149" ht="31.5">
      <c r="A149" s="194" t="s">
        <v>189</v>
      </c>
    </row>
    <row r="150" ht="31.5">
      <c r="A150" s="194" t="s">
        <v>190</v>
      </c>
    </row>
    <row r="151" ht="15.75">
      <c r="A151" s="194" t="s">
        <v>191</v>
      </c>
    </row>
    <row r="152" ht="31.5">
      <c r="A152" s="194" t="s">
        <v>192</v>
      </c>
    </row>
    <row r="153" ht="15.75">
      <c r="A153" s="95" t="s">
        <v>193</v>
      </c>
    </row>
    <row r="154" ht="15.75">
      <c r="A154" s="95" t="s">
        <v>194</v>
      </c>
    </row>
    <row r="155" ht="15.75">
      <c r="A155" s="95" t="s">
        <v>195</v>
      </c>
    </row>
    <row r="156" ht="15.75">
      <c r="A156" s="95" t="s">
        <v>196</v>
      </c>
    </row>
    <row r="157" ht="31.5">
      <c r="A157" s="194" t="s">
        <v>197</v>
      </c>
    </row>
    <row r="158" ht="15.75">
      <c r="A158" s="194" t="s">
        <v>173</v>
      </c>
    </row>
    <row r="159" ht="31.5">
      <c r="A159" s="194" t="s">
        <v>181</v>
      </c>
    </row>
    <row r="160" ht="15.75">
      <c r="A160" s="194" t="s">
        <v>174</v>
      </c>
    </row>
    <row r="161" ht="15.75">
      <c r="A161" s="194" t="s">
        <v>175</v>
      </c>
    </row>
    <row r="162" ht="15.75">
      <c r="A162" s="194" t="s">
        <v>176</v>
      </c>
    </row>
    <row r="163" ht="31.5">
      <c r="A163" s="194" t="s">
        <v>177</v>
      </c>
    </row>
    <row r="164" ht="31.5">
      <c r="A164" s="194" t="s">
        <v>182</v>
      </c>
    </row>
    <row r="165" ht="31.5">
      <c r="A165" s="194" t="s">
        <v>178</v>
      </c>
    </row>
    <row r="166" ht="31.5">
      <c r="A166" s="194" t="s">
        <v>183</v>
      </c>
    </row>
    <row r="167" ht="15.75">
      <c r="A167" s="194" t="s">
        <v>184</v>
      </c>
    </row>
    <row r="168" ht="15.75">
      <c r="A168" s="194"/>
    </row>
    <row r="169" ht="15.75">
      <c r="A169" s="354" t="s">
        <v>111</v>
      </c>
    </row>
    <row r="170" ht="47.25">
      <c r="A170" s="194" t="s">
        <v>142</v>
      </c>
    </row>
    <row r="171" ht="15.75">
      <c r="A171" s="95" t="s">
        <v>112</v>
      </c>
    </row>
    <row r="172" ht="15.75">
      <c r="A172" s="95" t="s">
        <v>116</v>
      </c>
    </row>
    <row r="173" ht="15.75">
      <c r="A173" s="95" t="s">
        <v>117</v>
      </c>
    </row>
    <row r="174" ht="15.75">
      <c r="A174" s="95" t="s">
        <v>113</v>
      </c>
    </row>
    <row r="175" ht="15.75">
      <c r="A175" s="95" t="s">
        <v>114</v>
      </c>
    </row>
    <row r="176" ht="15.75">
      <c r="A176" s="95" t="s">
        <v>115</v>
      </c>
    </row>
    <row r="177" ht="15.75">
      <c r="A177" s="194" t="s">
        <v>210</v>
      </c>
    </row>
    <row r="178" ht="15.75">
      <c r="A178" s="95" t="s">
        <v>118</v>
      </c>
    </row>
    <row r="179" ht="15.75">
      <c r="A179" s="95" t="s">
        <v>119</v>
      </c>
    </row>
    <row r="180" ht="15.75">
      <c r="A180" s="95" t="s">
        <v>143</v>
      </c>
    </row>
    <row r="181" ht="15.75">
      <c r="A181" s="95" t="s">
        <v>133</v>
      </c>
    </row>
    <row r="182" ht="15.75">
      <c r="A182" s="95" t="s">
        <v>144</v>
      </c>
    </row>
    <row r="183" ht="15.75">
      <c r="A183" s="95" t="s">
        <v>120</v>
      </c>
    </row>
    <row r="184" ht="15.75">
      <c r="A184" s="95" t="s">
        <v>211</v>
      </c>
    </row>
    <row r="185" ht="15.75">
      <c r="A185" s="95" t="s">
        <v>121</v>
      </c>
    </row>
    <row r="186" ht="15.75">
      <c r="A186" s="95" t="s">
        <v>134</v>
      </c>
    </row>
    <row r="187" ht="31.5">
      <c r="A187" s="194" t="s">
        <v>135</v>
      </c>
    </row>
    <row r="188" ht="15.75">
      <c r="A188" s="95" t="s">
        <v>136</v>
      </c>
    </row>
    <row r="189" ht="15.75">
      <c r="A189" s="95" t="s">
        <v>145</v>
      </c>
    </row>
    <row r="190" ht="15.75">
      <c r="A190" s="95" t="s">
        <v>179</v>
      </c>
    </row>
    <row r="191" ht="15.75">
      <c r="A191" s="95" t="s">
        <v>209</v>
      </c>
    </row>
    <row r="192" ht="15.75">
      <c r="A192" s="95" t="s">
        <v>147</v>
      </c>
    </row>
    <row r="193" ht="15.75">
      <c r="A193" s="95" t="s">
        <v>208</v>
      </c>
    </row>
    <row r="194" ht="15.75">
      <c r="A194" s="95" t="s">
        <v>148</v>
      </c>
    </row>
    <row r="195" ht="15.75">
      <c r="A195" s="95" t="s">
        <v>153</v>
      </c>
    </row>
    <row r="196" ht="15.75">
      <c r="A196" s="95" t="s">
        <v>154</v>
      </c>
    </row>
    <row r="197" ht="15.75">
      <c r="A197" s="95" t="s">
        <v>162</v>
      </c>
    </row>
    <row r="198" ht="15.75">
      <c r="A198" s="95" t="s">
        <v>163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1" sqref="B11"/>
    </sheetView>
  </sheetViews>
  <sheetFormatPr defaultColWidth="8.796875" defaultRowHeight="15.75"/>
  <cols>
    <col min="1" max="1" width="13.69921875" style="338" customWidth="1"/>
    <col min="2" max="2" width="16" style="338" bestFit="1" customWidth="1"/>
    <col min="3" max="16384" width="8.796875" style="338" customWidth="1"/>
  </cols>
  <sheetData>
    <row r="1" ht="15.75">
      <c r="J1" s="537" t="s">
        <v>753</v>
      </c>
    </row>
    <row r="2" spans="1:10" ht="31.5" customHeight="1">
      <c r="A2" s="802" t="s">
        <v>362</v>
      </c>
      <c r="B2" s="803"/>
      <c r="C2" s="803"/>
      <c r="D2" s="803"/>
      <c r="E2" s="803"/>
      <c r="F2" s="803"/>
      <c r="J2" s="537" t="s">
        <v>754</v>
      </c>
    </row>
    <row r="3" ht="15.75">
      <c r="J3" s="537" t="s">
        <v>755</v>
      </c>
    </row>
    <row r="4" spans="1:10" ht="15.75">
      <c r="A4" s="1" t="s">
        <v>765</v>
      </c>
      <c r="B4" s="935" t="s">
        <v>967</v>
      </c>
      <c r="J4" s="537" t="s">
        <v>756</v>
      </c>
    </row>
    <row r="5" spans="1:10" ht="15.75">
      <c r="A5" s="1"/>
      <c r="B5" s="538"/>
      <c r="J5" s="537" t="s">
        <v>757</v>
      </c>
    </row>
    <row r="6" spans="1:10" ht="15.75">
      <c r="A6" s="1" t="s">
        <v>766</v>
      </c>
      <c r="B6" s="936" t="s">
        <v>968</v>
      </c>
      <c r="J6" s="537" t="s">
        <v>758</v>
      </c>
    </row>
    <row r="7" spans="4:10" ht="15.75">
      <c r="D7" s="339"/>
      <c r="J7" s="537" t="s">
        <v>759</v>
      </c>
    </row>
    <row r="8" spans="1:10" ht="15.75">
      <c r="A8" s="193" t="s">
        <v>357</v>
      </c>
      <c r="B8" s="719" t="s">
        <v>971</v>
      </c>
      <c r="C8" s="340"/>
      <c r="D8" s="193" t="s">
        <v>752</v>
      </c>
      <c r="J8" s="537" t="s">
        <v>760</v>
      </c>
    </row>
    <row r="9" spans="1:10" ht="15.75">
      <c r="A9" s="193"/>
      <c r="B9" s="341"/>
      <c r="C9" s="342"/>
      <c r="D9" s="539" t="str">
        <f>IF(B8="","",CONCATENATE("Latest date for notice to be published in your newspaper: ",G19," ",G23,", ",G24))</f>
        <v>Latest date for notice to be published in your newspaper: August 11, 2014</v>
      </c>
      <c r="J9" s="537" t="s">
        <v>761</v>
      </c>
    </row>
    <row r="10" spans="1:10" ht="15.75">
      <c r="A10" s="193" t="s">
        <v>358</v>
      </c>
      <c r="B10" s="719" t="s">
        <v>972</v>
      </c>
      <c r="C10" s="343"/>
      <c r="D10" s="193"/>
      <c r="J10" s="537" t="s">
        <v>762</v>
      </c>
    </row>
    <row r="11" spans="1:10" ht="15.75">
      <c r="A11" s="193"/>
      <c r="B11" s="193"/>
      <c r="C11" s="193"/>
      <c r="D11" s="193"/>
      <c r="J11" s="537" t="s">
        <v>763</v>
      </c>
    </row>
    <row r="12" spans="1:10" ht="15.75">
      <c r="A12" s="193" t="s">
        <v>359</v>
      </c>
      <c r="B12" s="937" t="s">
        <v>969</v>
      </c>
      <c r="C12" s="720"/>
      <c r="D12" s="720"/>
      <c r="E12" s="721"/>
      <c r="J12" s="537" t="s">
        <v>764</v>
      </c>
    </row>
    <row r="13" spans="1:4" ht="15.75">
      <c r="A13" s="193"/>
      <c r="B13" s="193"/>
      <c r="C13" s="193"/>
      <c r="D13" s="193"/>
    </row>
    <row r="14" spans="1:4" ht="15.75">
      <c r="A14" s="193"/>
      <c r="B14" s="193"/>
      <c r="C14" s="193"/>
      <c r="D14" s="193"/>
    </row>
    <row r="15" spans="1:5" ht="15.75">
      <c r="A15" s="193" t="s">
        <v>360</v>
      </c>
      <c r="B15" s="938" t="s">
        <v>970</v>
      </c>
      <c r="C15" s="720"/>
      <c r="D15" s="720"/>
      <c r="E15" s="721"/>
    </row>
    <row r="18" spans="1:5" ht="15.75">
      <c r="A18" s="804" t="s">
        <v>363</v>
      </c>
      <c r="B18" s="804"/>
      <c r="C18" s="193"/>
      <c r="D18" s="193"/>
      <c r="E18" s="193"/>
    </row>
    <row r="19" spans="1:7" ht="15.75">
      <c r="A19" s="193"/>
      <c r="B19" s="193"/>
      <c r="C19" s="193"/>
      <c r="D19" s="193"/>
      <c r="E19" s="193"/>
      <c r="G19" s="537" t="str">
        <f ca="1">IF(B8="","",INDIRECT(G20))</f>
        <v>August</v>
      </c>
    </row>
    <row r="20" spans="1:7" ht="15.75">
      <c r="A20" s="193" t="s">
        <v>357</v>
      </c>
      <c r="B20" s="341" t="s">
        <v>361</v>
      </c>
      <c r="C20" s="193"/>
      <c r="D20" s="193"/>
      <c r="E20" s="193"/>
      <c r="G20" s="540" t="str">
        <f>IF(B8="","",CONCATENATE("J",G22))</f>
        <v>J8</v>
      </c>
    </row>
    <row r="21" spans="1:7" ht="15.75">
      <c r="A21" s="193"/>
      <c r="B21" s="193"/>
      <c r="C21" s="193"/>
      <c r="D21" s="193"/>
      <c r="E21" s="193"/>
      <c r="G21" s="541">
        <f>B8-10</f>
        <v>41862</v>
      </c>
    </row>
    <row r="22" spans="1:7" ht="15.75">
      <c r="A22" s="193" t="s">
        <v>358</v>
      </c>
      <c r="B22" s="193" t="s">
        <v>364</v>
      </c>
      <c r="C22" s="193"/>
      <c r="D22" s="193"/>
      <c r="E22" s="193"/>
      <c r="G22" s="542">
        <f>IF(B8="","",MONTH(G21))</f>
        <v>8</v>
      </c>
    </row>
    <row r="23" spans="1:7" ht="15.75">
      <c r="A23" s="193"/>
      <c r="B23" s="193"/>
      <c r="C23" s="193"/>
      <c r="D23" s="193"/>
      <c r="E23" s="193"/>
      <c r="G23" s="543">
        <f>IF(B8="","",DAY(G21))</f>
        <v>11</v>
      </c>
    </row>
    <row r="24" spans="1:7" ht="15.75">
      <c r="A24" s="193" t="s">
        <v>359</v>
      </c>
      <c r="B24" s="193" t="s">
        <v>365</v>
      </c>
      <c r="C24" s="193"/>
      <c r="D24" s="193"/>
      <c r="E24" s="193"/>
      <c r="G24" s="544">
        <f>IF(B8="","",YEAR(G21))</f>
        <v>2014</v>
      </c>
    </row>
    <row r="25" spans="1:5" ht="15.75">
      <c r="A25" s="193"/>
      <c r="B25" s="193"/>
      <c r="C25" s="193"/>
      <c r="D25" s="193"/>
      <c r="E25" s="193"/>
    </row>
    <row r="26" spans="1:5" ht="15.75">
      <c r="A26" s="193" t="s">
        <v>360</v>
      </c>
      <c r="B26" s="193" t="s">
        <v>366</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C21" sqref="C21"/>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75">
      <c r="A1" s="820" t="s">
        <v>22</v>
      </c>
      <c r="B1" s="820"/>
      <c r="C1" s="820"/>
      <c r="D1" s="820"/>
      <c r="E1" s="820"/>
      <c r="F1" s="820"/>
      <c r="G1" s="48">
        <f>inputPrYr!D9</f>
        <v>2015</v>
      </c>
    </row>
    <row r="2" spans="2:6" s="48" customFormat="1" ht="15.75">
      <c r="B2" s="49"/>
      <c r="C2" s="49"/>
      <c r="D2" s="49"/>
      <c r="E2" s="49"/>
      <c r="F2" s="50"/>
    </row>
    <row r="3" spans="1:6" s="48" customFormat="1" ht="15.75">
      <c r="A3" s="817" t="str">
        <f>CONCATENATE("To the Clerk of ",inputPrYr!D4,", State of Kansas")</f>
        <v>To the Clerk of Sedgwick County, State of Kansas</v>
      </c>
      <c r="B3" s="806"/>
      <c r="C3" s="806"/>
      <c r="D3" s="806"/>
      <c r="E3" s="806"/>
      <c r="F3" s="806"/>
    </row>
    <row r="4" spans="1:6" s="48" customFormat="1" ht="15.75">
      <c r="A4" s="817" t="s">
        <v>80</v>
      </c>
      <c r="B4" s="818"/>
      <c r="C4" s="818"/>
      <c r="D4" s="818"/>
      <c r="E4" s="818"/>
      <c r="F4" s="818"/>
    </row>
    <row r="5" spans="1:6" s="48" customFormat="1" ht="15.75">
      <c r="A5" s="819" t="str">
        <f>inputPrYr!D3</f>
        <v>Greeley Township</v>
      </c>
      <c r="B5" s="818"/>
      <c r="C5" s="818"/>
      <c r="D5" s="818"/>
      <c r="E5" s="818"/>
      <c r="F5" s="818"/>
    </row>
    <row r="6" spans="1:6" s="48" customFormat="1" ht="15.75">
      <c r="A6" s="827" t="s">
        <v>78</v>
      </c>
      <c r="B6" s="828"/>
      <c r="C6" s="828"/>
      <c r="D6" s="828"/>
      <c r="E6" s="828"/>
      <c r="F6" s="828"/>
    </row>
    <row r="7" spans="1:6" s="48" customFormat="1" ht="15.75" customHeight="1">
      <c r="A7" s="817" t="s">
        <v>79</v>
      </c>
      <c r="B7" s="829"/>
      <c r="C7" s="829"/>
      <c r="D7" s="829"/>
      <c r="E7" s="829"/>
      <c r="F7" s="829"/>
    </row>
    <row r="8" spans="1:6" s="48" customFormat="1" ht="15.75" customHeight="1">
      <c r="A8" s="817" t="str">
        <f>CONCATENATE("maximum expenditures for the various funds for the year ",G1,"; and (3) the")</f>
        <v>maximum expenditures for the various funds for the year 2015; and (3) the</v>
      </c>
      <c r="B8" s="818"/>
      <c r="C8" s="818"/>
      <c r="D8" s="818"/>
      <c r="E8" s="818"/>
      <c r="F8" s="818"/>
    </row>
    <row r="9" spans="1:6" s="48" customFormat="1" ht="15.75" customHeight="1">
      <c r="A9" s="817" t="str">
        <f>CONCATENATE("Amount(s) of ",G1-1," Ad Valorem Tax are within statutory limitations for the ",G1," Budget.")</f>
        <v>Amount(s) of 2014 Ad Valorem Tax are within statutory limitations for the 2015 Budget.</v>
      </c>
      <c r="B9" s="818"/>
      <c r="C9" s="818"/>
      <c r="D9" s="818"/>
      <c r="E9" s="818"/>
      <c r="F9" s="818"/>
    </row>
    <row r="10" spans="4:6" s="48" customFormat="1" ht="15.75" customHeight="1">
      <c r="D10" s="53"/>
      <c r="E10" s="53"/>
      <c r="F10" s="53"/>
    </row>
    <row r="11" spans="3:6" s="48" customFormat="1" ht="15.75">
      <c r="C11" s="54"/>
      <c r="D11" s="824" t="str">
        <f>CONCATENATE("",G1," Adopted Budget")</f>
        <v>2015 Adopted Budget</v>
      </c>
      <c r="E11" s="825"/>
      <c r="F11" s="826"/>
    </row>
    <row r="12" spans="1:6" s="48" customFormat="1" ht="15.75">
      <c r="A12" s="55"/>
      <c r="C12" s="53"/>
      <c r="D12" s="56" t="s">
        <v>220</v>
      </c>
      <c r="E12" s="821" t="str">
        <f>CONCATENATE("Amount of ",G1-1," Ad Valorem Tax")</f>
        <v>Amount of 2014 Ad Valorem Tax</v>
      </c>
      <c r="F12" s="57" t="s">
        <v>221</v>
      </c>
    </row>
    <row r="13" spans="3:6" s="48" customFormat="1" ht="15.75">
      <c r="C13" s="57" t="s">
        <v>222</v>
      </c>
      <c r="D13" s="467" t="s">
        <v>150</v>
      </c>
      <c r="E13" s="822"/>
      <c r="F13" s="59" t="s">
        <v>223</v>
      </c>
    </row>
    <row r="14" spans="1:6" s="48" customFormat="1" ht="15.75">
      <c r="A14" s="60" t="s">
        <v>224</v>
      </c>
      <c r="B14" s="61"/>
      <c r="C14" s="62" t="s">
        <v>225</v>
      </c>
      <c r="D14" s="468" t="s">
        <v>691</v>
      </c>
      <c r="E14" s="823"/>
      <c r="F14" s="62" t="s">
        <v>227</v>
      </c>
    </row>
    <row r="15" spans="1:6" s="48" customFormat="1" ht="15.75">
      <c r="A15" s="63" t="str">
        <f>CONCATENATE("Computation to Determine Limit for ",G1,"")</f>
        <v>Computation to Determine Limit for 2015</v>
      </c>
      <c r="B15" s="64"/>
      <c r="C15" s="57">
        <v>2</v>
      </c>
      <c r="D15" s="54"/>
      <c r="E15" s="54"/>
      <c r="F15" s="65"/>
    </row>
    <row r="16" spans="1:6" s="48" customFormat="1" ht="15.75">
      <c r="A16" s="63" t="s">
        <v>742</v>
      </c>
      <c r="B16" s="64"/>
      <c r="C16" s="66">
        <v>3</v>
      </c>
      <c r="D16" s="54"/>
      <c r="E16" s="54"/>
      <c r="F16" s="67"/>
    </row>
    <row r="17" spans="1:6" s="48" customFormat="1" ht="15.75">
      <c r="A17" s="68" t="s">
        <v>93</v>
      </c>
      <c r="B17" s="64"/>
      <c r="C17" s="66">
        <v>4</v>
      </c>
      <c r="D17" s="54"/>
      <c r="E17" s="54"/>
      <c r="F17" s="67"/>
    </row>
    <row r="18" spans="1:6" s="48" customFormat="1" ht="15.75">
      <c r="A18" s="68" t="s">
        <v>69</v>
      </c>
      <c r="B18" s="64"/>
      <c r="C18" s="66">
        <v>5</v>
      </c>
      <c r="D18" s="54"/>
      <c r="E18" s="54"/>
      <c r="F18" s="67"/>
    </row>
    <row r="19" spans="1:6" s="48" customFormat="1" ht="15.75">
      <c r="A19" s="68" t="str">
        <f>IF(inputPrYr!D22="","","Computation to Determine State Library Grant")</f>
        <v>Computation to Determine State Library Grant</v>
      </c>
      <c r="B19" s="64"/>
      <c r="C19" s="66">
        <f>IF(inputPrYr!D22="","",'Library Grant'!F40)</f>
        <v>6</v>
      </c>
      <c r="D19" s="54"/>
      <c r="E19" s="54"/>
      <c r="F19" s="67"/>
    </row>
    <row r="20" spans="1:6" s="48" customFormat="1" ht="15.75">
      <c r="A20" s="69" t="s">
        <v>228</v>
      </c>
      <c r="B20" s="70" t="s">
        <v>229</v>
      </c>
      <c r="C20" s="71"/>
      <c r="F20" s="72"/>
    </row>
    <row r="21" spans="1:6" s="48" customFormat="1" ht="15.75">
      <c r="A21" s="73" t="str">
        <f>inputPrYr!B20</f>
        <v>General</v>
      </c>
      <c r="B21" s="74" t="str">
        <f>inputPrYr!C20</f>
        <v>79-1962</v>
      </c>
      <c r="C21" s="75">
        <f>IF(gen!C61&gt;0,gen!C61,"  ")</f>
        <v>7</v>
      </c>
      <c r="D21" s="545">
        <f>IF(gen!$E$50&lt;&gt;0,gen!$E$50,"  ")</f>
        <v>26200</v>
      </c>
      <c r="E21" s="545">
        <f>IF(gen!$E$57&lt;&gt;0,gen!$E$57,0)</f>
        <v>21359.61</v>
      </c>
      <c r="F21" s="546" t="str">
        <f>IF(AND(gen!E57=0,$B$47&gt;=0)," ",IF(AND(E21&gt;0,$B$47=0)," ",IF(AND(E21&gt;0,$B$47&gt;0),ROUND(E21/$B$47*1000,3))))</f>
        <v> </v>
      </c>
    </row>
    <row r="22" spans="1:6" s="48" customFormat="1" ht="15.75">
      <c r="A22" s="73" t="s">
        <v>286</v>
      </c>
      <c r="B22" s="74" t="str">
        <f>IF(inputPrYr!C21&gt;0,inputPrYr!C21,"")</f>
        <v>10-113</v>
      </c>
      <c r="C22" s="75">
        <f>IF('DebtSvs-Library'!C83&gt;0,'DebtSvs-Library'!C83,"  ")</f>
        <v>9</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75">
      <c r="A23" s="73" t="str">
        <f>IF(inputPrYr!$B22&gt;"  ",inputPrYr!$B22,"  ")</f>
        <v>Library</v>
      </c>
      <c r="B23" s="74" t="str">
        <f>IF(inputPrYr!C22&gt;0,inputPrYr!C22,"")</f>
        <v>12-1220</v>
      </c>
      <c r="C23" s="75">
        <f>IF('DebtSvs-Library'!C83&gt;0,'DebtSvs-Library'!C83,"  ")</f>
        <v>9</v>
      </c>
      <c r="D23" s="545">
        <f>IF('DebtSvs-Library'!E73&lt;&gt;0,'DebtSvs-Library'!E73,"  ")</f>
        <v>7500</v>
      </c>
      <c r="E23" s="545">
        <f>IF('DebtSvs-Library'!E80&lt;&gt;0,'DebtSvs-Library'!E80,"  ")</f>
        <v>6667.47</v>
      </c>
      <c r="F23" s="546" t="str">
        <f>IF(AND('DebtSvs-Library'!E80=0,$B$47&gt;=0)," ",IF(AND(E23&gt;0,$B$47=0)," ",IF(AND(E23&gt;0,$B$47&gt;0),ROUND(E23/$B$47*1000,3))))</f>
        <v> </v>
      </c>
    </row>
    <row r="24" spans="1:6" s="48" customFormat="1" ht="15.75">
      <c r="A24" s="73" t="str">
        <f>IF(inputPrYr!$B23&gt;"  ",inputPrYr!$B23,"  ")</f>
        <v>Road</v>
      </c>
      <c r="B24" s="74" t="str">
        <f>IF(inputPrYr!C23&gt;0,inputPrYr!C23,"  ")</f>
        <v>68-518c</v>
      </c>
      <c r="C24" s="75">
        <f>IF(road!C67&gt;0,road!C67,"  ")</f>
        <v>8</v>
      </c>
      <c r="D24" s="545">
        <f>IF(road!$E$43&lt;&gt;0,road!$E$43,"  ")</f>
        <v>82466</v>
      </c>
      <c r="E24" s="545">
        <f>IF(road!$E$50&lt;&gt;0,road!$E$50,"  ")</f>
        <v>36509.49000000001</v>
      </c>
      <c r="F24" s="546" t="str">
        <f>IF(AND(road!E50=0,$B$44&gt;=0)," ",IF(AND(E24&gt;0,$B$44=0)," ",IF(AND(E24&gt;0,$B$44&gt;0),ROUND(E24/$B$44*1000,3))))</f>
        <v> </v>
      </c>
    </row>
    <row r="25" spans="1:6" s="48" customFormat="1" ht="15.7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7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75">
      <c r="A27" s="73" t="str">
        <f>IF(inputPrYr!$B26&gt;"  ",inputPrYr!$B26,"  ")</f>
        <v>Fire Protection</v>
      </c>
      <c r="B27" s="74" t="str">
        <f>IF(inputPrYr!C26&gt;0,inputPrYr!C26,"  ")</f>
        <v>80-1503</v>
      </c>
      <c r="C27" s="75">
        <f>IF(Fire!C81&gt;0,Fire!C81,"  ")</f>
        <v>10</v>
      </c>
      <c r="D27" s="545">
        <f>IF(Fire!$E$33&lt;&gt;0,Fire!$E$33,"  ")</f>
        <v>6976</v>
      </c>
      <c r="E27" s="545">
        <f>IF(Fire!$E$40&lt;&gt;0,Fire!$E$40,"  ")</f>
        <v>6256.94</v>
      </c>
      <c r="F27" s="546" t="str">
        <f>IF(AND(Fire!$E$40=0,$B$44&gt;=0)," ",IF(AND(E27&gt;0,$B$44=0)," ",IF(AND(E27&gt;0,$B$44&gt;0),ROUND(E27/$B$44*1000,3))))</f>
        <v> </v>
      </c>
    </row>
    <row r="28" spans="1:6" s="48" customFormat="1" ht="15.75">
      <c r="A28" s="73" t="str">
        <f>IF(inputPrYr!$B27&gt;"  ",inputPrYr!$B27,"  ")</f>
        <v>  </v>
      </c>
      <c r="B28" s="74" t="str">
        <f>IF(inputPrYr!C27&gt;0,inputPrYr!C27,"  ")</f>
        <v>  </v>
      </c>
      <c r="C28" s="75">
        <f>IF(Fire!C81&gt;0,Fire!C81,"  ")</f>
        <v>10</v>
      </c>
      <c r="D28" s="545" t="str">
        <f>IF(Fire!$E$73&lt;&gt;0,Fire!$E$73,"  ")</f>
        <v>  </v>
      </c>
      <c r="E28" s="545" t="str">
        <f>IF(Fire!$E$80&lt;&gt;0,Fire!$E$80,"  ")</f>
        <v>  </v>
      </c>
      <c r="F28" s="546" t="str">
        <f>IF(AND(Fire!$E$80=0,$B$47&gt;=0)," ",IF(AND(E28&gt;0,$B$47=0)," ",IF(AND(E28&gt;0,$B$47&gt;0),ROUND(E28/$B$47*1000,3))))</f>
        <v> </v>
      </c>
    </row>
    <row r="29" spans="1:6" s="48" customFormat="1" ht="15.7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7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7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7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75">
      <c r="A33" s="77" t="str">
        <f>IF(inputPrYr!$B35&gt;"  ",inputPrYr!$B35,"  ")</f>
        <v>  </v>
      </c>
      <c r="B33" s="78"/>
      <c r="C33" s="79" t="str">
        <f>IF(nolevypage13!$C$65&gt;0,nolevypage13!$C$65,"  ")</f>
        <v>  </v>
      </c>
      <c r="D33" s="545" t="str">
        <f>IF(nolevypage13!$E$28&lt;&gt;0,nolevypage13!$E$28,"  ")</f>
        <v>  </v>
      </c>
      <c r="E33" s="545"/>
      <c r="F33" s="546"/>
    </row>
    <row r="34" spans="1:6" s="48" customFormat="1" ht="15.75">
      <c r="A34" s="77" t="str">
        <f>IF(inputPrYr!$B36&gt;"  ",inputPrYr!$B36,"  ")</f>
        <v>  </v>
      </c>
      <c r="B34" s="80"/>
      <c r="C34" s="79" t="str">
        <f>IF(nolevypage13!$C$65&gt;0,nolevypage13!$C$65,"  ")</f>
        <v>  </v>
      </c>
      <c r="D34" s="545" t="str">
        <f>IF(nolevypage13!$E$59&lt;&gt;0,nolevypage13!$E$59,"  ")</f>
        <v>  </v>
      </c>
      <c r="E34" s="545"/>
      <c r="F34" s="546"/>
    </row>
    <row r="35" spans="1:6" s="48" customFormat="1" ht="15.75">
      <c r="A35" s="77" t="str">
        <f>IF(inputPrYr!$B37&gt;"  ",inputPrYr!$B37,"  ")</f>
        <v>  </v>
      </c>
      <c r="B35" s="78"/>
      <c r="C35" s="79" t="str">
        <f>IF(nolevypage14!$C$65&gt;0,nolevypage14!$C$65,"  ")</f>
        <v>  </v>
      </c>
      <c r="D35" s="545" t="str">
        <f>IF(nolevypage14!$E$28&lt;&gt;0,nolevypage14!$E$28,"  ")</f>
        <v>  </v>
      </c>
      <c r="E35" s="545"/>
      <c r="F35" s="546"/>
    </row>
    <row r="36" spans="1:6" s="48" customFormat="1" ht="15.75">
      <c r="A36" s="77" t="str">
        <f>IF(inputPrYr!$B38&gt;"  ",inputPrYr!$B38,"  ")</f>
        <v>  </v>
      </c>
      <c r="B36" s="78"/>
      <c r="C36" s="79" t="str">
        <f>IF(nolevypage14!$C$65&gt;0,nolevypage14!$C$65,"  ")</f>
        <v>  </v>
      </c>
      <c r="D36" s="545" t="str">
        <f>IF(nolevypage14!$E$59&lt;&gt;0,nolevypage14!$E$59,"  ")</f>
        <v>  </v>
      </c>
      <c r="E36" s="545"/>
      <c r="F36" s="546"/>
    </row>
    <row r="37" spans="1:6" s="48" customFormat="1" ht="15.75">
      <c r="A37" s="77">
        <f>IF(inputPrYr!B41&gt;"",nonbud!A3,"")</f>
      </c>
      <c r="B37" s="80"/>
      <c r="C37" s="79" t="str">
        <f>IF(nonbud!F33&gt;0,nonbud!F33,"  ")</f>
        <v>  </v>
      </c>
      <c r="D37" s="545"/>
      <c r="E37" s="545"/>
      <c r="F37" s="546"/>
    </row>
    <row r="38" spans="1:6" s="48" customFormat="1" ht="15.75">
      <c r="A38" s="63" t="s">
        <v>230</v>
      </c>
      <c r="B38" s="78"/>
      <c r="C38" s="79">
        <f>IF(road!C67&gt;0,road!C67,"  ")</f>
        <v>8</v>
      </c>
      <c r="D38" s="547"/>
      <c r="E38" s="547"/>
      <c r="F38" s="546"/>
    </row>
    <row r="39" spans="1:6" s="48" customFormat="1" ht="16.5" thickBot="1">
      <c r="A39" s="81" t="s">
        <v>231</v>
      </c>
      <c r="B39" s="72"/>
      <c r="C39" s="82" t="s">
        <v>232</v>
      </c>
      <c r="D39" s="548">
        <f>SUM(D21:D38)</f>
        <v>123142</v>
      </c>
      <c r="E39" s="548">
        <f>SUM(E21:E38)</f>
        <v>70793.51000000001</v>
      </c>
      <c r="F39" s="549">
        <f>IF(SUM(F21:F38)&gt;0,SUM(F21:F38),"")</f>
      </c>
    </row>
    <row r="40" spans="1:3" s="48" customFormat="1" ht="16.5" thickTop="1">
      <c r="A40" s="68" t="s">
        <v>92</v>
      </c>
      <c r="B40" s="64"/>
      <c r="C40" s="79">
        <f>summ!C54</f>
        <v>11</v>
      </c>
    </row>
    <row r="41" spans="1:5" s="48" customFormat="1" ht="15.75">
      <c r="A41" s="738" t="s">
        <v>146</v>
      </c>
      <c r="B41" s="65"/>
      <c r="C41" s="737">
        <f>IF(nhood!C40&gt;0,nhood!C40,"")</f>
      </c>
      <c r="D41" s="750" t="s">
        <v>928</v>
      </c>
      <c r="E41" s="84" t="str">
        <f>IF(E39&gt;1000,IF(E39&gt;computation!J41,"Yes","No"),"No")</f>
        <v>No</v>
      </c>
    </row>
    <row r="42" spans="1:5" s="48" customFormat="1" ht="15.75">
      <c r="A42" s="735"/>
      <c r="B42" s="155"/>
      <c r="C42" s="736"/>
      <c r="D42" s="85"/>
      <c r="E42" s="86"/>
    </row>
    <row r="43" spans="1:6" s="48" customFormat="1" ht="15.75">
      <c r="A43" s="68" t="s">
        <v>50</v>
      </c>
      <c r="B43" s="812" t="s">
        <v>66</v>
      </c>
      <c r="C43" s="813"/>
      <c r="D43" s="88"/>
      <c r="F43" s="55" t="s">
        <v>233</v>
      </c>
    </row>
    <row r="44" spans="1:6" s="48" customFormat="1" ht="15.75">
      <c r="A44" s="63" t="str">
        <f>inputPrYr!D3</f>
        <v>Greeley Township</v>
      </c>
      <c r="B44" s="809"/>
      <c r="C44" s="814"/>
      <c r="D44" s="89"/>
      <c r="F44" s="55"/>
    </row>
    <row r="45" spans="1:6" s="48" customFormat="1" ht="15.75">
      <c r="A45" s="63" t="str">
        <f>inputPrYr!D6</f>
        <v>City of Mount Hope</v>
      </c>
      <c r="B45" s="809"/>
      <c r="C45" s="810"/>
      <c r="D45" s="89"/>
      <c r="F45" s="55"/>
    </row>
    <row r="46" spans="1:6" s="48" customFormat="1" ht="15.75">
      <c r="A46" s="63">
        <f>inputPrYr!D7</f>
        <v>0</v>
      </c>
      <c r="B46" s="809"/>
      <c r="C46" s="810"/>
      <c r="D46" s="89"/>
      <c r="F46" s="55"/>
    </row>
    <row r="47" spans="1:6" s="48" customFormat="1" ht="15.75">
      <c r="A47" s="63" t="s">
        <v>157</v>
      </c>
      <c r="B47" s="807">
        <f>SUM(B44:C46)</f>
        <v>0</v>
      </c>
      <c r="C47" s="808"/>
      <c r="D47" s="89"/>
      <c r="F47" s="55"/>
    </row>
    <row r="48" spans="1:6" s="48" customFormat="1" ht="15.75">
      <c r="A48" s="90"/>
      <c r="B48" s="815" t="str">
        <f>CONCATENATE("Nov. 1, ",G1-1," Valuation")</f>
        <v>Nov. 1, 2014 Valuation</v>
      </c>
      <c r="C48" s="816"/>
      <c r="D48" s="88"/>
      <c r="F48" s="55"/>
    </row>
    <row r="49" spans="1:6" s="48" customFormat="1" ht="15.75">
      <c r="A49" s="90" t="s">
        <v>234</v>
      </c>
      <c r="D49" s="54"/>
      <c r="F49" s="55"/>
    </row>
    <row r="50" spans="1:6" s="48" customFormat="1" ht="15.75">
      <c r="A50" s="92"/>
      <c r="D50" s="88"/>
      <c r="E50" s="54"/>
      <c r="F50" s="54"/>
    </row>
    <row r="51" spans="1:6" s="48" customFormat="1" ht="15.75">
      <c r="A51" s="93"/>
      <c r="B51" s="53"/>
      <c r="D51" s="811" t="s">
        <v>768</v>
      </c>
      <c r="E51" s="811"/>
      <c r="F51" s="811"/>
    </row>
    <row r="52" spans="1:6" s="48" customFormat="1" ht="15.75">
      <c r="A52" s="90" t="s">
        <v>73</v>
      </c>
      <c r="D52" s="811"/>
      <c r="E52" s="811"/>
      <c r="F52" s="811"/>
    </row>
    <row r="53" spans="1:6" s="48" customFormat="1" ht="15.75">
      <c r="A53" s="92"/>
      <c r="C53" s="55"/>
      <c r="D53" s="811" t="s">
        <v>768</v>
      </c>
      <c r="E53" s="811"/>
      <c r="F53" s="811"/>
    </row>
    <row r="54" spans="1:6" s="48" customFormat="1" ht="15.75">
      <c r="A54" s="93"/>
      <c r="B54" s="55"/>
      <c r="D54" s="811"/>
      <c r="E54" s="811"/>
      <c r="F54" s="811"/>
    </row>
    <row r="55" spans="1:7" ht="15.75">
      <c r="A55" s="90" t="s">
        <v>767</v>
      </c>
      <c r="B55" s="53"/>
      <c r="C55" s="48"/>
      <c r="D55" s="811" t="s">
        <v>768</v>
      </c>
      <c r="E55" s="811"/>
      <c r="F55" s="811"/>
      <c r="G55" s="94"/>
    </row>
    <row r="56" spans="1:7" ht="15.75">
      <c r="A56" s="92"/>
      <c r="B56" s="53"/>
      <c r="C56" s="48"/>
      <c r="D56" s="811"/>
      <c r="E56" s="811"/>
      <c r="F56" s="811"/>
      <c r="G56" s="94"/>
    </row>
    <row r="57" spans="1:7" ht="15.75">
      <c r="A57" s="53"/>
      <c r="B57" s="48"/>
      <c r="C57" s="48"/>
      <c r="D57" s="811" t="s">
        <v>768</v>
      </c>
      <c r="E57" s="811"/>
      <c r="F57" s="811"/>
      <c r="G57" s="94"/>
    </row>
    <row r="58" spans="1:7" ht="15.75">
      <c r="A58" s="453" t="s">
        <v>77</v>
      </c>
      <c r="B58" s="98">
        <f>G1-1</f>
        <v>2014</v>
      </c>
      <c r="C58" s="48"/>
      <c r="D58" s="811"/>
      <c r="E58" s="811"/>
      <c r="F58" s="811"/>
      <c r="G58" s="94"/>
    </row>
    <row r="59" spans="1:7" ht="15.75">
      <c r="A59" s="48"/>
      <c r="B59" s="48"/>
      <c r="C59" s="48"/>
      <c r="D59" s="54"/>
      <c r="E59" s="90"/>
      <c r="F59" s="54"/>
      <c r="G59" s="94"/>
    </row>
    <row r="60" spans="1:7" ht="15.75">
      <c r="A60" s="452"/>
      <c r="B60" s="48"/>
      <c r="C60" s="48"/>
      <c r="D60" s="54" t="s">
        <v>768</v>
      </c>
      <c r="E60" s="54"/>
      <c r="F60" s="54"/>
      <c r="G60" s="94"/>
    </row>
    <row r="61" spans="1:6" ht="15.75">
      <c r="A61" s="51" t="s">
        <v>236</v>
      </c>
      <c r="B61" s="48"/>
      <c r="C61" s="48"/>
      <c r="D61" s="805" t="s">
        <v>235</v>
      </c>
      <c r="E61" s="806"/>
      <c r="F61" s="806"/>
    </row>
    <row r="62" spans="1:6" ht="15.75">
      <c r="A62" s="48"/>
      <c r="B62" s="48"/>
      <c r="C62" s="48"/>
      <c r="D62" s="48"/>
      <c r="E62" s="48"/>
      <c r="F62" s="48"/>
    </row>
    <row r="63" spans="1:6" ht="15.75">
      <c r="A63" s="48"/>
      <c r="B63" s="48"/>
      <c r="C63" s="48"/>
      <c r="D63" s="48"/>
      <c r="E63" s="48"/>
      <c r="F63" s="48"/>
    </row>
    <row r="64" spans="1:6" ht="15.75">
      <c r="A64" s="48"/>
      <c r="B64" s="48"/>
      <c r="C64" s="48"/>
      <c r="D64" s="48"/>
      <c r="E64" s="48"/>
      <c r="F64" s="48"/>
    </row>
    <row r="65" spans="1:6" ht="15.75">
      <c r="A65" s="97" t="s">
        <v>237</v>
      </c>
      <c r="B65" s="96"/>
      <c r="C65" s="96"/>
      <c r="D65" s="96"/>
      <c r="E65" s="96"/>
      <c r="F65" s="48"/>
    </row>
    <row r="66" spans="1:6" ht="15.75">
      <c r="A66" s="97" t="s">
        <v>238</v>
      </c>
      <c r="B66" s="96"/>
      <c r="C66" s="96"/>
      <c r="D66" s="96"/>
      <c r="E66" s="96"/>
      <c r="F66" s="48"/>
    </row>
    <row r="67" spans="1:6" ht="15.75">
      <c r="A67" s="97"/>
      <c r="B67" s="96"/>
      <c r="C67" s="96"/>
      <c r="D67" s="96"/>
      <c r="E67" s="96"/>
      <c r="F67" s="48"/>
    </row>
    <row r="68" spans="1:6" ht="15.75">
      <c r="A68" s="48"/>
      <c r="B68" s="48"/>
      <c r="C68" s="48"/>
      <c r="D68" s="48"/>
      <c r="E68" s="48"/>
      <c r="F68" s="48"/>
    </row>
    <row r="69" spans="1:6" ht="15.75">
      <c r="A69" s="525"/>
      <c r="B69" s="526"/>
      <c r="C69" s="526"/>
      <c r="D69" s="526"/>
      <c r="E69" s="526"/>
      <c r="F69" s="526"/>
    </row>
    <row r="70" spans="1:6" ht="15.75">
      <c r="A70" s="525"/>
      <c r="B70" s="526"/>
      <c r="C70" s="526"/>
      <c r="D70" s="526"/>
      <c r="E70" s="526"/>
      <c r="F70" s="526"/>
    </row>
    <row r="71" spans="1:6" ht="15.75">
      <c r="A71" s="525"/>
      <c r="B71" s="526"/>
      <c r="C71" s="526"/>
      <c r="D71" s="527"/>
      <c r="E71" s="524"/>
      <c r="F71" s="526"/>
    </row>
  </sheetData>
  <sheetProtection/>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7">
      <selection activeCell="C15" sqref="C15"/>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75">
      <c r="A1" s="48"/>
      <c r="B1" s="48"/>
      <c r="C1" s="203" t="str">
        <f>inputPrYr!D3</f>
        <v>Greeley Township</v>
      </c>
      <c r="D1" s="48"/>
      <c r="E1" s="48"/>
      <c r="F1" s="48"/>
      <c r="G1" s="48"/>
      <c r="H1" s="48"/>
      <c r="I1" s="48"/>
      <c r="J1" s="48">
        <f>inputPrYr!D9</f>
        <v>2015</v>
      </c>
    </row>
    <row r="2" spans="1:10" ht="15.75">
      <c r="A2" s="48"/>
      <c r="B2" s="48"/>
      <c r="C2" s="48"/>
      <c r="D2" s="48"/>
      <c r="E2" s="48"/>
      <c r="F2" s="48"/>
      <c r="G2" s="48"/>
      <c r="H2" s="48"/>
      <c r="I2" s="48"/>
      <c r="J2" s="48"/>
    </row>
    <row r="3" spans="1:10" ht="15.75">
      <c r="A3" s="830" t="str">
        <f>CONCATENATE("Computation to Determine Limit for ",J1,"")</f>
        <v>Computation to Determine Limit for 2015</v>
      </c>
      <c r="B3" s="820"/>
      <c r="C3" s="820"/>
      <c r="D3" s="820"/>
      <c r="E3" s="820"/>
      <c r="F3" s="820"/>
      <c r="G3" s="820"/>
      <c r="H3" s="820"/>
      <c r="I3" s="820"/>
      <c r="J3" s="820"/>
    </row>
    <row r="4" spans="1:10" ht="15.75">
      <c r="A4" s="48"/>
      <c r="B4" s="48"/>
      <c r="C4" s="48"/>
      <c r="D4" s="48"/>
      <c r="E4" s="820"/>
      <c r="F4" s="820"/>
      <c r="G4" s="820"/>
      <c r="H4" s="47"/>
      <c r="I4" s="48"/>
      <c r="J4" s="240" t="s">
        <v>32</v>
      </c>
    </row>
    <row r="5" spans="1:10" ht="15.75">
      <c r="A5" s="241" t="s">
        <v>33</v>
      </c>
      <c r="B5" s="48" t="str">
        <f>CONCATENATE("Total tax levy amount in ",J1-1,"")</f>
        <v>Total tax levy amount in 2014</v>
      </c>
      <c r="C5" s="48"/>
      <c r="D5" s="48"/>
      <c r="E5" s="169"/>
      <c r="F5" s="169"/>
      <c r="G5" s="169"/>
      <c r="H5" s="242" t="s">
        <v>252</v>
      </c>
      <c r="I5" s="169" t="s">
        <v>239</v>
      </c>
      <c r="J5" s="243">
        <f>inputPrYr!E32</f>
        <v>69696</v>
      </c>
    </row>
    <row r="6" spans="1:10" ht="15.75">
      <c r="A6" s="241" t="s">
        <v>34</v>
      </c>
      <c r="B6" s="48" t="str">
        <f>CONCATENATE("Debt service levy in ",J1-1,"")</f>
        <v>Debt service levy in 2014</v>
      </c>
      <c r="C6" s="48"/>
      <c r="D6" s="48"/>
      <c r="E6" s="169"/>
      <c r="F6" s="169"/>
      <c r="G6" s="169"/>
      <c r="H6" s="242" t="s">
        <v>35</v>
      </c>
      <c r="I6" s="169" t="s">
        <v>239</v>
      </c>
      <c r="J6" s="244">
        <f>inputPrYr!E21</f>
        <v>0</v>
      </c>
    </row>
    <row r="7" spans="1:10" ht="15.75">
      <c r="A7" s="241" t="s">
        <v>36</v>
      </c>
      <c r="B7" s="48" t="s">
        <v>922</v>
      </c>
      <c r="C7" s="48"/>
      <c r="D7" s="48"/>
      <c r="E7" s="169"/>
      <c r="F7" s="169"/>
      <c r="G7" s="169"/>
      <c r="H7" s="169"/>
      <c r="I7" s="169" t="s">
        <v>239</v>
      </c>
      <c r="J7" s="245">
        <f>J5-J6</f>
        <v>69696</v>
      </c>
    </row>
    <row r="8" spans="1:10" ht="15.75">
      <c r="A8" s="48"/>
      <c r="B8" s="48"/>
      <c r="C8" s="48"/>
      <c r="D8" s="48"/>
      <c r="E8" s="169"/>
      <c r="F8" s="169"/>
      <c r="G8" s="169"/>
      <c r="H8" s="169"/>
      <c r="I8" s="169"/>
      <c r="J8" s="169"/>
    </row>
    <row r="9" spans="1:10" ht="15.75">
      <c r="A9" s="820" t="str">
        <f>CONCATENATE("",J1-1," Valuation Information for Valuation Adjustments")</f>
        <v>2014 Valuation Information for Valuation Adjustments</v>
      </c>
      <c r="B9" s="818"/>
      <c r="C9" s="818"/>
      <c r="D9" s="818"/>
      <c r="E9" s="818"/>
      <c r="F9" s="818"/>
      <c r="G9" s="818"/>
      <c r="H9" s="818"/>
      <c r="I9" s="818"/>
      <c r="J9" s="818"/>
    </row>
    <row r="10" spans="1:10" ht="15.75">
      <c r="A10" s="48"/>
      <c r="B10" s="48"/>
      <c r="C10" s="48"/>
      <c r="D10" s="48"/>
      <c r="E10" s="169"/>
      <c r="F10" s="169"/>
      <c r="G10" s="169"/>
      <c r="H10" s="169"/>
      <c r="I10" s="169"/>
      <c r="J10" s="169"/>
    </row>
    <row r="11" spans="1:10" ht="15.75">
      <c r="A11" s="241" t="s">
        <v>37</v>
      </c>
      <c r="B11" s="48" t="str">
        <f>CONCATENATE("New improvements for ",J1-1,":")</f>
        <v>New improvements for 2014:</v>
      </c>
      <c r="C11" s="48"/>
      <c r="D11" s="48"/>
      <c r="E11" s="242"/>
      <c r="F11" s="242" t="s">
        <v>252</v>
      </c>
      <c r="G11" s="730">
        <f>inputOth!E16</f>
        <v>5630</v>
      </c>
      <c r="H11" s="246"/>
      <c r="I11" s="169"/>
      <c r="J11" s="169"/>
    </row>
    <row r="12" spans="1:10" ht="15.75">
      <c r="A12" s="241"/>
      <c r="B12" s="241"/>
      <c r="C12" s="48"/>
      <c r="D12" s="48"/>
      <c r="E12" s="242"/>
      <c r="F12" s="242"/>
      <c r="G12" s="246"/>
      <c r="H12" s="246"/>
      <c r="I12" s="169"/>
      <c r="J12" s="169"/>
    </row>
    <row r="13" spans="1:10" ht="15.75">
      <c r="A13" s="241" t="s">
        <v>38</v>
      </c>
      <c r="B13" s="48" t="str">
        <f>CONCATENATE("Increase in personal property for ",J1-1,":")</f>
        <v>Increase in personal property for 2014:</v>
      </c>
      <c r="C13" s="48"/>
      <c r="D13" s="48"/>
      <c r="E13" s="242"/>
      <c r="F13" s="242"/>
      <c r="G13" s="246"/>
      <c r="H13" s="246"/>
      <c r="I13" s="169"/>
      <c r="J13" s="169"/>
    </row>
    <row r="14" spans="1:10" ht="15.75">
      <c r="A14" s="48"/>
      <c r="B14" s="48" t="s">
        <v>39</v>
      </c>
      <c r="C14" s="48" t="str">
        <f>CONCATENATE("Personal property ",J1-1,"")</f>
        <v>Personal property 2014</v>
      </c>
      <c r="D14" s="241" t="s">
        <v>252</v>
      </c>
      <c r="E14" s="730">
        <f>inputOth!E21</f>
        <v>115959</v>
      </c>
      <c r="F14" s="242"/>
      <c r="G14" s="169"/>
      <c r="H14" s="169"/>
      <c r="I14" s="246"/>
      <c r="J14" s="169"/>
    </row>
    <row r="15" spans="1:10" ht="15.75">
      <c r="A15" s="241"/>
      <c r="B15" s="48" t="s">
        <v>40</v>
      </c>
      <c r="C15" s="48" t="str">
        <f>CONCATENATE("Personal property ",J1-2,"")</f>
        <v>Personal property 2013</v>
      </c>
      <c r="D15" s="241" t="s">
        <v>35</v>
      </c>
      <c r="E15" s="245">
        <f>inputOth!E31</f>
        <v>153910</v>
      </c>
      <c r="F15" s="242"/>
      <c r="G15" s="246"/>
      <c r="H15" s="246"/>
      <c r="I15" s="169"/>
      <c r="J15" s="169"/>
    </row>
    <row r="16" spans="1:10" ht="15.75">
      <c r="A16" s="241"/>
      <c r="B16" s="48" t="s">
        <v>41</v>
      </c>
      <c r="C16" s="48" t="s">
        <v>923</v>
      </c>
      <c r="D16" s="48"/>
      <c r="E16" s="169"/>
      <c r="F16" s="169" t="s">
        <v>252</v>
      </c>
      <c r="G16" s="730">
        <f>IF(E14&gt;E15,E14-E15,0)</f>
        <v>0</v>
      </c>
      <c r="H16" s="246"/>
      <c r="I16" s="169"/>
      <c r="J16" s="169"/>
    </row>
    <row r="17" spans="1:10" ht="15.75">
      <c r="A17" s="241"/>
      <c r="B17" s="241"/>
      <c r="C17" s="48"/>
      <c r="D17" s="48"/>
      <c r="E17" s="169"/>
      <c r="F17" s="169"/>
      <c r="G17" s="246" t="s">
        <v>49</v>
      </c>
      <c r="H17" s="246"/>
      <c r="I17" s="169"/>
      <c r="J17" s="169"/>
    </row>
    <row r="18" spans="1:10" ht="15.75">
      <c r="A18" s="241" t="s">
        <v>42</v>
      </c>
      <c r="B18" s="48" t="str">
        <f>CONCATENATE("Valuation of property that has changed in use during ",J1-1,":")</f>
        <v>Valuation of property that has changed in use during 2014:</v>
      </c>
      <c r="C18" s="48"/>
      <c r="D18" s="48"/>
      <c r="E18" s="169"/>
      <c r="F18" s="242" t="s">
        <v>252</v>
      </c>
      <c r="G18" s="730">
        <f>inputOth!E26</f>
        <v>0</v>
      </c>
      <c r="H18" s="169"/>
      <c r="I18" s="169"/>
      <c r="J18" s="169"/>
    </row>
    <row r="19" spans="1:10" ht="15.75">
      <c r="A19" s="48" t="s">
        <v>220</v>
      </c>
      <c r="B19" s="48"/>
      <c r="C19" s="48"/>
      <c r="D19" s="241"/>
      <c r="E19" s="246"/>
      <c r="F19" s="246"/>
      <c r="G19" s="246"/>
      <c r="H19" s="169"/>
      <c r="I19" s="169"/>
      <c r="J19" s="169"/>
    </row>
    <row r="20" spans="1:10" ht="15.75">
      <c r="A20" s="241" t="s">
        <v>43</v>
      </c>
      <c r="B20" s="48" t="s">
        <v>924</v>
      </c>
      <c r="C20" s="48"/>
      <c r="D20" s="48"/>
      <c r="E20" s="169"/>
      <c r="F20" s="169"/>
      <c r="G20" s="730">
        <f>G11+G16+G18</f>
        <v>5630</v>
      </c>
      <c r="H20" s="246"/>
      <c r="I20" s="169"/>
      <c r="J20" s="169"/>
    </row>
    <row r="21" spans="1:10" ht="15.75">
      <c r="A21" s="241"/>
      <c r="B21" s="241"/>
      <c r="C21" s="48"/>
      <c r="D21" s="48"/>
      <c r="E21" s="169"/>
      <c r="F21" s="169"/>
      <c r="G21" s="246"/>
      <c r="H21" s="246"/>
      <c r="I21" s="169"/>
      <c r="J21" s="169"/>
    </row>
    <row r="22" spans="1:10" ht="15.75">
      <c r="A22" s="241" t="s">
        <v>44</v>
      </c>
      <c r="B22" s="48" t="str">
        <f>CONCATENATE("Total estimated valuation July 1,",J1-1,"")</f>
        <v>Total estimated valuation July 1,2014</v>
      </c>
      <c r="C22" s="48"/>
      <c r="D22" s="48"/>
      <c r="E22" s="730">
        <f>inputOth!E11</f>
        <v>7422526</v>
      </c>
      <c r="F22" s="169"/>
      <c r="G22" s="169"/>
      <c r="H22" s="169"/>
      <c r="I22" s="242"/>
      <c r="J22" s="169"/>
    </row>
    <row r="23" spans="1:10" ht="15.75">
      <c r="A23" s="241"/>
      <c r="B23" s="241"/>
      <c r="C23" s="48"/>
      <c r="D23" s="48"/>
      <c r="E23" s="246"/>
      <c r="F23" s="169"/>
      <c r="G23" s="169"/>
      <c r="H23" s="169"/>
      <c r="I23" s="242"/>
      <c r="J23" s="169"/>
    </row>
    <row r="24" spans="1:10" ht="15.75">
      <c r="A24" s="241" t="s">
        <v>45</v>
      </c>
      <c r="B24" s="48" t="s">
        <v>925</v>
      </c>
      <c r="C24" s="48"/>
      <c r="D24" s="48"/>
      <c r="E24" s="169"/>
      <c r="F24" s="169"/>
      <c r="G24" s="730">
        <f>E22-G20</f>
        <v>7416896</v>
      </c>
      <c r="H24" s="246"/>
      <c r="I24" s="242"/>
      <c r="J24" s="169"/>
    </row>
    <row r="25" spans="1:10" ht="15.75">
      <c r="A25" s="241"/>
      <c r="B25" s="241"/>
      <c r="C25" s="48"/>
      <c r="D25" s="48"/>
      <c r="E25" s="48"/>
      <c r="F25" s="48"/>
      <c r="G25" s="731"/>
      <c r="H25" s="54"/>
      <c r="I25" s="241"/>
      <c r="J25" s="48"/>
    </row>
    <row r="26" spans="1:10" ht="15.75">
      <c r="A26" s="241" t="s">
        <v>46</v>
      </c>
      <c r="B26" s="48" t="s">
        <v>926</v>
      </c>
      <c r="C26" s="48"/>
      <c r="D26" s="48"/>
      <c r="E26" s="48"/>
      <c r="F26" s="48"/>
      <c r="G26" s="732">
        <f>IF(G20&gt;0,G20/G24,0)</f>
        <v>0.0007590776518910337</v>
      </c>
      <c r="H26" s="54"/>
      <c r="I26" s="48"/>
      <c r="J26" s="48"/>
    </row>
    <row r="27" spans="1:10" ht="15.75">
      <c r="A27" s="241"/>
      <c r="B27" s="241"/>
      <c r="C27" s="48"/>
      <c r="D27" s="48"/>
      <c r="E27" s="48"/>
      <c r="F27" s="48"/>
      <c r="G27" s="54"/>
      <c r="H27" s="54"/>
      <c r="I27" s="48"/>
      <c r="J27" s="48"/>
    </row>
    <row r="28" spans="1:10" ht="15.75">
      <c r="A28" s="241" t="s">
        <v>47</v>
      </c>
      <c r="B28" s="48" t="s">
        <v>927</v>
      </c>
      <c r="C28" s="48"/>
      <c r="D28" s="48"/>
      <c r="E28" s="48"/>
      <c r="F28" s="48"/>
      <c r="G28" s="54"/>
      <c r="H28" s="733" t="s">
        <v>252</v>
      </c>
      <c r="I28" s="48" t="s">
        <v>239</v>
      </c>
      <c r="J28" s="730">
        <f>ROUND(G26*J7,0)</f>
        <v>53</v>
      </c>
    </row>
    <row r="29" spans="1:10" ht="15.75">
      <c r="A29" s="241"/>
      <c r="B29" s="241"/>
      <c r="C29" s="48"/>
      <c r="D29" s="48"/>
      <c r="E29" s="48"/>
      <c r="F29" s="48"/>
      <c r="G29" s="54"/>
      <c r="H29" s="733"/>
      <c r="I29" s="48"/>
      <c r="J29" s="246"/>
    </row>
    <row r="30" spans="1:10" ht="16.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239</v>
      </c>
      <c r="J30" s="734">
        <f>J7+J28</f>
        <v>69749</v>
      </c>
    </row>
    <row r="31" spans="1:10" ht="16.5" thickTop="1">
      <c r="A31" s="48"/>
      <c r="B31" s="48"/>
      <c r="C31" s="48"/>
      <c r="D31" s="48"/>
      <c r="E31" s="48"/>
      <c r="F31" s="48"/>
      <c r="G31" s="48"/>
      <c r="H31" s="48"/>
      <c r="I31" s="48"/>
      <c r="J31" s="48"/>
    </row>
    <row r="32" spans="1:10" ht="15.75">
      <c r="A32" s="241" t="s">
        <v>58</v>
      </c>
      <c r="B32" s="48" t="str">
        <f>CONCATENATE("Debt service levy in this ",J1," budget")</f>
        <v>Debt service levy in this 2015 budget</v>
      </c>
      <c r="C32" s="48"/>
      <c r="D32" s="48"/>
      <c r="E32" s="48"/>
      <c r="F32" s="48"/>
      <c r="G32" s="48"/>
      <c r="H32" s="48"/>
      <c r="I32" s="48"/>
      <c r="J32" s="730">
        <f>'DebtSvs-Library'!E40</f>
        <v>0</v>
      </c>
    </row>
    <row r="33" spans="1:10" ht="15.75">
      <c r="A33" s="241"/>
      <c r="B33" s="48"/>
      <c r="C33" s="48"/>
      <c r="D33" s="48"/>
      <c r="E33" s="48"/>
      <c r="F33" s="48"/>
      <c r="G33" s="48"/>
      <c r="H33" s="48"/>
      <c r="I33" s="48"/>
      <c r="J33" s="54"/>
    </row>
    <row r="34" spans="1:10" ht="16.5" thickBot="1">
      <c r="A34" s="241" t="s">
        <v>59</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4">
        <f>J30+J32</f>
        <v>69749</v>
      </c>
    </row>
    <row r="35" spans="1:10" ht="16.5" thickTop="1">
      <c r="A35" s="744"/>
      <c r="B35" s="743"/>
      <c r="C35" s="743"/>
      <c r="D35" s="743"/>
      <c r="E35" s="743"/>
      <c r="F35" s="743"/>
      <c r="G35" s="743"/>
      <c r="H35" s="743"/>
      <c r="I35" s="743"/>
      <c r="J35" s="742"/>
    </row>
    <row r="36" spans="1:10" ht="15.75">
      <c r="A36" s="746" t="s">
        <v>914</v>
      </c>
      <c r="B36" s="743" t="str">
        <f>CONCATENATE("Consumer Price Index for all urban consumers for calendar year ",J1-2)</f>
        <v>Consumer Price Index for all urban consumers for calendar year 2013</v>
      </c>
      <c r="C36" s="743"/>
      <c r="D36" s="743"/>
      <c r="E36" s="743"/>
      <c r="F36" s="743"/>
      <c r="G36" s="743"/>
      <c r="H36" s="743"/>
      <c r="I36" s="743"/>
      <c r="J36" s="747">
        <v>0.015</v>
      </c>
    </row>
    <row r="37" spans="1:10" ht="15.75">
      <c r="A37" s="746"/>
      <c r="B37" s="743"/>
      <c r="C37" s="743"/>
      <c r="D37" s="743"/>
      <c r="E37" s="743"/>
      <c r="F37" s="743"/>
      <c r="G37" s="743"/>
      <c r="H37" s="743"/>
      <c r="I37" s="743"/>
      <c r="J37" s="748"/>
    </row>
    <row r="38" spans="1:10" ht="15.75">
      <c r="A38" s="746" t="s">
        <v>915</v>
      </c>
      <c r="B38" s="743" t="s">
        <v>916</v>
      </c>
      <c r="C38" s="743"/>
      <c r="D38" s="743"/>
      <c r="E38" s="743"/>
      <c r="F38" s="743"/>
      <c r="G38" s="743"/>
      <c r="H38" s="743"/>
      <c r="I38" s="725" t="s">
        <v>239</v>
      </c>
      <c r="J38" s="741">
        <f>J7*J36</f>
        <v>1045.44</v>
      </c>
    </row>
    <row r="39" spans="1:10" ht="15.75">
      <c r="A39" s="744"/>
      <c r="B39" s="743"/>
      <c r="C39" s="743"/>
      <c r="D39" s="743"/>
      <c r="E39" s="743"/>
      <c r="F39" s="743"/>
      <c r="G39" s="743"/>
      <c r="H39" s="743"/>
      <c r="I39" s="743"/>
      <c r="J39" s="742"/>
    </row>
    <row r="40" spans="1:10" ht="15.75">
      <c r="A40" s="744" t="s">
        <v>917</v>
      </c>
      <c r="B40" s="743" t="str">
        <f>CONCATENATE("Maximum levy for budget year ",J1,", including debt service, not requiring 'notice of vote publication.'")</f>
        <v>Maximum levy for budget year 2015, including debt service, not requiring 'notice of vote publication.'</v>
      </c>
      <c r="C40" s="743"/>
      <c r="D40" s="743"/>
      <c r="E40" s="743"/>
      <c r="F40" s="743"/>
      <c r="G40" s="743"/>
      <c r="H40" s="743"/>
      <c r="I40" s="743"/>
      <c r="J40" s="740"/>
    </row>
    <row r="41" spans="1:10" ht="19.5" thickBot="1">
      <c r="A41" s="739"/>
      <c r="B41" s="725" t="s">
        <v>918</v>
      </c>
      <c r="C41" s="739"/>
      <c r="D41" s="739"/>
      <c r="E41" s="739"/>
      <c r="F41" s="739"/>
      <c r="G41" s="739"/>
      <c r="H41" s="739"/>
      <c r="I41" s="725" t="s">
        <v>239</v>
      </c>
      <c r="J41" s="745">
        <f>J34+J38</f>
        <v>70794.44</v>
      </c>
    </row>
    <row r="42" spans="1:10" ht="19.5" thickTop="1">
      <c r="A42" s="739"/>
      <c r="B42" s="749"/>
      <c r="C42" s="739"/>
      <c r="D42" s="739"/>
      <c r="E42" s="739"/>
      <c r="F42" s="739"/>
      <c r="G42" s="739"/>
      <c r="H42" s="739"/>
      <c r="I42" s="725"/>
      <c r="J42" s="742"/>
    </row>
    <row r="43" spans="1:10" ht="18.75">
      <c r="A43" s="739"/>
      <c r="B43" s="749"/>
      <c r="C43" s="739"/>
      <c r="D43" s="739"/>
      <c r="E43" s="739"/>
      <c r="F43" s="739"/>
      <c r="G43" s="739"/>
      <c r="H43" s="739"/>
      <c r="I43" s="725"/>
      <c r="J43" s="742"/>
    </row>
    <row r="44" spans="1:10" ht="15.75">
      <c r="A44" s="832" t="str">
        <f>CONCATENATE("If the ",J1," adopted budget includes a total property tax levy exceeding the dollar amount in line 17")</f>
        <v>If the 2015 adopted budget includes a total property tax levy exceeding the dollar amount in line 17</v>
      </c>
      <c r="B44" s="832"/>
      <c r="C44" s="832"/>
      <c r="D44" s="832"/>
      <c r="E44" s="832"/>
      <c r="F44" s="832"/>
      <c r="G44" s="832"/>
      <c r="H44" s="832"/>
      <c r="I44" s="832"/>
      <c r="J44" s="832"/>
    </row>
    <row r="45" spans="1:10" ht="15.75">
      <c r="A45" s="832" t="s">
        <v>919</v>
      </c>
      <c r="B45" s="832"/>
      <c r="C45" s="832"/>
      <c r="D45" s="832"/>
      <c r="E45" s="832"/>
      <c r="F45" s="832"/>
      <c r="G45" s="832"/>
      <c r="H45" s="832"/>
      <c r="I45" s="832"/>
      <c r="J45" s="832"/>
    </row>
    <row r="46" spans="1:10" ht="15.75">
      <c r="A46" s="831" t="s">
        <v>920</v>
      </c>
      <c r="B46" s="831"/>
      <c r="C46" s="831"/>
      <c r="D46" s="831"/>
      <c r="E46" s="831"/>
      <c r="F46" s="831"/>
      <c r="G46" s="831"/>
      <c r="H46" s="831"/>
      <c r="I46" s="831"/>
      <c r="J46" s="831"/>
    </row>
    <row r="47" spans="1:10" ht="15.75">
      <c r="A47" s="831" t="s">
        <v>921</v>
      </c>
      <c r="B47" s="831"/>
      <c r="C47" s="831"/>
      <c r="D47" s="831"/>
      <c r="E47" s="831"/>
      <c r="F47" s="831"/>
      <c r="G47" s="831"/>
      <c r="H47" s="831"/>
      <c r="I47" s="831"/>
      <c r="J47" s="831"/>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C15" sqref="C15"/>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75">
      <c r="A1" s="48"/>
      <c r="B1" s="203" t="str">
        <f>inputPrYr!D3</f>
        <v>Greeley Township</v>
      </c>
      <c r="C1" s="48"/>
      <c r="D1" s="48"/>
      <c r="E1" s="48"/>
      <c r="F1" s="48"/>
      <c r="G1" s="48"/>
      <c r="H1" s="48"/>
      <c r="I1" s="48"/>
      <c r="J1" s="48"/>
      <c r="K1" s="204">
        <f>inputPrYr!D9</f>
        <v>2015</v>
      </c>
    </row>
    <row r="2" spans="1:11" ht="15.75">
      <c r="A2" s="48"/>
      <c r="B2" s="203"/>
      <c r="C2" s="48"/>
      <c r="D2" s="48"/>
      <c r="E2" s="48"/>
      <c r="F2" s="48"/>
      <c r="G2" s="48"/>
      <c r="H2" s="48"/>
      <c r="I2" s="48"/>
      <c r="J2" s="190"/>
      <c r="K2" s="190"/>
    </row>
    <row r="3" spans="1:11" ht="15.75">
      <c r="A3" s="48"/>
      <c r="B3" s="203"/>
      <c r="C3" s="48"/>
      <c r="D3" s="48"/>
      <c r="E3" s="48"/>
      <c r="F3" s="48"/>
      <c r="G3" s="48"/>
      <c r="H3" s="48"/>
      <c r="I3" s="48"/>
      <c r="J3" s="190"/>
      <c r="K3" s="190"/>
    </row>
    <row r="4" spans="1:11" ht="15.75">
      <c r="A4" s="48"/>
      <c r="B4" s="203"/>
      <c r="C4" s="48"/>
      <c r="D4" s="48"/>
      <c r="E4" s="48"/>
      <c r="F4" s="48"/>
      <c r="G4" s="48"/>
      <c r="H4" s="48"/>
      <c r="I4" s="48"/>
      <c r="J4" s="190"/>
      <c r="K4" s="190"/>
    </row>
    <row r="5" spans="1:11" ht="15.75">
      <c r="A5" s="48"/>
      <c r="B5" s="48"/>
      <c r="C5" s="48"/>
      <c r="D5" s="48"/>
      <c r="E5" s="48"/>
      <c r="F5" s="48"/>
      <c r="G5" s="48"/>
      <c r="H5" s="48"/>
      <c r="I5" s="48"/>
      <c r="J5" s="48"/>
      <c r="K5" s="48"/>
    </row>
    <row r="6" spans="1:11" ht="15.75">
      <c r="A6" s="48"/>
      <c r="B6" s="833" t="s">
        <v>745</v>
      </c>
      <c r="C6" s="806"/>
      <c r="D6" s="806"/>
      <c r="E6" s="806"/>
      <c r="F6" s="806"/>
      <c r="G6" s="806"/>
      <c r="H6" s="806"/>
      <c r="I6" s="806"/>
      <c r="J6" s="806"/>
      <c r="K6" s="806"/>
    </row>
    <row r="7" spans="1:11" ht="16.5">
      <c r="A7" s="48"/>
      <c r="B7" s="820"/>
      <c r="C7" s="834"/>
      <c r="D7" s="834"/>
      <c r="E7" s="834"/>
      <c r="F7" s="834"/>
      <c r="G7" s="834"/>
      <c r="H7" s="834"/>
      <c r="I7" s="834"/>
      <c r="J7" s="834"/>
      <c r="K7" s="834"/>
    </row>
    <row r="8" spans="1:11" ht="15.75">
      <c r="A8" s="48"/>
      <c r="B8" s="48"/>
      <c r="C8" s="206"/>
      <c r="D8" s="206"/>
      <c r="E8" s="206"/>
      <c r="F8" s="206"/>
      <c r="G8" s="207"/>
      <c r="H8" s="49"/>
      <c r="I8" s="49"/>
      <c r="J8" s="48"/>
      <c r="K8" s="48"/>
    </row>
    <row r="9" spans="1:11" ht="21" customHeight="1">
      <c r="A9" s="48"/>
      <c r="B9" s="227" t="s">
        <v>746</v>
      </c>
      <c r="C9" s="208"/>
      <c r="D9" s="531" t="s">
        <v>747</v>
      </c>
      <c r="E9" s="835" t="str">
        <f>CONCATENATE("Budget Tax Levy Rate for ",K1-1,"")</f>
        <v>Budget Tax Levy Rate for 2014</v>
      </c>
      <c r="F9" s="66"/>
      <c r="G9" s="837" t="str">
        <f>CONCATENATE("Allocation for Year ",K1,"")</f>
        <v>Allocation for Year 2015</v>
      </c>
      <c r="H9" s="838"/>
      <c r="I9" s="838"/>
      <c r="J9" s="839"/>
      <c r="K9" s="190"/>
    </row>
    <row r="10" spans="1:11" ht="15.75">
      <c r="A10" s="48"/>
      <c r="B10" s="530" t="str">
        <f>CONCATENATE("for ",K1-1,"")</f>
        <v>for 2014</v>
      </c>
      <c r="C10" s="210"/>
      <c r="D10" s="101" t="str">
        <f>CONCATENATE("Amount for ",K1,"")</f>
        <v>Amount for 2015</v>
      </c>
      <c r="E10" s="836"/>
      <c r="F10" s="62"/>
      <c r="G10" s="62" t="s">
        <v>30</v>
      </c>
      <c r="H10" s="62"/>
      <c r="I10" s="62" t="s">
        <v>31</v>
      </c>
      <c r="J10" s="66" t="s">
        <v>63</v>
      </c>
      <c r="K10" s="190"/>
    </row>
    <row r="11" spans="1:11" ht="15.75">
      <c r="A11" s="48"/>
      <c r="B11" s="73" t="str">
        <f>inputPrYr!B20</f>
        <v>General</v>
      </c>
      <c r="C11" s="211"/>
      <c r="D11" s="73">
        <f>IF(inputPrYr!E20&gt;0,inputPrYr!E20,"  ")</f>
        <v>15055</v>
      </c>
      <c r="E11" s="212">
        <f>IF(inputOth!D37&gt;0,inputOth!D37,"  ")</f>
        <v>2.108</v>
      </c>
      <c r="F11" s="213"/>
      <c r="G11" s="73">
        <f>IF(inputPrYr!E20=0,0,G25-SUM(G12:G22))</f>
        <v>1572</v>
      </c>
      <c r="H11" s="214"/>
      <c r="I11" s="73">
        <f>IF(inputPrYr!E20=0,0,I27-SUM(I12:I22))</f>
        <v>27</v>
      </c>
      <c r="J11" s="73">
        <f>IF(inputPrYr!E20=0,0,J29-SUM(J12:J22))</f>
        <v>138</v>
      </c>
      <c r="K11" s="190"/>
    </row>
    <row r="12" spans="1:11" ht="15.7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75">
      <c r="A13" s="48"/>
      <c r="B13" s="73" t="str">
        <f>IF(inputPrYr!$B22&gt;"  ",inputPrYr!$B22,"  ")</f>
        <v>Library</v>
      </c>
      <c r="C13" s="211"/>
      <c r="D13" s="73">
        <f>IF(inputPrYr!E22&gt;0,inputPrYr!E22,"  ")</f>
        <v>6393</v>
      </c>
      <c r="E13" s="212"/>
      <c r="F13" s="213"/>
      <c r="G13" s="73">
        <f>IF(inputPrYr!E22=0,0,ROUND(D13*$G$31,0))</f>
        <v>668</v>
      </c>
      <c r="H13" s="214"/>
      <c r="I13" s="73">
        <f>IF(inputPrYr!$E$22=0,0,ROUND($D$13*$I$33,0))</f>
        <v>11</v>
      </c>
      <c r="J13" s="73">
        <f>IF(inputPrYr!E22=0,0,ROUND($D13*$J$35,0))</f>
        <v>59</v>
      </c>
      <c r="K13" s="190"/>
    </row>
    <row r="14" spans="1:11" ht="15.75">
      <c r="A14" s="48"/>
      <c r="B14" s="73" t="str">
        <f>IF(inputPrYr!$B23&gt;"  ",inputPrYr!$B23,"  ")</f>
        <v>Road</v>
      </c>
      <c r="C14" s="211"/>
      <c r="D14" s="73">
        <f>IF(inputPrYr!E23&gt;0,inputPrYr!E23,"  ")</f>
        <v>42752</v>
      </c>
      <c r="E14" s="212">
        <f>IF(inputOth!D40&gt;0,inputOth!D40,"  ")</f>
        <v>13.376</v>
      </c>
      <c r="F14" s="213"/>
      <c r="G14" s="73">
        <f>IF(inputPrYr!E23=0,0,ROUND(D14*$G$31,0))</f>
        <v>4465</v>
      </c>
      <c r="H14" s="214"/>
      <c r="I14" s="73">
        <f>IF(inputPrYr!$E$23=0,0,ROUND($D$14*$I$33,0))</f>
        <v>77</v>
      </c>
      <c r="J14" s="73">
        <f>IF(inputPrYr!E23=0,0,ROUND($D14*$J$35,0))</f>
        <v>394</v>
      </c>
      <c r="K14" s="190"/>
    </row>
    <row r="15" spans="1:11" ht="15.7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7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75">
      <c r="A17" s="48"/>
      <c r="B17" s="73" t="str">
        <f>IF(inputPrYr!$B26&gt;"  ",inputPrYr!$B26,"  ")</f>
        <v>Fire Protection</v>
      </c>
      <c r="C17" s="211"/>
      <c r="D17" s="73">
        <f>IF(inputPrYr!E26&gt;0,inputPrYr!E26,"  ")</f>
        <v>5496</v>
      </c>
      <c r="E17" s="212">
        <f>IF(inputOth!D43&gt;0,inputOth!D43,"  ")</f>
        <v>1.72</v>
      </c>
      <c r="F17" s="213"/>
      <c r="G17" s="73">
        <f>IF(inputPrYr!E26=0,0,ROUND(D17*$G$31,0))</f>
        <v>574</v>
      </c>
      <c r="H17" s="214"/>
      <c r="I17" s="73">
        <f>IF(inputPrYr!$E$26=0,0,ROUND($D$17*$I$33,0))</f>
        <v>10</v>
      </c>
      <c r="J17" s="73">
        <f>IF(inputPrYr!E26=0,0,ROUND($D17*$J$35,0))</f>
        <v>51</v>
      </c>
      <c r="K17" s="190"/>
    </row>
    <row r="18" spans="1:11" ht="15.7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7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7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7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7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6.5" thickBot="1">
      <c r="A23" s="48"/>
      <c r="B23" s="87" t="s">
        <v>218</v>
      </c>
      <c r="C23" s="215"/>
      <c r="D23" s="216">
        <f aca="true" t="shared" si="0" ref="D23:J23">SUM(D11:D22)</f>
        <v>69696</v>
      </c>
      <c r="E23" s="217">
        <f>SUM(E11:E22)</f>
        <v>17.204</v>
      </c>
      <c r="F23" s="218"/>
      <c r="G23" s="216">
        <f t="shared" si="0"/>
        <v>7279</v>
      </c>
      <c r="H23" s="216"/>
      <c r="I23" s="216">
        <f t="shared" si="0"/>
        <v>125</v>
      </c>
      <c r="J23" s="216">
        <f t="shared" si="0"/>
        <v>642</v>
      </c>
      <c r="K23" s="190"/>
    </row>
    <row r="24" spans="1:11" ht="16.5" thickTop="1">
      <c r="A24" s="48"/>
      <c r="B24" s="48"/>
      <c r="C24" s="48"/>
      <c r="D24" s="48"/>
      <c r="E24" s="48"/>
      <c r="F24" s="48"/>
      <c r="G24" s="48"/>
      <c r="H24" s="48"/>
      <c r="I24" s="48"/>
      <c r="J24" s="48"/>
      <c r="K24" s="48"/>
    </row>
    <row r="25" spans="1:11" ht="15.75">
      <c r="A25" s="48"/>
      <c r="B25" s="55" t="s">
        <v>242</v>
      </c>
      <c r="C25" s="187"/>
      <c r="D25" s="48"/>
      <c r="E25" s="48"/>
      <c r="F25" s="48"/>
      <c r="G25" s="219">
        <f>SUM(inputOth!E59,inputOth!E63,inputOth!E67)</f>
        <v>7279</v>
      </c>
      <c r="H25" s="48"/>
      <c r="I25" s="48"/>
      <c r="J25" s="48"/>
      <c r="K25" s="48"/>
    </row>
    <row r="26" spans="1:11" ht="15.75">
      <c r="A26" s="48"/>
      <c r="B26" s="48"/>
      <c r="C26" s="48"/>
      <c r="D26" s="48"/>
      <c r="E26" s="48"/>
      <c r="F26" s="48"/>
      <c r="G26" s="48"/>
      <c r="H26" s="48"/>
      <c r="I26" s="48"/>
      <c r="J26" s="48"/>
      <c r="K26" s="48"/>
    </row>
    <row r="27" spans="1:11" ht="15.75">
      <c r="A27" s="48"/>
      <c r="B27" s="55" t="s">
        <v>243</v>
      </c>
      <c r="C27" s="48"/>
      <c r="D27" s="48"/>
      <c r="E27" s="48"/>
      <c r="F27" s="48"/>
      <c r="G27" s="48"/>
      <c r="H27" s="219">
        <f>inputPrYr!E83</f>
        <v>0</v>
      </c>
      <c r="I27" s="219">
        <f>SUM(inputOth!E60,inputOth!E64,inputOth!E68)</f>
        <v>125</v>
      </c>
      <c r="J27" s="48"/>
      <c r="K27" s="48"/>
    </row>
    <row r="28" spans="1:11" ht="15.75">
      <c r="A28" s="48"/>
      <c r="B28" s="48"/>
      <c r="C28" s="48"/>
      <c r="D28" s="48"/>
      <c r="E28" s="48"/>
      <c r="F28" s="48"/>
      <c r="G28" s="48"/>
      <c r="H28" s="48"/>
      <c r="I28" s="48"/>
      <c r="J28" s="48"/>
      <c r="K28" s="48"/>
    </row>
    <row r="29" spans="1:11" ht="15.75">
      <c r="A29" s="48"/>
      <c r="B29" s="55" t="s">
        <v>27</v>
      </c>
      <c r="C29" s="48"/>
      <c r="D29" s="48"/>
      <c r="E29" s="48"/>
      <c r="F29" s="48"/>
      <c r="G29" s="48"/>
      <c r="H29" s="48"/>
      <c r="I29" s="48"/>
      <c r="J29" s="219">
        <f>SUM(inputOth!E61,inputOth!E65,inputOth!E69)</f>
        <v>642</v>
      </c>
      <c r="K29" s="158"/>
    </row>
    <row r="30" spans="1:11" ht="15.75">
      <c r="A30" s="48"/>
      <c r="B30" s="48"/>
      <c r="C30" s="48"/>
      <c r="D30" s="48"/>
      <c r="E30" s="48"/>
      <c r="F30" s="48"/>
      <c r="G30" s="48"/>
      <c r="H30" s="48"/>
      <c r="I30" s="48"/>
      <c r="J30" s="48"/>
      <c r="K30" s="48"/>
    </row>
    <row r="31" spans="1:11" ht="15.75">
      <c r="A31" s="48"/>
      <c r="B31" s="55" t="s">
        <v>244</v>
      </c>
      <c r="C31" s="48"/>
      <c r="D31" s="48"/>
      <c r="E31" s="48"/>
      <c r="F31" s="48"/>
      <c r="G31" s="220">
        <f>IF(D23=0,0,G25/D23)</f>
        <v>0.10443927915518825</v>
      </c>
      <c r="H31" s="48"/>
      <c r="I31" s="48"/>
      <c r="J31" s="48"/>
      <c r="K31" s="48"/>
    </row>
    <row r="32" spans="1:11" ht="15.75">
      <c r="A32" s="48"/>
      <c r="B32" s="48"/>
      <c r="C32" s="221"/>
      <c r="D32" s="48"/>
      <c r="E32" s="48"/>
      <c r="F32" s="48"/>
      <c r="G32" s="48"/>
      <c r="H32" s="48"/>
      <c r="I32" s="48"/>
      <c r="J32" s="48"/>
      <c r="K32" s="48"/>
    </row>
    <row r="33" spans="1:11" ht="15.75">
      <c r="A33" s="48"/>
      <c r="B33" s="55" t="s">
        <v>245</v>
      </c>
      <c r="C33" s="48"/>
      <c r="D33" s="48"/>
      <c r="E33" s="48"/>
      <c r="F33" s="48"/>
      <c r="G33" s="48"/>
      <c r="H33" s="222">
        <f>IF(D23=0,0,H27/D23)</f>
        <v>0</v>
      </c>
      <c r="I33" s="223">
        <f>IF(D23=0,0,I27/D23)</f>
        <v>0.0017935032139577594</v>
      </c>
      <c r="J33" s="48"/>
      <c r="K33" s="48"/>
    </row>
    <row r="34" spans="1:11" ht="15.75">
      <c r="A34" s="48"/>
      <c r="B34" s="48"/>
      <c r="C34" s="48"/>
      <c r="D34" s="48"/>
      <c r="E34" s="48"/>
      <c r="F34" s="48"/>
      <c r="G34" s="48"/>
      <c r="H34" s="48"/>
      <c r="I34" s="48"/>
      <c r="J34" s="48"/>
      <c r="K34" s="48"/>
    </row>
    <row r="35" spans="1:11" ht="15.75">
      <c r="A35" s="48"/>
      <c r="B35" s="55" t="s">
        <v>29</v>
      </c>
      <c r="C35" s="48"/>
      <c r="D35" s="48"/>
      <c r="E35" s="48"/>
      <c r="F35" s="48"/>
      <c r="G35" s="48"/>
      <c r="H35" s="48"/>
      <c r="I35" s="48"/>
      <c r="J35" s="220">
        <f>IF(D23=0,0,J29/D23)</f>
        <v>0.009211432506887052</v>
      </c>
      <c r="K35" s="224"/>
    </row>
    <row r="36" spans="1:11" ht="15.75">
      <c r="A36" s="48"/>
      <c r="B36" s="48"/>
      <c r="C36" s="48"/>
      <c r="D36" s="48"/>
      <c r="E36" s="48"/>
      <c r="F36" s="48"/>
      <c r="G36" s="48"/>
      <c r="H36" s="48"/>
      <c r="I36" s="48"/>
      <c r="J36" s="48"/>
      <c r="K36" s="48"/>
    </row>
    <row r="37" spans="1:11" ht="15.75">
      <c r="A37" s="48"/>
      <c r="B37" s="48"/>
      <c r="C37" s="48"/>
      <c r="D37" s="48"/>
      <c r="E37" s="48"/>
      <c r="F37" s="48"/>
      <c r="G37" s="48"/>
      <c r="H37" s="48"/>
      <c r="I37" s="48"/>
      <c r="J37" s="48"/>
      <c r="K37" s="48"/>
    </row>
    <row r="41" spans="2:8" ht="15.7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37" customWidth="1"/>
    <col min="3" max="6" width="11.5" style="137" customWidth="1"/>
    <col min="7" max="16384" width="8.796875" style="137" customWidth="1"/>
  </cols>
  <sheetData>
    <row r="1" spans="1:6" ht="15.75">
      <c r="A1" s="203"/>
      <c r="B1" s="48"/>
      <c r="C1" s="48"/>
      <c r="D1" s="48"/>
      <c r="E1" s="190"/>
      <c r="F1" s="48">
        <f>inputPrYr!D9</f>
        <v>2015</v>
      </c>
    </row>
    <row r="2" spans="1:6" ht="15.75">
      <c r="A2" s="103" t="str">
        <f>inputPrYr!D3</f>
        <v>Greeley Township</v>
      </c>
      <c r="B2" s="103"/>
      <c r="C2" s="48"/>
      <c r="D2" s="48"/>
      <c r="E2" s="190"/>
      <c r="F2" s="48"/>
    </row>
    <row r="3" spans="1:6" ht="15.75">
      <c r="A3" s="203"/>
      <c r="B3" s="103"/>
      <c r="C3" s="48"/>
      <c r="D3" s="48"/>
      <c r="E3" s="190"/>
      <c r="F3" s="48"/>
    </row>
    <row r="4" spans="1:6" ht="15.75">
      <c r="A4" s="203"/>
      <c r="B4" s="48"/>
      <c r="C4" s="48"/>
      <c r="D4" s="48"/>
      <c r="E4" s="190"/>
      <c r="F4" s="48"/>
    </row>
    <row r="5" spans="1:6" ht="15" customHeight="1">
      <c r="A5" s="820" t="s">
        <v>93</v>
      </c>
      <c r="B5" s="820"/>
      <c r="C5" s="820"/>
      <c r="D5" s="820"/>
      <c r="E5" s="820"/>
      <c r="F5" s="820"/>
    </row>
    <row r="6" spans="1:6" ht="14.25" customHeight="1">
      <c r="A6" s="47"/>
      <c r="B6" s="226"/>
      <c r="C6" s="226"/>
      <c r="D6" s="226"/>
      <c r="E6" s="226"/>
      <c r="F6" s="226"/>
    </row>
    <row r="7" spans="1:6" ht="15" customHeight="1">
      <c r="A7" s="227" t="s">
        <v>226</v>
      </c>
      <c r="B7" s="227" t="s">
        <v>592</v>
      </c>
      <c r="C7" s="228" t="s">
        <v>269</v>
      </c>
      <c r="D7" s="228" t="s">
        <v>94</v>
      </c>
      <c r="E7" s="227" t="s">
        <v>95</v>
      </c>
      <c r="F7" s="227" t="s">
        <v>96</v>
      </c>
    </row>
    <row r="8" spans="1:6" ht="15" customHeight="1">
      <c r="A8" s="229" t="s">
        <v>593</v>
      </c>
      <c r="B8" s="229" t="s">
        <v>594</v>
      </c>
      <c r="C8" s="230" t="s">
        <v>97</v>
      </c>
      <c r="D8" s="230" t="s">
        <v>97</v>
      </c>
      <c r="E8" s="230" t="s">
        <v>97</v>
      </c>
      <c r="F8" s="230" t="s">
        <v>98</v>
      </c>
    </row>
    <row r="9" spans="1:6" s="233" customFormat="1" ht="15" customHeight="1" thickBot="1">
      <c r="A9" s="231" t="s">
        <v>99</v>
      </c>
      <c r="B9" s="232" t="s">
        <v>100</v>
      </c>
      <c r="C9" s="232">
        <f>F1-2</f>
        <v>2013</v>
      </c>
      <c r="D9" s="232">
        <f>F1-1</f>
        <v>2014</v>
      </c>
      <c r="E9" s="232">
        <f>F1</f>
        <v>2015</v>
      </c>
      <c r="F9" s="232" t="s">
        <v>213</v>
      </c>
    </row>
    <row r="10" spans="1:6" ht="15" customHeight="1" thickTop="1">
      <c r="A10" s="234"/>
      <c r="B10" s="234"/>
      <c r="C10" s="235"/>
      <c r="D10" s="235"/>
      <c r="E10" s="235"/>
      <c r="F10" s="234"/>
    </row>
    <row r="11" spans="1:6" ht="15" customHeight="1">
      <c r="A11" s="186" t="s">
        <v>168</v>
      </c>
      <c r="B11" s="186" t="s">
        <v>230</v>
      </c>
      <c r="C11" s="236">
        <f>gen!$C$43</f>
        <v>0</v>
      </c>
      <c r="D11" s="236">
        <f>gen!$D$43</f>
        <v>0</v>
      </c>
      <c r="E11" s="236">
        <f>gen!$E$43</f>
        <v>0</v>
      </c>
      <c r="F11" s="186">
        <f>IF(C11+D11+E11&gt;0,"80-1406b","")</f>
      </c>
    </row>
    <row r="12" spans="1:6" ht="15" customHeight="1">
      <c r="A12" s="186" t="s">
        <v>168</v>
      </c>
      <c r="B12" s="186" t="s">
        <v>230</v>
      </c>
      <c r="C12" s="236">
        <f>gen!$C$45</f>
        <v>2500</v>
      </c>
      <c r="D12" s="236">
        <f>gen!$D$45</f>
        <v>0</v>
      </c>
      <c r="E12" s="236">
        <f>gen!$E$45</f>
        <v>0</v>
      </c>
      <c r="F12" s="186" t="str">
        <f>IF(C12+D12+E12&gt;0,"80-122","")</f>
        <v>80-122</v>
      </c>
    </row>
    <row r="13" spans="1:6" ht="15" customHeight="1">
      <c r="A13" s="186" t="s">
        <v>217</v>
      </c>
      <c r="B13" s="186" t="s">
        <v>230</v>
      </c>
      <c r="C13" s="236">
        <f>road!$C$38</f>
        <v>16000</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75">
      <c r="A27" s="171"/>
      <c r="B27" s="71" t="s">
        <v>218</v>
      </c>
      <c r="C27" s="239">
        <f>SUM(C10:C26)</f>
        <v>18500</v>
      </c>
      <c r="D27" s="239">
        <f>SUM(D10:D26)</f>
        <v>0</v>
      </c>
      <c r="E27" s="239">
        <f>SUM(E10:E26)</f>
        <v>0</v>
      </c>
      <c r="F27" s="171"/>
    </row>
    <row r="28" spans="1:6" ht="15.75">
      <c r="A28" s="171"/>
      <c r="B28" s="71" t="s">
        <v>591</v>
      </c>
      <c r="C28" s="48"/>
      <c r="D28" s="160"/>
      <c r="E28" s="160"/>
      <c r="F28" s="171"/>
    </row>
    <row r="29" spans="1:6" ht="15.75">
      <c r="A29" s="171"/>
      <c r="B29" s="71" t="s">
        <v>101</v>
      </c>
      <c r="C29" s="162">
        <f>C27</f>
        <v>18500</v>
      </c>
      <c r="D29" s="162">
        <f>SUM(D27-D28)</f>
        <v>0</v>
      </c>
      <c r="E29" s="162">
        <f>SUM(E27-E28)</f>
        <v>0</v>
      </c>
      <c r="F29" s="171"/>
    </row>
    <row r="30" spans="1:6" ht="15.75">
      <c r="A30" s="171"/>
      <c r="B30" s="48"/>
      <c r="C30" s="48"/>
      <c r="D30" s="48"/>
      <c r="E30" s="48"/>
      <c r="F30" s="171"/>
    </row>
    <row r="31" spans="1:6" ht="15.75">
      <c r="A31" s="171"/>
      <c r="B31" s="48"/>
      <c r="C31" s="48"/>
      <c r="D31" s="48"/>
      <c r="E31" s="48"/>
      <c r="F31" s="171"/>
    </row>
    <row r="32" spans="1:6" ht="15.75">
      <c r="A32" s="356" t="s">
        <v>595</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8.75">
      <c r="A1" s="336" t="s">
        <v>303</v>
      </c>
    </row>
    <row r="2" ht="15.75">
      <c r="A2" s="95"/>
    </row>
    <row r="3" ht="15.75">
      <c r="A3" s="95"/>
    </row>
    <row r="4" ht="52.5" customHeight="1">
      <c r="A4" s="196" t="s">
        <v>340</v>
      </c>
    </row>
    <row r="5" ht="15.75">
      <c r="A5" s="95"/>
    </row>
    <row r="6" ht="15.75">
      <c r="A6" s="95"/>
    </row>
    <row r="7" ht="70.5" customHeight="1">
      <c r="A7" s="196" t="s">
        <v>341</v>
      </c>
    </row>
    <row r="8" ht="15.75">
      <c r="A8" s="331"/>
    </row>
    <row r="9" ht="15.75">
      <c r="A9" s="95"/>
    </row>
    <row r="10" ht="56.25" customHeight="1">
      <c r="A10" s="196" t="s">
        <v>342</v>
      </c>
    </row>
    <row r="11" ht="15.75">
      <c r="A11" s="331"/>
    </row>
    <row r="12" ht="15.75">
      <c r="A12" s="331"/>
    </row>
    <row r="13" ht="57.75" customHeight="1">
      <c r="A13" s="196" t="s">
        <v>343</v>
      </c>
    </row>
    <row r="14" ht="15.75">
      <c r="A14" s="331"/>
    </row>
    <row r="15" ht="15.75">
      <c r="A15" s="331"/>
    </row>
    <row r="16" ht="87.75" customHeight="1">
      <c r="A16" s="196" t="s">
        <v>344</v>
      </c>
    </row>
    <row r="17" ht="15.75">
      <c r="A17" s="331"/>
    </row>
    <row r="18" ht="15.75">
      <c r="A18" s="95"/>
    </row>
    <row r="19" ht="54.75" customHeight="1">
      <c r="A19" s="196" t="s">
        <v>345</v>
      </c>
    </row>
    <row r="20" ht="15.75">
      <c r="A20" s="95"/>
    </row>
    <row r="21" ht="15.75">
      <c r="A21" s="95"/>
    </row>
    <row r="22" ht="69" customHeight="1">
      <c r="A22" s="196" t="s">
        <v>346</v>
      </c>
    </row>
    <row r="23" ht="15.75">
      <c r="A23" s="95"/>
    </row>
    <row r="24" ht="15.75">
      <c r="A24" s="333"/>
    </row>
    <row r="25" ht="47.25" customHeight="1">
      <c r="A25" s="334" t="s">
        <v>347</v>
      </c>
    </row>
    <row r="26" ht="15.75">
      <c r="A26" s="335"/>
    </row>
    <row r="27" ht="15.7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Karen Bailey</cp:lastModifiedBy>
  <cp:lastPrinted>2014-07-16T16:39:54Z</cp:lastPrinted>
  <dcterms:created xsi:type="dcterms:W3CDTF">1998-08-26T16:30:41Z</dcterms:created>
  <dcterms:modified xsi:type="dcterms:W3CDTF">2014-07-16T17:51:27Z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