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1"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<sst xmlns="http://schemas.openxmlformats.org/spreadsheetml/2006/main" count="1571" uniqueCount="952">
  <si>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</si>
  <si>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</si>
  <si>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</si>
  <si>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</si>
  <si>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</si>
  <si>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</si>
  <si>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</si>
  <si>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</si>
  <si>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</si>
  <si>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</si>
  <si>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</si>
  <si>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</si>
  <si>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</si>
  <si>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</si>
  <si>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</si>
  <si>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</si>
  <si>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</si>
  <si>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</si>
  <si>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</si>
  <si>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</si>
  <si>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</si>
  <si>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</si>
  <si>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</si>
  <si>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</si>
  <si>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</si>
  <si>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</si>
  <si>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</si>
  <si>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</si>
  <si>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</si>
  <si>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</si>
  <si>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</si>
  <si>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</si>
  <si>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</si>
  <si>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</si>
  <si>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</si>
  <si>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</si>
  <si>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</si>
  <si>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</si>
  <si>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</si>
  <si>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</si>
  <si>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</si>
  <si>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</si>
  <si>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</si>
  <si>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</si>
  <si>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</si>
  <si>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</si>
  <si>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</si>
  <si>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</si>
  <si>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</si>
  <si>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</si>
  <si>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</si>
  <si>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</si>
  <si>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</si>
  <si>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</si>
  <si>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</si>
  <si>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</si>
  <si>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</si>
  <si>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</si>
  <si>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</si>
  <si>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</si>
  <si>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</si>
  <si>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</si>
  <si>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</si>
  <si>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</si>
  <si>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</si>
  <si>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</si>
  <si>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</si>
  <si>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</si>
  <si>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</si>
  <si>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</si>
  <si>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</si>
  <si>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</si>
  <si>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</si>
  <si>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</si>
  <si>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</si>
  <si>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</si>
  <si>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</si>
  <si>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</si>
  <si>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</si>
  <si>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</si>
  <si>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</si>
  <si>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</si>
  <si>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</si>
  <si>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</si>
  <si>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</si>
  <si>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</si>
  <si>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</si>
  <si>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</si>
  <si>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</si>
  <si>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</si>
  <si>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</si>
  <si>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</si>
  <si>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</si>
  <si>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</si>
  <si>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</si>
  <si>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</si>
  <si>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</si>
  <si>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</si>
  <si>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</si>
  <si>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</si>
  <si>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</si>
  <si>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</si>
  <si>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</si>
  <si>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</si>
  <si>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</si>
  <si>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</si>
  <si>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</si>
  <si>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</si>
  <si>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</si>
  <si>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</si>
  <si>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</si>
  <si>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</si>
  <si>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</si>
  <si>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</si>
  <si>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</si>
  <si>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</si>
  <si>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</si>
  <si>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</si>
  <si>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</si>
  <si>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</si>
  <si>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</si>
  <si>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</si>
  <si>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</si>
  <si>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</si>
  <si>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</si>
  <si>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</si>
  <si>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</si>
  <si>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</si>
  <si>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</si>
  <si>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</si>
  <si>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</si>
  <si>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</si>
  <si>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</si>
  <si>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</si>
  <si>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</si>
  <si>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</si>
  <si>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</si>
  <si>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</si>
  <si>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</si>
  <si>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</si>
  <si>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</si>
  <si>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</si>
  <si>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</si>
  <si>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</si>
  <si>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</si>
  <si>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</si>
  <si>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</si>
  <si>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</si>
  <si>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</si>
  <si>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</si>
  <si>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</si>
  <si>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</si>
  <si>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</si>
  <si>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</si>
  <si>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</si>
  <si>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</si>
  <si>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</si>
  <si>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</si>
  <si>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</si>
  <si>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</si>
  <si>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</si>
  <si>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</si>
  <si>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</si>
  <si>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</si>
  <si>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</si>
  <si>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</si>
  <si>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</si>
  <si>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</si>
  <si>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</si>
  <si>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</si>
  <si>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</si>
  <si>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</si>
  <si>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</si>
  <si>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</si>
  <si>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</si>
  <si>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</si>
  <si>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</si>
  <si>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</si>
  <si>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</si>
  <si>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</si>
  <si>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</si>
  <si>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</si>
  <si>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</si>
  <si>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</si>
  <si>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</si>
  <si>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</si>
  <si>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</si>
  <si>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</si>
  <si>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</si>
  <si>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</si>
  <si>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</si>
  <si>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</si>
  <si>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</si>
  <si>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</si>
  <si>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</si>
  <si>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</si>
  <si>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</si>
  <si>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</si>
  <si>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</si>
  <si>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</si>
  <si>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</si>
  <si>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</si>
  <si>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</si>
  <si>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</si>
  <si>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</si>
  <si>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</si>
  <si>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</si>
  <si>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</si>
  <si>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</si>
  <si>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</si>
  <si>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</si>
  <si>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</si>
  <si>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</si>
  <si>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</si>
  <si>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</si>
  <si>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</si>
  <si>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</si>
  <si>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</si>
  <si>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</si>
  <si>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</si>
  <si>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</si>
  <si>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</si>
  <si>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</si>
  <si>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</si>
  <si>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</si>
  <si>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</si>
  <si>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</si>
  <si>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</si>
  <si>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</si>
  <si>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</si>
  <si>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</si>
  <si>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</si>
  <si>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</si>
  <si>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</si>
  <si>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</si>
  <si>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</si>
  <si>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</si>
  <si>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</si>
  <si>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</si>
  <si>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</si>
  <si>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</si>
  <si>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</si>
  <si>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</si>
  <si>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</si>
  <si>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</si>
  <si>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</si>
  <si>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</si>
  <si>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</si>
  <si>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</si>
  <si>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</si>
  <si>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</si>
  <si>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</si>
  <si>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</si>
  <si>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</si>
  <si>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</si>
  <si>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</si>
  <si>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</si>
  <si>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</si>
  <si>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</si>
  <si>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</si>
  <si>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</si>
  <si>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</si>
  <si>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</si>
  <si>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</si>
  <si>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</si>
  <si>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</si>
  <si>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</si>
  <si>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</si>
  <si>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</si>
  <si>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</si>
  <si>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</si>
  <si>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</si>
  <si>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</si>
  <si>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</si>
  <si>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</si>
  <si>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</si>
  <si>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</si>
  <si>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</si>
  <si>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</si>
  <si>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</si>
  <si>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</si>
  <si>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</si>
  <si>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</si>
  <si>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</si>
  <si>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</si>
  <si>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</si>
  <si>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</si>
  <si>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</si>
  <si>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</si>
  <si>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</si>
  <si>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</si>
  <si>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</si>
  <si>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</si>
  <si>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</si>
  <si>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</si>
  <si>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</si>
  <si>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</si>
  <si>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</si>
  <si>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</si>
  <si>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</si>
  <si>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</si>
  <si>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</si>
  <si>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</si>
  <si>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</si>
  <si>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</si>
  <si>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</si>
  <si>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</si>
  <si>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</si>
  <si>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</si>
  <si>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</si>
  <si>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</si>
  <si>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</si>
  <si>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</si>
  <si>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</si>
  <si>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</si>
  <si>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</si>
  <si>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</si>
  <si>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</si>
  <si>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</si>
  <si>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</si>
  <si>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</si>
  <si>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</si>
  <si>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</si>
  <si>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</si>
  <si>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</si>
  <si>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</si>
  <si>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</si>
  <si>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</si>
  <si>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</si>
  <si>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</si>
  <si>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</si>
  <si>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</si>
  <si>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</si>
  <si>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</si>
  <si>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</si>
  <si>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</si>
  <si>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</si>
  <si>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</si>
  <si>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</si>
  <si>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</si>
  <si>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</si>
  <si>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</si>
  <si>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</si>
  <si>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</si>
  <si>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</si>
  <si>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</si>
  <si>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</si>
  <si>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</si>
  <si>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</si>
  <si>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</si>
  <si>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</si>
  <si>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</si>
  <si>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</si>
  <si>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</si>
  <si>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</si>
  <si>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</si>
  <si>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</si>
  <si>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</si>
  <si>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</si>
  <si>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</si>
  <si>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</si>
  <si>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</si>
  <si>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</si>
  <si>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</si>
  <si>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</si>
  <si>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</si>
  <si>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</si>
  <si>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</si>
  <si>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</si>
  <si>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</si>
  <si>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</si>
  <si>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</si>
  <si>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</si>
  <si>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</si>
  <si>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</si>
  <si>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</si>
  <si>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</si>
  <si>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</si>
  <si>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</si>
  <si>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</si>
  <si>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</si>
  <si>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</si>
  <si>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</si>
  <si>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</si>
  <si>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</si>
  <si>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</si>
  <si>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</si>
  <si>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</si>
  <si>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</si>
  <si>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</si>
  <si>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</si>
  <si>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</si>
  <si>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</si>
  <si>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</si>
  <si>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</si>
  <si>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</si>
  <si>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</si>
  <si>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</si>
  <si>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</si>
  <si>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</si>
  <si>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</si>
  <si>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</si>
  <si>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</si>
  <si>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</si>
  <si>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</si>
  <si>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</si>
  <si>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</si>
  <si>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</si>
  <si>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</si>
  <si>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</si>
  <si>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</si>
  <si>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</si>
  <si>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</si>
  <si>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</si>
  <si>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</si>
  <si>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</si>
  <si>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</si>
  <si>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</si>
  <si>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</si>
  <si>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</si>
  <si>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</si>
  <si>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</si>
  <si>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</si>
  <si>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</si>
  <si>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</si>
  <si>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</si>
  <si>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</si>
  <si>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</si>
  <si>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</si>
  <si>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</si>
  <si>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</si>
  <si>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</si>
  <si>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</si>
  <si>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</si>
  <si>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</si>
  <si>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</si>
  <si>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</si>
  <si>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</si>
  <si>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</si>
  <si>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</si>
  <si>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</si>
  <si>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</si>
  <si>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</si>
  <si>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</si>
  <si>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</si>
  <si>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</si>
  <si>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</si>
  <si>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</si>
  <si>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</si>
  <si>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</si>
  <si>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</si>
  <si>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</si>
  <si>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</si>
  <si>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</si>
  <si>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</si>
  <si>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</si>
  <si>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</si>
  <si>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</si>
  <si>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</si>
  <si>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</si>
  <si>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</si>
  <si>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</si>
  <si>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</si>
  <si>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</si>
  <si>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</si>
  <si>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</si>
  <si>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</si>
  <si>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</si>
  <si>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</si>
  <si>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</si>
  <si>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</si>
  <si>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</si>
  <si>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</si>
  <si>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</si>
  <si>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</si>
  <si>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</si>
  <si>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</si>
  <si>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</si>
  <si>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</si>
  <si>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</si>
  <si>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</si>
  <si>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</si>
  <si>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</si>
  <si>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</si>
  <si>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</si>
  <si>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</si>
  <si>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</si>
  <si>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</si>
  <si>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</si>
  <si>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</si>
  <si>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</si>
  <si>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</si>
  <si>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</si>
  <si>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</si>
  <si>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</si>
  <si>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</si>
  <si>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</si>
  <si>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</si>
  <si>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</si>
  <si>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</si>
  <si>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</si>
  <si>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</si>
  <si>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</si>
  <si>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</si>
  <si>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</si>
  <si>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</si>
  <si>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</si>
  <si>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</si>
  <si>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</si>
  <si>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</si>
  <si>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</si>
  <si>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</si>
  <si>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</si>
  <si>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</si>
  <si>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</si>
  <si>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</si>
  <si>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</si>
  <si>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</si>
  <si>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</si>
  <si>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</si>
  <si>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</si>
  <si>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</si>
  <si>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</si>
  <si>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</si>
  <si>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</si>
  <si>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</si>
  <si>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</si>
  <si>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</si>
  <si>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</si>
  <si>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</si>
  <si>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</si>
  <si>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</si>
  <si>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</si>
  <si>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</si>
  <si>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</si>
  <si>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</si>
  <si>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</si>
  <si>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</si>
  <si>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</si>
  <si>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</si>
  <si>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</si>
  <si>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</si>
  <si>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</si>
  <si>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</si>
  <si>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</si>
  <si>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</si>
  <si>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</si>
  <si>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</si>
  <si>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</si>
  <si>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</si>
  <si>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</si>
  <si>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</si>
  <si>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</si>
  <si>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</si>
  <si>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</si>
  <si>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</si>
  <si>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</si>
  <si>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</si>
  <si>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</si>
  <si>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</si>
  <si>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</si>
  <si>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</si>
  <si>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</si>
  <si>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</si>
  <si>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</si>
  <si>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</si>
  <si>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</si>
  <si>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</si>
  <si>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</si>
  <si>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</si>
  <si>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</si>
  <si>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</si>
  <si>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</si>
  <si>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</si>
  <si>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</si>
  <si>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</si>
  <si>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</si>
  <si>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</si>
  <si>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</si>
  <si>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</si>
  <si>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</si>
  <si>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</si>
  <si>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</si>
  <si>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</si>
  <si>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</si>
  <si>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</si>
  <si>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</si>
  <si>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</si>
  <si>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</si>
  <si>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</si>
  <si>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</si>
  <si>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</si>
  <si>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</si>
  <si>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</si>
  <si>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</si>
  <si>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</si>
  <si>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</si>
  <si>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</si>
  <si>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</si>
  <si>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</si>
  <si>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</si>
  <si>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</si>
  <si>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</si>
  <si>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</si>
  <si>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</si>
  <si>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</si>
  <si>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</si>
  <si>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</si>
  <si>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</si>
  <si>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</si>
  <si>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</si>
  <si>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</si>
  <si>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</si>
  <si>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</si>
  <si>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</si>
  <si>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</si>
  <si>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</si>
  <si>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</si>
  <si>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</si>
  <si>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</si>
  <si>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</si>
  <si>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</si>
  <si>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</si>
  <si>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</si>
  <si>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</si>
  <si>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</si>
  <si>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</si>
  <si>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</si>
  <si>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</si>
  <si>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</si>
  <si>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</si>
  <si>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</si>
  <si>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</si>
  <si>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</si>
  <si>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</si>
  <si>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</si>
  <si>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</si>
  <si>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</si>
  <si>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</si>
  <si>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</si>
  <si>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</si>
  <si>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</si>
  <si>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</si>
  <si>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</si>
  <si>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</si>
  <si>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</si>
  <si>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</si>
  <si>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</si>
  <si>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</si>
  <si>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</si>
  <si>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</si>
  <si>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</si>
  <si>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</si>
  <si>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</si>
  <si>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</si>
  <si>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</si>
  <si>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</si>
  <si>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</si>
  <si>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</si>
  <si>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</si>
  <si>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</si>
  <si>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</si>
  <si>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</si>
  <si>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</si>
  <si>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</si>
  <si>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</si>
  <si>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</si>
  <si>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</si>
  <si>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</si>
  <si>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</si>
  <si>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</si>
  <si>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</si>
  <si>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</si>
  <si>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</si>
  <si>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</si>
  <si>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</si>
  <si>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</si>
  <si>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</si>
  <si>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</si>
  <si>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</si>
  <si>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</si>
  <si>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</si>
  <si>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</si>
  <si>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</si>
  <si>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</si>
  <si>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</si>
  <si>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</si>
  <si>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</si>
  <si>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</si>
  <si>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</si>
  <si>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</si>
  <si>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</si>
  <si>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</si>
  <si>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</si>
  <si>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</si>
  <si>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</si>
  <si>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</si>
  <si>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</si>
  <si>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</si>
  <si>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</si>
  <si>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</si>
  <si>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</si>
  <si>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</si>
  <si>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</si>
  <si>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</si>
  <si>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</si>
  <si>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</si>
  <si>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</si>
  <si>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</si>
  <si>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</si>
  <si>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</si>
  <si>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</si>
  <si>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</si>
  <si>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</si>
  <si>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</si>
  <si>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</si>
  <si>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</si>
  <si>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</si>
  <si>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</si>
  <si>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</si>
  <si>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</si>
  <si>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</si>
  <si>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</si>
  <si>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</si>
  <si>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</si>
  <si>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</si>
  <si>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</si>
  <si>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</si>
  <si>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</si>
  <si>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</si>
  <si>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</si>
  <si>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</si>
  <si>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</si>
  <si>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</si>
  <si>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</si>
  <si>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</si>
  <si>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</si>
  <si>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</si>
  <si>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</si>
  <si>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</si>
  <si>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</si>
  <si>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</si>
  <si>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</si>
  <si>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</si>
  <si>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</si>
  <si>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</si>
  <si>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</si>
  <si>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</si>
  <si>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</si>
  <si>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</si>
  <si>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</si>
  <si>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</si>
  <si>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</si>
  <si>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</si>
  <si>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</si>
  <si>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</si>
  <si>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</si>
  <si>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</si>
  <si>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</si>
  <si>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</si>
  <si>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</si>
  <si>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</si>
  <si>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</si>
  <si>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</si>
  <si>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</si>
  <si>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</si>
  <si>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</si>
  <si>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</si>
  <si>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</si>
  <si>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</si>
  <si>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</si>
  <si>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</si>
  <si>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</si>
  <si>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</si>
  <si>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</si>
  <si>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</si>
  <si>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</si>
  <si>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</si>
  <si>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</si>
  <si>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</si>
  <si>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</si>
  <si>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</si>
  <si>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</si>
  <si>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</si>
  <si>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</si>
  <si>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</si>
  <si>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</si>
  <si>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</si>
  <si>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</si>
  <si>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</si>
  <si>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</si>
  <si>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</si>
  <si>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</si>
  <si>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</si>
  <si>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</si>
  <si>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</si>
  <si>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</si>
  <si>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</si>
  <si>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</si>
  <si>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</si>
  <si>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</si>
  <si>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</si>
  <si>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</si>
  <si>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</si>
  <si>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</si>
  <si>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</si>
  <si>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</si>
  <si>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</si>
  <si>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</si>
  <si>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</si>
  <si>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</si>
  <si>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</si>
  <si>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</si>
  <si>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</si>
  <si>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</si>
  <si>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</si>
  <si>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</si>
  <si>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</si>
  <si>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</si>
  <si>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</si>
  <si>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</si>
  <si>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</si>
  <si>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</si>
  <si>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</si>
  <si>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</si>
  <si>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</si>
  <si>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</si>
  <si>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</si>
  <si>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</si>
  <si>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</si>
  <si>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</si>
  <si>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</si>
  <si>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</si>
  <si>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</si>
  <si>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</si>
  <si>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</si>
  <si>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</si>
  <si>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</si>
  <si>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</si>
  <si>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</si>
  <si>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</si>
  <si>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</si>
  <si>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</si>
  <si>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</si>
  <si>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</si>
  <si>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</si>
  <si>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</si>
  <si>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</si>
  <si>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</si>
  <si>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</si>
  <si>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</si>
  <si>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</si>
  <si>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</si>
  <si>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</si>
  <si>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</si>
  <si>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</si>
  <si>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</si>
  <si>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</si>
  <si>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</si>
  <si>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</si>
  <si>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</si>
  <si>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</si>
  <si>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</si>
  <si>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</si>
  <si>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</si>
  <si>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</si>
  <si>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</si>
  <si>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</si>
  <si>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</si>
  <si>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</si>
  <si>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</si>
  <si>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</si>
  <si>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</si>
  <si>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</si>
  <si>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</si>
  <si>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</si>
  <si>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</si>
  <si>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</si>
  <si>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</si>
  <si>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</si>
  <si>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</si>
  <si>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</si>
  <si>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</si>
  <si>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</si>
  <si>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</si>
  <si>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</si>
  <si>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</si>
  <si>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</si>
  <si>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</si>
  <si>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</si>
  <si>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</si>
  <si>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</si>
  <si>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</si>
  <si>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</si>
  <si>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</si>
  <si>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</si>
  <si>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</si>
  <si>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</si>
  <si>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</si>
  <si>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</si>
  <si>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</si>
  <si>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</si>
  <si>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</si>
  <si>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</si>
  <si>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</si>
  <si>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</si>
  <si>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</si>
  <si>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</si>
  <si>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</si>
  <si>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</si>
  <si>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</si>
  <si>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</si>
  <si>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</si>
  <si>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</si>
  <si>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</si>
  <si>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</si>
  <si>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</si>
  <si>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</si>
  <si>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</si>
  <si>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</si>
  <si>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</si>
  <si>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</si>
  <si>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</si>
  <si>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</si>
  <si>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</si>
  <si>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</si>
  <si>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</si>
  <si>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</si>
  <si>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</si>
  <si>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</si>
  <si>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</si>
  <si>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</si>
  <si>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</si>
  <si>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</si>
  <si>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</si>
  <si>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</si>
  <si>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</si>
  <si>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</si>
  <si>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</si>
  <si>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</si>
  <si>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</si>
  <si>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</si>
  <si>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Garfield Township</t>
  </si>
  <si>
    <t>Ellsworth County</t>
  </si>
  <si>
    <t>Special Highway</t>
  </si>
  <si>
    <t>Weed</t>
  </si>
  <si>
    <t>Road Fund</t>
  </si>
  <si>
    <t>Karen Grothusen, Treasurer</t>
  </si>
  <si>
    <t>August 7, 2014</t>
  </si>
  <si>
    <t>7:00 p.m.</t>
  </si>
  <si>
    <t>Karen Grothusen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</si>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</sst>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Garfield Township</v>
      </c>
      <c r="C1" s="156"/>
      <c r="D1" s="156"/>
      <c r="E1" s="156"/>
      <c r="F1" s="156"/>
      <c r="G1" s="156"/>
      <c r="H1" s="156"/>
      <c r="I1" s="156"/>
      <c r="J1" s="3"/>
      <c r="K1" s="3"/>
      <c r="L1" s="4">
        <f>inputPrYr!D5</f>
        <v>2015</v>
      </c>
    </row>
    <row r="2" spans="2:12" ht="15">
      <c r="B2" s="155" t="str">
        <f>inputPrYr!$D$3</f>
        <v>Ellsworth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Garfield Township</v>
      </c>
      <c r="C7" s="531"/>
      <c r="D7" s="531"/>
      <c r="E7" s="531"/>
      <c r="F7" s="531"/>
      <c r="G7" s="531"/>
      <c r="H7" s="531"/>
      <c r="I7" s="531"/>
    </row>
    <row r="8" spans="2:9" ht="15">
      <c r="B8" s="532" t="str">
        <f>inputPrYr!D3</f>
        <v>Ellsworth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1876900</v>
      </c>
      <c r="F27" s="531"/>
      <c r="G27" s="536">
        <f>summ!G37</f>
        <v>2060956</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5">
      <c r="B52" s="549"/>
      <c r="C52" s="549"/>
      <c r="D52" s="549"/>
      <c r="E52" s="549"/>
      <c r="F52" s="549"/>
      <c r="G52" s="549"/>
      <c r="H52" s="549"/>
      <c r="I52" s="549"/>
    </row>
    <row r="53" spans="2:9" ht="15">
      <c r="B53" s="550" t="s">
        <v>750</v>
      </c>
      <c r="C53" s="549"/>
      <c r="D53" s="549"/>
      <c r="E53" s="549"/>
      <c r="F53" s="549"/>
      <c r="G53" s="549"/>
      <c r="H53" s="549"/>
      <c r="I53" s="549"/>
    </row>
    <row r="54" spans="2:9" ht="15">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5">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5">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5">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5">
      <c r="B70" s="551"/>
      <c r="C70" s="551"/>
      <c r="D70" s="551"/>
      <c r="E70" s="551"/>
      <c r="F70" s="551"/>
      <c r="G70" s="549"/>
      <c r="H70" s="549"/>
      <c r="I70" s="549"/>
    </row>
    <row r="71" spans="2:9" ht="15">
      <c r="B71" s="550" t="s">
        <v>762</v>
      </c>
      <c r="C71" s="551"/>
      <c r="D71" s="551"/>
      <c r="E71" s="551"/>
      <c r="F71" s="551"/>
      <c r="G71" s="549"/>
      <c r="H71" s="549"/>
      <c r="I71" s="549"/>
    </row>
    <row r="72" spans="2:9" ht="15">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5">
      <c r="B75" s="551"/>
      <c r="C75" s="551"/>
      <c r="D75" s="551"/>
      <c r="E75" s="551"/>
      <c r="F75" s="551"/>
      <c r="G75" s="549"/>
      <c r="H75" s="549"/>
      <c r="I75" s="549"/>
    </row>
    <row r="76" spans="2:9" ht="15">
      <c r="B76" s="550" t="s">
        <v>765</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5">
      <c r="B80" s="551"/>
      <c r="C80" s="551"/>
      <c r="D80" s="551"/>
      <c r="E80" s="551"/>
      <c r="F80" s="551"/>
      <c r="G80" s="549"/>
      <c r="H80" s="549"/>
      <c r="I80" s="549"/>
    </row>
    <row r="81" spans="2:9" ht="15">
      <c r="B81" s="550" t="s">
        <v>364</v>
      </c>
      <c r="C81" s="551"/>
      <c r="D81" s="551"/>
      <c r="E81" s="551"/>
      <c r="F81" s="551"/>
      <c r="G81" s="549"/>
      <c r="H81" s="549"/>
      <c r="I81" s="549"/>
    </row>
    <row r="82" spans="2:9" ht="15">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5">
      <c r="B95" s="551"/>
      <c r="C95" s="551"/>
      <c r="D95" s="551"/>
      <c r="E95" s="551"/>
      <c r="F95" s="551"/>
      <c r="G95" s="549"/>
      <c r="H95" s="549"/>
      <c r="I95" s="549"/>
    </row>
    <row r="96" spans="2:9" ht="15">
      <c r="B96" s="550" t="s">
        <v>774</v>
      </c>
      <c r="C96" s="551"/>
      <c r="D96" s="551"/>
      <c r="E96" s="551"/>
      <c r="F96" s="551"/>
      <c r="G96" s="549"/>
      <c r="H96" s="549"/>
      <c r="I96" s="549"/>
    </row>
    <row r="97" spans="2:9" ht="15">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5">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0">
      <selection activeCell="E40" sqref="E4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Garfield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474</v>
      </c>
      <c r="D6" s="364">
        <f>C51</f>
        <v>349</v>
      </c>
      <c r="E6" s="21">
        <f>D51</f>
        <v>166</v>
      </c>
    </row>
    <row r="7" spans="2:5" ht="15">
      <c r="B7" s="16" t="s">
        <v>111</v>
      </c>
      <c r="C7" s="364"/>
      <c r="D7" s="364"/>
      <c r="E7" s="22"/>
    </row>
    <row r="8" spans="2:5" ht="15">
      <c r="B8" s="16" t="s">
        <v>16</v>
      </c>
      <c r="C8" s="18">
        <v>19102</v>
      </c>
      <c r="D8" s="364">
        <f>IF(inputPrYr!H15&gt;0,inputPrYr!G16,inputPrYr!E16)</f>
        <v>19186</v>
      </c>
      <c r="E8" s="22" t="s">
        <v>266</v>
      </c>
    </row>
    <row r="9" spans="2:5" ht="15">
      <c r="B9" s="16" t="s">
        <v>17</v>
      </c>
      <c r="C9" s="18"/>
      <c r="D9" s="18"/>
      <c r="E9" s="23"/>
    </row>
    <row r="10" spans="2:5" ht="15">
      <c r="B10" s="16" t="s">
        <v>18</v>
      </c>
      <c r="C10" s="18">
        <v>817</v>
      </c>
      <c r="D10" s="18">
        <v>866</v>
      </c>
      <c r="E10" s="21">
        <f>mvalloc!G11</f>
        <v>756</v>
      </c>
    </row>
    <row r="11" spans="2:5" ht="15">
      <c r="B11" s="16" t="s">
        <v>19</v>
      </c>
      <c r="C11" s="18">
        <v>29</v>
      </c>
      <c r="D11" s="18">
        <v>28</v>
      </c>
      <c r="E11" s="21">
        <f>mvalloc!I11</f>
        <v>27</v>
      </c>
    </row>
    <row r="12" spans="2:5" ht="15">
      <c r="B12" s="24" t="s">
        <v>69</v>
      </c>
      <c r="C12" s="18">
        <v>588</v>
      </c>
      <c r="D12" s="18">
        <v>537</v>
      </c>
      <c r="E12" s="21">
        <f>mvalloc!J11</f>
        <v>527</v>
      </c>
    </row>
    <row r="13" spans="2:5" ht="15">
      <c r="B13" s="24" t="s">
        <v>138</v>
      </c>
      <c r="C13" s="18"/>
      <c r="D13" s="18"/>
      <c r="E13" s="21">
        <f>inputOth!E35</f>
        <v>0</v>
      </c>
    </row>
    <row r="14" spans="2:5" ht="15">
      <c r="B14" s="16" t="s">
        <v>20</v>
      </c>
      <c r="C14" s="18"/>
      <c r="D14" s="18"/>
      <c r="E14" s="21">
        <f>inputOth!E12</f>
        <v>0</v>
      </c>
    </row>
    <row r="15" spans="2:5" ht="15">
      <c r="B15" s="26" t="s">
        <v>944</v>
      </c>
      <c r="C15" s="18">
        <v>1447</v>
      </c>
      <c r="D15" s="18">
        <v>1471</v>
      </c>
      <c r="E15" s="25">
        <v>1482</v>
      </c>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16</v>
      </c>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21999</v>
      </c>
      <c r="D26" s="366">
        <f>SUM(D8:D24)</f>
        <v>22088</v>
      </c>
      <c r="E26" s="31">
        <f>SUM(E8:E24)</f>
        <v>2792</v>
      </c>
    </row>
    <row r="27" spans="2:5" ht="15">
      <c r="B27" s="32" t="s">
        <v>24</v>
      </c>
      <c r="C27" s="366">
        <f>C26+C6</f>
        <v>22473</v>
      </c>
      <c r="D27" s="366">
        <f>D26+D6</f>
        <v>22437</v>
      </c>
      <c r="E27" s="31">
        <f>E26+E6</f>
        <v>2958</v>
      </c>
    </row>
    <row r="28" spans="2:5" ht="15">
      <c r="B28" s="16" t="s">
        <v>25</v>
      </c>
      <c r="C28" s="364"/>
      <c r="D28" s="364"/>
      <c r="E28" s="21"/>
    </row>
    <row r="29" spans="2:5" ht="15">
      <c r="B29" s="26"/>
      <c r="C29" s="18"/>
      <c r="D29" s="18"/>
      <c r="E29" s="23"/>
    </row>
    <row r="30" spans="2:5" ht="15">
      <c r="B30" s="27" t="s">
        <v>101</v>
      </c>
      <c r="C30" s="18">
        <v>554</v>
      </c>
      <c r="D30" s="18">
        <v>700</v>
      </c>
      <c r="E30" s="23">
        <v>700</v>
      </c>
    </row>
    <row r="31" spans="2:5" ht="15">
      <c r="B31" s="27" t="s">
        <v>116</v>
      </c>
      <c r="C31" s="18">
        <v>2408</v>
      </c>
      <c r="D31" s="18">
        <v>2500</v>
      </c>
      <c r="E31" s="23">
        <v>2500</v>
      </c>
    </row>
    <row r="32" spans="2:5" ht="15">
      <c r="B32" s="27" t="s">
        <v>102</v>
      </c>
      <c r="C32" s="18">
        <v>567</v>
      </c>
      <c r="D32" s="18">
        <v>325</v>
      </c>
      <c r="E32" s="23">
        <v>350</v>
      </c>
    </row>
    <row r="33" spans="2:5" ht="15">
      <c r="B33" s="27" t="s">
        <v>36</v>
      </c>
      <c r="C33" s="18"/>
      <c r="D33" s="18">
        <v>75</v>
      </c>
      <c r="E33" s="23">
        <v>75</v>
      </c>
    </row>
    <row r="34" spans="2:5" ht="15">
      <c r="B34" s="26" t="s">
        <v>103</v>
      </c>
      <c r="C34" s="18"/>
      <c r="D34" s="18"/>
      <c r="E34" s="23"/>
    </row>
    <row r="35" spans="2:5" ht="15">
      <c r="B35" s="26" t="s">
        <v>117</v>
      </c>
      <c r="C35" s="18"/>
      <c r="D35" s="18"/>
      <c r="E35" s="23"/>
    </row>
    <row r="36" spans="2:5" ht="15">
      <c r="B36" s="27" t="s">
        <v>119</v>
      </c>
      <c r="C36" s="18">
        <v>2749</v>
      </c>
      <c r="D36" s="18">
        <v>2600</v>
      </c>
      <c r="E36" s="23">
        <v>2600</v>
      </c>
    </row>
    <row r="37" spans="2:5" ht="15">
      <c r="B37" s="27" t="s">
        <v>945</v>
      </c>
      <c r="C37" s="18">
        <v>2435</v>
      </c>
      <c r="D37" s="18">
        <v>1200</v>
      </c>
      <c r="E37" s="23">
        <v>1165</v>
      </c>
    </row>
    <row r="38" spans="2:5" ht="15">
      <c r="B38" s="26" t="s">
        <v>946</v>
      </c>
      <c r="C38" s="18">
        <v>11411</v>
      </c>
      <c r="D38" s="18">
        <v>14871</v>
      </c>
      <c r="E38" s="23">
        <v>15481</v>
      </c>
    </row>
    <row r="39" spans="2:5" ht="15">
      <c r="B39" s="27"/>
      <c r="C39" s="18"/>
      <c r="D39" s="18"/>
      <c r="E39" s="23"/>
    </row>
    <row r="40" spans="2:5" ht="15">
      <c r="B40" s="27"/>
      <c r="C40" s="18"/>
      <c r="D40" s="18"/>
      <c r="E40" s="23"/>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2000</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22124</v>
      </c>
      <c r="D50" s="358">
        <f>SUM(D29:D48)</f>
        <v>22271</v>
      </c>
      <c r="E50" s="36">
        <f>SUM(E29:E43,E45,E47:E48)</f>
        <v>22871</v>
      </c>
      <c r="G50" s="459">
        <f>D51</f>
        <v>166</v>
      </c>
      <c r="H50" s="460" t="str">
        <f>CONCATENATE("",E1-1," Ending Cash Balance (est.)")</f>
        <v>2014 Ending Cash Balance (est.)</v>
      </c>
      <c r="I50" s="461"/>
      <c r="J50" s="245"/>
    </row>
    <row r="51" spans="2:10" ht="15">
      <c r="B51" s="16" t="s">
        <v>110</v>
      </c>
      <c r="C51" s="359">
        <f>C27-C50</f>
        <v>349</v>
      </c>
      <c r="D51" s="359">
        <f>SUM(D27-D50)</f>
        <v>166</v>
      </c>
      <c r="E51" s="22" t="s">
        <v>266</v>
      </c>
      <c r="G51" s="459">
        <f>E26</f>
        <v>2792</v>
      </c>
      <c r="H51" s="462" t="str">
        <f>CONCATENATE("",E1," Non-AV Receipts (est.)")</f>
        <v>2015 Non-AV Receipts (est.)</v>
      </c>
      <c r="I51" s="461"/>
      <c r="J51" s="245"/>
    </row>
    <row r="52" spans="2:11" ht="15">
      <c r="B52" s="266" t="str">
        <f>CONCATENATE("",E1-2,"/",E1-1,"/",E1," Budget Authority Amount:")</f>
        <v>2013/2014/2015 Budget Authority Amount:</v>
      </c>
      <c r="C52" s="52">
        <f>inputOth!B46</f>
        <v>22125</v>
      </c>
      <c r="D52" s="52">
        <f>inputPrYr!D16</f>
        <v>22271</v>
      </c>
      <c r="E52" s="21">
        <f>E50</f>
        <v>22871</v>
      </c>
      <c r="F52" s="39"/>
      <c r="G52" s="463">
        <f>IF(D56&gt;0,E55,E57)</f>
        <v>19913</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22871</v>
      </c>
      <c r="H53" s="462" t="str">
        <f>CONCATENATE("Total ",E1," Resources Available")</f>
        <v>Total 2015 Resources Available</v>
      </c>
      <c r="I53" s="461"/>
      <c r="J53" s="245"/>
    </row>
    <row r="54" spans="2:10" ht="15">
      <c r="B54" s="370" t="str">
        <f>CONCATENATE(C72,"     ",D72)</f>
        <v>     </v>
      </c>
      <c r="C54" s="836" t="s">
        <v>588</v>
      </c>
      <c r="D54" s="837"/>
      <c r="E54" s="21">
        <f>E50+E53</f>
        <v>22871</v>
      </c>
      <c r="G54" s="464"/>
      <c r="H54" s="462"/>
      <c r="I54" s="462"/>
      <c r="J54" s="245"/>
    </row>
    <row r="55" spans="2:10" ht="15">
      <c r="B55" s="370" t="str">
        <f>CONCATENATE(C73,"     ",D73)</f>
        <v>     </v>
      </c>
      <c r="C55" s="49"/>
      <c r="D55" s="41" t="s">
        <v>28</v>
      </c>
      <c r="E55" s="35">
        <f>IF(E54-E27&gt;0,E54-E27,0)</f>
        <v>19913</v>
      </c>
      <c r="G55" s="463">
        <f>ROUND(C50*0.05+C50,0)</f>
        <v>23230</v>
      </c>
      <c r="H55" s="462" t="str">
        <f>CONCATENATE("Less ",E1-2," Expenditures + 5%")</f>
        <v>Less 2013 Expenditures + 5%</v>
      </c>
      <c r="I55" s="461"/>
      <c r="J55" s="245"/>
    </row>
    <row r="56" spans="2:10" ht="15">
      <c r="B56" s="41"/>
      <c r="C56" s="374" t="s">
        <v>589</v>
      </c>
      <c r="D56" s="662">
        <f>inputOth!$E$40</f>
        <v>0</v>
      </c>
      <c r="E56" s="21">
        <f>ROUND(IF(D56&gt;0,(E55*D56),0),0)</f>
        <v>0</v>
      </c>
      <c r="G56" s="465">
        <f>G53-G55</f>
        <v>-359</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19913</v>
      </c>
    </row>
    <row r="58" spans="2:10" ht="15">
      <c r="B58" s="3"/>
      <c r="C58" s="3"/>
      <c r="D58" s="3"/>
      <c r="E58" s="3"/>
      <c r="G58" s="841" t="s">
        <v>785</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9.662</v>
      </c>
      <c r="H60" s="460" t="str">
        <f>CONCATENATE("",E1," Fund Mill Rate")</f>
        <v>2015 Fund Mill Rate</v>
      </c>
      <c r="I60" s="664"/>
      <c r="J60" s="676"/>
      <c r="K60" s="5"/>
    </row>
    <row r="61" spans="2:10" ht="15">
      <c r="B61" s="41" t="s">
        <v>9</v>
      </c>
      <c r="C61" s="376">
        <f>IF(inputPrYr!D18&gt;0,7,6)</f>
        <v>6</v>
      </c>
      <c r="D61" s="3"/>
      <c r="E61" s="44"/>
      <c r="G61" s="678">
        <f>summ!F18</f>
        <v>10.222</v>
      </c>
      <c r="H61" s="460" t="str">
        <f>CONCATENATE("",E1-1," Fund Mill Rate")</f>
        <v>2014 Fund Mill Rate</v>
      </c>
      <c r="I61" s="664"/>
      <c r="J61" s="676"/>
    </row>
    <row r="62" spans="7:10" ht="15">
      <c r="G62" s="679">
        <f>summ!I32</f>
        <v>9.662</v>
      </c>
      <c r="H62" s="460" t="str">
        <f>CONCATENATE("Total ",E1," Mill Rate")</f>
        <v>Total 2015 Mill Rate</v>
      </c>
      <c r="I62" s="664"/>
      <c r="J62" s="676"/>
    </row>
    <row r="63" spans="2:10" ht="15">
      <c r="B63" s="1"/>
      <c r="G63" s="678">
        <f>summ!F32</f>
        <v>10.222</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Garfield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9.662</v>
      </c>
      <c r="H45" s="607" t="str">
        <f>CONCATENATE("Total ",E1," Mill Rate")</f>
        <v>Total 2015 Mill Rate</v>
      </c>
      <c r="I45" s="629"/>
      <c r="J45" s="630"/>
    </row>
    <row r="46" spans="2:10" ht="15">
      <c r="B46" s="569" t="s">
        <v>123</v>
      </c>
      <c r="C46" s="574">
        <v>0</v>
      </c>
      <c r="D46" s="571">
        <f>C74</f>
        <v>0</v>
      </c>
      <c r="E46" s="572">
        <f>D74</f>
        <v>0</v>
      </c>
      <c r="F46" s="610"/>
      <c r="G46" s="632">
        <f>summ!F32</f>
        <v>10.222</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9.662</v>
      </c>
      <c r="H85" s="607" t="str">
        <f>CONCATENATE("Total ",E1," Mill Rate")</f>
        <v>Total 2015 Mill Rate</v>
      </c>
      <c r="I85" s="629"/>
      <c r="J85" s="630"/>
    </row>
    <row r="86" spans="7:10" ht="15">
      <c r="G86" s="632">
        <f>summ!F32</f>
        <v>10.222</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C72" sqref="C7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Garfield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588</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785</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v>30545</v>
      </c>
      <c r="D55" s="3"/>
      <c r="E55" s="3"/>
      <c r="G55" s="679">
        <f>summ!I32</f>
        <v>9.662</v>
      </c>
      <c r="H55" s="460" t="str">
        <f>CONCATENATE("Total ",E1," Mill Rate")</f>
        <v>Total 2015 Mill Rate</v>
      </c>
      <c r="I55" s="664"/>
      <c r="J55" s="676"/>
    </row>
    <row r="56" spans="2:10" ht="15">
      <c r="B56" s="61" t="s">
        <v>33</v>
      </c>
      <c r="C56" s="121"/>
      <c r="D56" s="3"/>
      <c r="E56" s="3"/>
      <c r="G56" s="678">
        <f>summ!F32</f>
        <v>10.222</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No</v>
      </c>
    </row>
    <row r="59" spans="2:5" ht="15">
      <c r="B59" s="64" t="s">
        <v>224</v>
      </c>
      <c r="C59" s="373">
        <f>gen!C45</f>
        <v>2000</v>
      </c>
      <c r="D59" s="857"/>
      <c r="E59" s="856"/>
    </row>
    <row r="60" spans="2:5" ht="15">
      <c r="B60" s="65"/>
      <c r="C60" s="119"/>
      <c r="D60" s="3"/>
      <c r="E60" s="3"/>
    </row>
    <row r="61" spans="2:5" ht="15">
      <c r="B61" s="65" t="s">
        <v>22</v>
      </c>
      <c r="C61" s="119">
        <v>107</v>
      </c>
      <c r="D61" s="3"/>
      <c r="E61" s="3"/>
    </row>
    <row r="62" spans="2:5" ht="15">
      <c r="B62" s="65" t="s">
        <v>21</v>
      </c>
      <c r="C62" s="119"/>
      <c r="D62" s="3"/>
      <c r="E62" s="3"/>
    </row>
    <row r="63" spans="2:5" ht="15">
      <c r="B63" s="66" t="s">
        <v>24</v>
      </c>
      <c r="C63" s="121">
        <f>SUM(C55:C62)</f>
        <v>32652</v>
      </c>
      <c r="D63" s="3"/>
      <c r="E63" s="3"/>
    </row>
    <row r="64" spans="2:5" ht="15">
      <c r="B64" s="66" t="s">
        <v>26</v>
      </c>
      <c r="C64" s="119"/>
      <c r="D64" s="3"/>
      <c r="E64" s="3"/>
    </row>
    <row r="65" spans="2:5" ht="15">
      <c r="B65" s="66" t="s">
        <v>27</v>
      </c>
      <c r="C65" s="372">
        <f>SUM(C63-C64)</f>
        <v>32652</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Garfield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9.662</v>
      </c>
      <c r="H45" s="607" t="str">
        <f>CONCATENATE("Total ",E1," Mill Rate")</f>
        <v>Total 2015 Mill Rate</v>
      </c>
      <c r="I45" s="629"/>
      <c r="J45" s="630"/>
      <c r="K45" s="557"/>
    </row>
    <row r="46" spans="2:11" ht="15">
      <c r="B46" s="16" t="s">
        <v>109</v>
      </c>
      <c r="C46" s="18"/>
      <c r="D46" s="364">
        <f>C74</f>
        <v>0</v>
      </c>
      <c r="E46" s="21">
        <f>D74</f>
        <v>0</v>
      </c>
      <c r="G46" s="632">
        <f>summ!F32</f>
        <v>10.222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9.662</v>
      </c>
      <c r="H85" s="607" t="str">
        <f>CONCATENATE("Total ",E1," Mill Rate")</f>
        <v>Total 2015 Mill Rate</v>
      </c>
      <c r="I85" s="629"/>
      <c r="J85" s="630"/>
      <c r="K85" s="557"/>
    </row>
    <row r="86" spans="7:11" ht="15">
      <c r="G86" s="632">
        <f>summ!F32</f>
        <v>10.222</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Garfield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9.662</v>
      </c>
      <c r="H45" s="607" t="str">
        <f>CONCATENATE("Total ",E1," Mill Rate")</f>
        <v>Total 2015 Mill Rate</v>
      </c>
      <c r="I45" s="629"/>
      <c r="J45" s="630"/>
      <c r="K45" s="557"/>
    </row>
    <row r="46" spans="2:11" ht="15">
      <c r="B46" s="16" t="s">
        <v>109</v>
      </c>
      <c r="C46" s="18"/>
      <c r="D46" s="364">
        <f>C74</f>
        <v>0</v>
      </c>
      <c r="E46" s="21">
        <f>D74</f>
        <v>0</v>
      </c>
      <c r="G46" s="632">
        <f>summ!F32</f>
        <v>10.222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9.662</v>
      </c>
      <c r="H85" s="607" t="str">
        <f>CONCATENATE("Total ",E1," Mill Rate")</f>
        <v>Total 2015 Mill Rate</v>
      </c>
      <c r="I85" s="629"/>
      <c r="J85" s="630"/>
      <c r="K85" s="557"/>
    </row>
    <row r="86" spans="7:11" ht="15">
      <c r="G86" s="632">
        <f>summ!F32</f>
        <v>10.222</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Garfield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9.662</v>
      </c>
      <c r="H45" s="607" t="str">
        <f>CONCATENATE("Total ",E1," Mill Rate")</f>
        <v>Total 2015 Mill Rate</v>
      </c>
      <c r="I45" s="629"/>
      <c r="J45" s="630"/>
      <c r="K45" s="557"/>
    </row>
    <row r="46" spans="2:11" ht="15">
      <c r="B46" s="16" t="s">
        <v>109</v>
      </c>
      <c r="C46" s="18"/>
      <c r="D46" s="364">
        <f>C74</f>
        <v>0</v>
      </c>
      <c r="E46" s="21">
        <f>D74</f>
        <v>0</v>
      </c>
      <c r="G46" s="632">
        <f>summ!F32</f>
        <v>10.222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9.662</v>
      </c>
      <c r="H85" s="607" t="str">
        <f>CONCATENATE("Total ",E1," Mill Rate")</f>
        <v>Total 2015 Mill Rate</v>
      </c>
      <c r="I85" s="629"/>
      <c r="J85" s="630"/>
      <c r="K85" s="557"/>
    </row>
    <row r="86" spans="7:11" ht="15">
      <c r="G86" s="632">
        <f>summ!F32</f>
        <v>10.222</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Garfield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Garfield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6">
      <selection activeCell="E57" sqref="E57"/>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22271</v>
      </c>
      <c r="E16" s="176">
        <v>19186</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19186</v>
      </c>
    </row>
    <row r="27" spans="1:5" ht="1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22271</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10.785</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10.785</v>
      </c>
      <c r="E52" s="3"/>
    </row>
    <row r="53" spans="1:5" ht="15.75" thickTop="1">
      <c r="A53" s="3"/>
      <c r="B53" s="3"/>
      <c r="C53" s="3"/>
      <c r="D53" s="3"/>
      <c r="E53" s="3"/>
    </row>
    <row r="54" spans="1:5" ht="15">
      <c r="A54" s="307" t="str">
        <f>CONCATENATE("Total Tax Levied (",D5-2," budget column)")</f>
        <v>Total Tax Levied (2013 budget column)</v>
      </c>
      <c r="B54" s="308"/>
      <c r="C54" s="9"/>
      <c r="D54" s="247"/>
      <c r="E54" s="176">
        <v>19023</v>
      </c>
    </row>
    <row r="55" spans="1:5" ht="15">
      <c r="A55" s="309" t="str">
        <f>CONCATENATE("Assessed Valuation (",D5-2," budget column)")</f>
        <v>Assessed Valuation (2013 budget column)</v>
      </c>
      <c r="B55" s="310"/>
      <c r="C55" s="255"/>
      <c r="D55" s="17"/>
      <c r="E55" s="176">
        <v>1749319</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
      <c r="A3" s="154"/>
    </row>
    <row r="4" ht="56.25" customHeight="1">
      <c r="A4" s="153" t="s">
        <v>318</v>
      </c>
    </row>
    <row r="5" ht="15">
      <c r="A5" s="69"/>
    </row>
    <row r="6" ht="50.25" customHeight="1">
      <c r="A6" s="153" t="s">
        <v>319</v>
      </c>
    </row>
    <row r="7" ht="16.5" customHeight="1">
      <c r="A7" s="153"/>
    </row>
    <row r="8" ht="50.25" customHeight="1">
      <c r="A8" s="456" t="s">
        <v>678</v>
      </c>
    </row>
    <row r="9" ht="15">
      <c r="A9" s="154"/>
    </row>
    <row r="10" ht="40.5" customHeight="1">
      <c r="A10" s="153" t="s">
        <v>320</v>
      </c>
    </row>
    <row r="11" ht="15">
      <c r="A11" s="69"/>
    </row>
    <row r="12" ht="40.5" customHeight="1">
      <c r="A12" s="153" t="s">
        <v>321</v>
      </c>
    </row>
    <row r="13" ht="15">
      <c r="A13" s="154"/>
    </row>
    <row r="14" ht="71.25" customHeight="1">
      <c r="A14" s="153" t="s">
        <v>322</v>
      </c>
    </row>
    <row r="15" ht="15">
      <c r="A15" s="154"/>
    </row>
    <row r="16" ht="40.5" customHeight="1">
      <c r="A16" s="153" t="s">
        <v>323</v>
      </c>
    </row>
    <row r="17" ht="15">
      <c r="A17" s="69"/>
    </row>
    <row r="18" ht="49.5" customHeight="1">
      <c r="A18" s="153" t="s">
        <v>324</v>
      </c>
    </row>
    <row r="19" ht="15">
      <c r="A19" s="154"/>
    </row>
    <row r="20" ht="52.5" customHeight="1">
      <c r="A20" s="153" t="s">
        <v>325</v>
      </c>
    </row>
    <row r="21" ht="15">
      <c r="A21" s="154"/>
    </row>
    <row r="22" ht="48.75" customHeight="1">
      <c r="A22" s="153" t="s">
        <v>326</v>
      </c>
    </row>
    <row r="23" ht="15">
      <c r="A23" s="154"/>
    </row>
    <row r="24" ht="1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797"/>
      <c r="D2" s="797"/>
      <c r="E2" s="797"/>
      <c r="F2" s="797"/>
      <c r="G2" s="797"/>
      <c r="H2" s="797"/>
      <c r="I2" s="797"/>
    </row>
    <row r="3" spans="2:9" ht="15">
      <c r="B3" s="3"/>
      <c r="C3" s="3"/>
      <c r="D3" s="3"/>
      <c r="E3" s="3"/>
      <c r="F3" s="3"/>
      <c r="G3" s="11" t="s">
        <v>37</v>
      </c>
      <c r="H3" s="11" t="s">
        <v>38</v>
      </c>
      <c r="I3" s="3"/>
    </row>
    <row r="4" spans="2:9" ht="15">
      <c r="B4" s="807" t="s">
        <v>39</v>
      </c>
      <c r="C4" s="807"/>
      <c r="D4" s="807"/>
      <c r="E4" s="807"/>
      <c r="F4" s="807"/>
      <c r="G4" s="807"/>
      <c r="H4" s="807"/>
      <c r="I4" s="807"/>
    </row>
    <row r="5" spans="2:9" ht="15">
      <c r="B5" s="816" t="str">
        <f>inputPrYr!D2</f>
        <v>Garfield Township</v>
      </c>
      <c r="C5" s="816"/>
      <c r="D5" s="816"/>
      <c r="E5" s="816"/>
      <c r="F5" s="816"/>
      <c r="G5" s="816"/>
      <c r="H5" s="816"/>
      <c r="I5" s="816"/>
    </row>
    <row r="6" spans="2:9" ht="15">
      <c r="B6" s="816" t="str">
        <f>inputPrYr!D3</f>
        <v>Ellsworth County</v>
      </c>
      <c r="C6" s="816"/>
      <c r="D6" s="816"/>
      <c r="E6" s="816"/>
      <c r="F6" s="816"/>
      <c r="G6" s="816"/>
      <c r="H6" s="816"/>
      <c r="I6" s="816"/>
    </row>
    <row r="7" spans="2:9" ht="15">
      <c r="B7" s="807" t="str">
        <f>CONCATENATE("will meet on ",inputBudSum!B8," at ",inputBudSum!B10," at ",inputBudSum!B12," for the purpose of hearing and")</f>
        <v>will meet on August 7, 2014 at 7:00 p.m. at Karen Grothusen Residence for the purpose of hearing and</v>
      </c>
      <c r="C7" s="807"/>
      <c r="D7" s="807"/>
      <c r="E7" s="807"/>
      <c r="F7" s="807"/>
      <c r="G7" s="807"/>
      <c r="H7" s="807"/>
      <c r="I7" s="807"/>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22124</v>
      </c>
      <c r="D18" s="499">
        <f>IF(inputPrYr!D42&gt;0,inputPrYr!D42,"  ")</f>
        <v>10.785</v>
      </c>
      <c r="E18" s="21">
        <f>IF(gen!$D$50&lt;&gt;0,gen!$D$50,"  ")</f>
        <v>22271</v>
      </c>
      <c r="F18" s="224">
        <f>IF(inputOth!D17&gt;0,inputOth!D17,"  ")</f>
        <v>10.222</v>
      </c>
      <c r="G18" s="21">
        <f>IF(gen!$E$50&lt;&gt;0,gen!$E$50,"  ")</f>
        <v>22871</v>
      </c>
      <c r="H18" s="21">
        <f>IF(gen!$E$57&lt;&gt;0,gen!$E$57," ")</f>
        <v>19913</v>
      </c>
      <c r="I18" s="501">
        <f>IF(gen!E57&gt;0,ROUND(H18/$G$37*1000,3)," ")</f>
        <v>9.662</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2061</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10.222</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1154</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22124</v>
      </c>
      <c r="D32" s="453">
        <f t="shared" si="0"/>
        <v>10.785</v>
      </c>
      <c r="E32" s="502">
        <f t="shared" si="0"/>
        <v>22271</v>
      </c>
      <c r="F32" s="453">
        <f t="shared" si="0"/>
        <v>10.222</v>
      </c>
      <c r="G32" s="502">
        <f t="shared" si="0"/>
        <v>22871</v>
      </c>
      <c r="H32" s="502">
        <f t="shared" si="0"/>
        <v>19913</v>
      </c>
      <c r="I32" s="505">
        <f t="shared" si="0"/>
        <v>9.662</v>
      </c>
      <c r="K32" s="864" t="str">
        <f>CONCATENATE("Impact On Keeping The Same Mill Rate As For ",I1-1,"")</f>
        <v>Impact On Keeping The Same Mill Rate As For 2014</v>
      </c>
      <c r="L32" s="865"/>
      <c r="M32" s="865"/>
      <c r="N32" s="866"/>
    </row>
    <row r="33" spans="2:14" ht="15">
      <c r="B33" s="261" t="s">
        <v>44</v>
      </c>
      <c r="C33" s="21">
        <f>transfer!C29</f>
        <v>2000</v>
      </c>
      <c r="D33" s="3"/>
      <c r="E33" s="21">
        <f>transfer!D29</f>
        <v>0</v>
      </c>
      <c r="F33" s="50"/>
      <c r="G33" s="21">
        <f>transfer!E29</f>
        <v>0</v>
      </c>
      <c r="H33" s="3"/>
      <c r="I33" s="3"/>
      <c r="K33" s="482"/>
      <c r="L33" s="476"/>
      <c r="M33" s="476"/>
      <c r="N33" s="483"/>
    </row>
    <row r="34" spans="2:14" ht="15.75" thickBot="1">
      <c r="B34" s="261" t="s">
        <v>45</v>
      </c>
      <c r="C34" s="503">
        <f>C32-C33</f>
        <v>20124</v>
      </c>
      <c r="D34" s="3"/>
      <c r="E34" s="503">
        <f>E32-E33</f>
        <v>22271</v>
      </c>
      <c r="F34" s="3"/>
      <c r="G34" s="503">
        <f>G32-G33</f>
        <v>22871</v>
      </c>
      <c r="H34" s="3"/>
      <c r="I34" s="3"/>
      <c r="K34" s="482" t="str">
        <f>CONCATENATE("",I1," Ad Valorem Tax Revenue:")</f>
        <v>2015 Ad Valorem Tax Revenue:</v>
      </c>
      <c r="L34" s="476"/>
      <c r="M34" s="476"/>
      <c r="N34" s="477">
        <f>H32</f>
        <v>19913</v>
      </c>
    </row>
    <row r="35" spans="2:14" ht="15.75" thickTop="1">
      <c r="B35" s="261" t="s">
        <v>46</v>
      </c>
      <c r="C35" s="504">
        <f>inputPrYr!E54</f>
        <v>19023</v>
      </c>
      <c r="D35" s="50"/>
      <c r="E35" s="504">
        <f>inputPrYr!E26</f>
        <v>19186</v>
      </c>
      <c r="F35" s="3"/>
      <c r="G35" s="495" t="s">
        <v>266</v>
      </c>
      <c r="H35" s="3"/>
      <c r="I35" s="3"/>
      <c r="K35" s="482" t="str">
        <f>CONCATENATE("",I1-1," Ad Valorem Tax Revenue:")</f>
        <v>2014 Ad Valorem Tax Revenue:</v>
      </c>
      <c r="L35" s="476"/>
      <c r="M35" s="476"/>
      <c r="N35" s="490">
        <f>ROUND(G37*N27/1000,0)</f>
        <v>21067</v>
      </c>
    </row>
    <row r="36" spans="2:14" ht="15">
      <c r="B36" s="261" t="s">
        <v>47</v>
      </c>
      <c r="C36" s="44"/>
      <c r="D36" s="50"/>
      <c r="E36" s="44"/>
      <c r="F36" s="50"/>
      <c r="G36" s="3"/>
      <c r="H36" s="3"/>
      <c r="I36" s="3"/>
      <c r="K36" s="487" t="s">
        <v>682</v>
      </c>
      <c r="L36" s="488"/>
      <c r="M36" s="488"/>
      <c r="N36" s="480">
        <f>N34-N35</f>
        <v>-1154</v>
      </c>
    </row>
    <row r="37" spans="2:14" ht="15">
      <c r="B37" s="261" t="s">
        <v>48</v>
      </c>
      <c r="C37" s="21">
        <f>inputPrYr!E55</f>
        <v>1749319</v>
      </c>
      <c r="D37" s="3"/>
      <c r="E37" s="21">
        <f>inputOth!E29</f>
        <v>1876900</v>
      </c>
      <c r="F37" s="3"/>
      <c r="G37" s="21">
        <f>inputOth!E7</f>
        <v>2060956</v>
      </c>
      <c r="H37" s="3"/>
      <c r="I37" s="3"/>
      <c r="K37" s="481"/>
      <c r="L37" s="481"/>
      <c r="M37" s="481"/>
      <c r="N37" s="489"/>
    </row>
    <row r="38" spans="2:14" ht="1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9.662</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Garfield Township</v>
      </c>
      <c r="C46" s="863"/>
      <c r="D46" s="3"/>
      <c r="E46" s="3"/>
      <c r="F46" s="3"/>
      <c r="G46" s="3"/>
      <c r="H46" s="3"/>
      <c r="I46" s="3"/>
    </row>
    <row r="47" spans="2:9" ht="15">
      <c r="B47" s="861" t="str">
        <f>inputBudSum!B6</f>
        <v>Karen Grothusen, Treasurer</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Garfield Township</v>
      </c>
      <c r="B1" s="3"/>
      <c r="C1" s="3"/>
      <c r="D1" s="3"/>
      <c r="E1" s="3"/>
      <c r="F1" s="3">
        <f>inputPrYr!D5</f>
        <v>2015</v>
      </c>
    </row>
    <row r="2" spans="1:6" ht="15">
      <c r="A2" s="3"/>
      <c r="B2" s="3"/>
      <c r="C2" s="3"/>
      <c r="D2" s="3"/>
      <c r="E2" s="3"/>
      <c r="F2" s="3"/>
    </row>
    <row r="3" spans="1:6" ht="15">
      <c r="A3" s="3"/>
      <c r="B3" s="798" t="str">
        <f>CONCATENATE("",F1," Neighborhood Revitalization Rebate")</f>
        <v>2015 Neighborhood Revitalization Rebate</v>
      </c>
      <c r="C3" s="806"/>
      <c r="D3" s="806"/>
      <c r="E3" s="806"/>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188</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2060956</v>
      </c>
      <c r="E19" s="3"/>
      <c r="F19" s="118"/>
    </row>
    <row r="20" spans="1:6" ht="15">
      <c r="A20" s="3"/>
      <c r="B20" s="3"/>
      <c r="C20" s="3"/>
      <c r="D20" s="3"/>
      <c r="E20" s="3"/>
      <c r="F20" s="118"/>
    </row>
    <row r="21" spans="1:6" ht="15">
      <c r="A21" s="3"/>
      <c r="B21" s="875" t="s">
        <v>338</v>
      </c>
      <c r="C21" s="875"/>
      <c r="D21" s="126">
        <f>IF(D19&gt;0,(D19*0.001),"")</f>
        <v>2060.956</v>
      </c>
      <c r="E21" s="3"/>
      <c r="F21" s="118"/>
    </row>
    <row r="22" spans="1:6" ht="15">
      <c r="A22" s="3"/>
      <c r="B22" s="37"/>
      <c r="C22" s="37"/>
      <c r="D22" s="127"/>
      <c r="E22" s="3"/>
      <c r="F22" s="118"/>
    </row>
    <row r="23" spans="1:6" ht="15">
      <c r="A23" s="873" t="s">
        <v>340</v>
      </c>
      <c r="B23" s="797"/>
      <c r="C23" s="797"/>
      <c r="D23" s="128">
        <f>inputOth!E13</f>
        <v>0</v>
      </c>
      <c r="E23" s="129"/>
      <c r="F23" s="129"/>
    </row>
    <row r="24" spans="1:6" ht="15">
      <c r="A24" s="129"/>
      <c r="B24" s="129"/>
      <c r="C24" s="129"/>
      <c r="D24" s="130"/>
      <c r="E24" s="129"/>
      <c r="F24" s="129"/>
    </row>
    <row r="25" spans="1:6" ht="15">
      <c r="A25" s="129"/>
      <c r="B25" s="873" t="s">
        <v>341</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571</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913</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Garfield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914</v>
      </c>
      <c r="D4" s="886"/>
      <c r="E4" s="886"/>
      <c r="F4" s="886"/>
      <c r="G4" s="886"/>
      <c r="H4" s="887"/>
    </row>
    <row r="5" spans="3:8" ht="15.75" thickBot="1">
      <c r="C5" s="766"/>
      <c r="D5" s="766"/>
      <c r="E5" s="766"/>
      <c r="F5" s="766"/>
      <c r="G5" s="766"/>
      <c r="H5" s="766"/>
    </row>
    <row r="6" spans="3:8" ht="15">
      <c r="C6" s="882" t="str">
        <f>CONCATENATE("Notice of Vote - ",inputPrYr!D2)</f>
        <v>Notice of Vote - Garfield Township</v>
      </c>
      <c r="D6" s="883"/>
      <c r="E6" s="883"/>
      <c r="F6" s="883"/>
      <c r="G6" s="883"/>
      <c r="H6" s="884"/>
    </row>
    <row r="7" spans="3:8" ht="15">
      <c r="C7" s="888" t="s">
        <v>915</v>
      </c>
      <c r="D7" s="889"/>
      <c r="E7" s="889"/>
      <c r="F7" s="889"/>
      <c r="G7" s="889"/>
      <c r="H7" s="890"/>
    </row>
    <row r="8" spans="3:8" ht="15">
      <c r="C8" s="888" t="s">
        <v>916</v>
      </c>
      <c r="D8" s="889"/>
      <c r="E8" s="889"/>
      <c r="F8" s="889"/>
      <c r="G8" s="889"/>
      <c r="H8" s="890"/>
    </row>
    <row r="9" spans="3:8" ht="15">
      <c r="C9" s="769" t="str">
        <f>CONCATENATE(H2-1," Budget")</f>
        <v>2014 Budget</v>
      </c>
      <c r="D9" s="773" t="s">
        <v>2</v>
      </c>
      <c r="E9" s="775">
        <f>inputPrYr!E26</f>
        <v>19186</v>
      </c>
      <c r="F9" s="767"/>
      <c r="G9" s="767"/>
      <c r="H9" s="768"/>
    </row>
    <row r="10" spans="3:8" ht="15">
      <c r="C10" s="769" t="str">
        <f>CONCATENATE(H2," Budget")</f>
        <v>2015 Budget</v>
      </c>
      <c r="D10" s="773" t="s">
        <v>2</v>
      </c>
      <c r="E10" s="776">
        <f>cert!F35</f>
        <v>19913</v>
      </c>
      <c r="F10" s="767"/>
      <c r="G10" s="767"/>
      <c r="H10" s="768"/>
    </row>
    <row r="11" spans="3:8" ht="15">
      <c r="C11" s="769"/>
      <c r="D11" s="767"/>
      <c r="E11" s="767" t="s">
        <v>917</v>
      </c>
      <c r="F11" s="777"/>
      <c r="G11" s="772" t="s">
        <v>918</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354</v>
      </c>
      <c r="B3" s="334"/>
      <c r="C3" s="334"/>
      <c r="D3" s="334"/>
      <c r="E3" s="334"/>
      <c r="F3" s="334"/>
      <c r="G3" s="334"/>
      <c r="H3" s="334"/>
      <c r="I3" s="334"/>
      <c r="J3" s="334"/>
      <c r="K3" s="334"/>
      <c r="L3" s="334"/>
    </row>
    <row r="5" ht="15">
      <c r="A5" s="333" t="s">
        <v>355</v>
      </c>
    </row>
    <row r="6" ht="15">
      <c r="A6" s="333" t="str">
        <f>CONCATENATE(inputPrYr!D5-2," 'total expenditures' exceed your ",inputPrYr!D5-2," 'budget authority.'")</f>
        <v>2013 'total expenditures' exceed your 2013 'budget authority.'</v>
      </c>
    </row>
    <row r="7" ht="15">
      <c r="A7" s="333"/>
    </row>
    <row r="8" ht="15">
      <c r="A8" s="333" t="s">
        <v>356</v>
      </c>
    </row>
    <row r="9" ht="15">
      <c r="A9" s="333" t="s">
        <v>357</v>
      </c>
    </row>
    <row r="10" ht="15">
      <c r="A10" s="333" t="s">
        <v>358</v>
      </c>
    </row>
    <row r="11" ht="15">
      <c r="A11" s="333"/>
    </row>
    <row r="12" ht="15">
      <c r="A12" s="333"/>
    </row>
    <row r="13" ht="15">
      <c r="A13" s="332" t="s">
        <v>359</v>
      </c>
    </row>
    <row r="15" ht="15">
      <c r="A15" s="333" t="s">
        <v>360</v>
      </c>
    </row>
    <row r="16" ht="15">
      <c r="A16" s="333" t="str">
        <f>CONCATENATE("(i.e. an audit has not been completed, or the ",inputPrYr!D5," adopted")</f>
        <v>(i.e. an audit has not been completed, or the 2015 adopted</v>
      </c>
    </row>
    <row r="17" ht="15">
      <c r="A17" s="333" t="s">
        <v>361</v>
      </c>
    </row>
    <row r="18" ht="15">
      <c r="A18" s="333" t="s">
        <v>362</v>
      </c>
    </row>
    <row r="19" ht="15">
      <c r="A19" s="333" t="s">
        <v>363</v>
      </c>
    </row>
    <row r="21" ht="15">
      <c r="A21" s="332" t="s">
        <v>364</v>
      </c>
    </row>
    <row r="22" ht="15">
      <c r="A22" s="332"/>
    </row>
    <row r="23" ht="15">
      <c r="A23" s="333" t="s">
        <v>365</v>
      </c>
    </row>
    <row r="24" ht="15">
      <c r="A24" s="333" t="s">
        <v>366</v>
      </c>
    </row>
    <row r="25" ht="15">
      <c r="A25" s="333" t="str">
        <f>CONCATENATE("particular fund.  If your ",inputPrYr!D5-2," budget was amended, did you")</f>
        <v>particular fund.  If your 2013 budget was amended, did you</v>
      </c>
    </row>
    <row r="26" ht="15">
      <c r="A26" s="333" t="s">
        <v>367</v>
      </c>
    </row>
    <row r="27" ht="15">
      <c r="A27" s="333"/>
    </row>
    <row r="28" ht="15">
      <c r="A28" s="333" t="str">
        <f>CONCATENATE("Next, look to see if any of your ",inputPrYr!D5-2," expenditures can be")</f>
        <v>Next, look to see if any of your 2013 expenditures can be</v>
      </c>
    </row>
    <row r="29" ht="15">
      <c r="A29" s="333" t="s">
        <v>368</v>
      </c>
    </row>
    <row r="30" ht="15">
      <c r="A30" s="333" t="s">
        <v>369</v>
      </c>
    </row>
    <row r="31" ht="15">
      <c r="A31" s="333" t="s">
        <v>370</v>
      </c>
    </row>
    <row r="32" ht="15">
      <c r="A32" s="333"/>
    </row>
    <row r="33" ht="15">
      <c r="A33" s="333" t="str">
        <f>CONCATENATE("Additionally, do your ",inputPrYr!D5-2," receipts contain a reimbursement")</f>
        <v>Additionally, do your 2013 receipts contain a reimbursement</v>
      </c>
    </row>
    <row r="34" ht="15">
      <c r="A34" s="333" t="s">
        <v>371</v>
      </c>
    </row>
    <row r="35" ht="15">
      <c r="A35" s="333" t="s">
        <v>372</v>
      </c>
    </row>
    <row r="36" ht="15">
      <c r="A36" s="333"/>
    </row>
    <row r="37" ht="15">
      <c r="A37" s="333" t="s">
        <v>373</v>
      </c>
    </row>
    <row r="38" ht="15">
      <c r="A38" s="333" t="s">
        <v>559</v>
      </c>
    </row>
    <row r="39" ht="15">
      <c r="A39" s="333" t="s">
        <v>560</v>
      </c>
    </row>
    <row r="40" ht="15">
      <c r="A40" s="333" t="s">
        <v>374</v>
      </c>
    </row>
    <row r="41" ht="15">
      <c r="A41" s="333" t="s">
        <v>375</v>
      </c>
    </row>
    <row r="42" ht="15">
      <c r="A42" s="333" t="s">
        <v>376</v>
      </c>
    </row>
    <row r="43" ht="15">
      <c r="A43" s="333" t="s">
        <v>377</v>
      </c>
    </row>
    <row r="44" ht="15">
      <c r="A44" s="333" t="s">
        <v>378</v>
      </c>
    </row>
    <row r="45" ht="15">
      <c r="A45" s="333"/>
    </row>
    <row r="46" ht="15">
      <c r="A46" s="333" t="s">
        <v>379</v>
      </c>
    </row>
    <row r="47" ht="15">
      <c r="A47" s="333" t="s">
        <v>380</v>
      </c>
    </row>
    <row r="48" ht="15">
      <c r="A48" s="333" t="s">
        <v>381</v>
      </c>
    </row>
    <row r="49" ht="15">
      <c r="A49" s="333"/>
    </row>
    <row r="50" ht="15">
      <c r="A50" s="333" t="s">
        <v>382</v>
      </c>
    </row>
    <row r="51" ht="15">
      <c r="A51" s="333" t="s">
        <v>383</v>
      </c>
    </row>
    <row r="52" ht="15">
      <c r="A52" s="333" t="s">
        <v>384</v>
      </c>
    </row>
    <row r="53" ht="15">
      <c r="A53" s="333"/>
    </row>
    <row r="54" ht="15">
      <c r="A54" s="332" t="s">
        <v>385</v>
      </c>
    </row>
    <row r="55" ht="15">
      <c r="A55" s="333"/>
    </row>
    <row r="56" ht="15">
      <c r="A56" s="333" t="s">
        <v>386</v>
      </c>
    </row>
    <row r="57" ht="15">
      <c r="A57" s="333" t="s">
        <v>387</v>
      </c>
    </row>
    <row r="58" ht="15">
      <c r="A58" s="333" t="s">
        <v>388</v>
      </c>
    </row>
    <row r="59" ht="15">
      <c r="A59" s="333" t="s">
        <v>389</v>
      </c>
    </row>
    <row r="60" ht="15">
      <c r="A60" s="333" t="s">
        <v>390</v>
      </c>
    </row>
    <row r="61" ht="15">
      <c r="A61" s="333" t="s">
        <v>391</v>
      </c>
    </row>
    <row r="62" ht="15">
      <c r="A62" s="333" t="s">
        <v>392</v>
      </c>
    </row>
    <row r="63" ht="15">
      <c r="A63" s="333" t="s">
        <v>393</v>
      </c>
    </row>
    <row r="64" ht="15">
      <c r="A64" s="333" t="s">
        <v>394</v>
      </c>
    </row>
    <row r="65" ht="15">
      <c r="A65" s="333" t="s">
        <v>395</v>
      </c>
    </row>
    <row r="66" ht="15">
      <c r="A66" s="333" t="s">
        <v>396</v>
      </c>
    </row>
    <row r="67" ht="15">
      <c r="A67" s="333" t="s">
        <v>397</v>
      </c>
    </row>
    <row r="68" ht="15">
      <c r="A68" s="333" t="s">
        <v>398</v>
      </c>
    </row>
    <row r="69" ht="15">
      <c r="A69" s="333"/>
    </row>
    <row r="70" ht="15">
      <c r="A70" s="333" t="s">
        <v>399</v>
      </c>
    </row>
    <row r="71" ht="15">
      <c r="A71" s="333" t="s">
        <v>400</v>
      </c>
    </row>
    <row r="72" ht="15">
      <c r="A72" s="333" t="s">
        <v>401</v>
      </c>
    </row>
    <row r="73" ht="15">
      <c r="A73" s="333"/>
    </row>
    <row r="74" ht="15">
      <c r="A74" s="332" t="str">
        <f>CONCATENATE("What if the ",inputPrYr!D5-2," financial records have been closed?")</f>
        <v>What if the 2013 financial records have been closed?</v>
      </c>
    </row>
    <row r="76" ht="15">
      <c r="A76" s="333" t="s">
        <v>402</v>
      </c>
    </row>
    <row r="77" ht="15">
      <c r="A77" s="333" t="str">
        <f>CONCATENATE("(i.e. an audit for ",inputPrYr!D5-2," has been completed, or the ",inputPrYr!D5)</f>
        <v>(i.e. an audit for 2013 has been completed, or the 2015</v>
      </c>
    </row>
    <row r="78" ht="15">
      <c r="A78" s="333" t="s">
        <v>403</v>
      </c>
    </row>
    <row r="79" ht="15">
      <c r="A79" s="333" t="s">
        <v>404</v>
      </c>
    </row>
    <row r="80" ht="15">
      <c r="A80" s="333"/>
    </row>
    <row r="81" ht="15">
      <c r="A81" s="333" t="s">
        <v>405</v>
      </c>
    </row>
    <row r="82" ht="15">
      <c r="A82" s="333" t="s">
        <v>406</v>
      </c>
    </row>
    <row r="83" ht="15">
      <c r="A83" s="333" t="s">
        <v>407</v>
      </c>
    </row>
    <row r="84" ht="15">
      <c r="A84" s="333"/>
    </row>
    <row r="85" ht="1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409</v>
      </c>
      <c r="B3" s="334"/>
      <c r="C3" s="334"/>
      <c r="D3" s="334"/>
      <c r="E3" s="334"/>
      <c r="F3" s="334"/>
      <c r="G3" s="334"/>
      <c r="H3" s="331"/>
      <c r="I3" s="331"/>
      <c r="J3" s="331"/>
    </row>
    <row r="5" ht="15">
      <c r="A5" s="333" t="s">
        <v>410</v>
      </c>
    </row>
    <row r="6" ht="15">
      <c r="A6" t="str">
        <f>CONCATENATE(inputPrYr!D5-2," expenditures show that you finished the year with a ")</f>
        <v>2013 expenditures show that you finished the year with a </v>
      </c>
    </row>
    <row r="7" ht="15">
      <c r="A7" t="s">
        <v>411</v>
      </c>
    </row>
    <row r="9" ht="15">
      <c r="A9" t="s">
        <v>412</v>
      </c>
    </row>
    <row r="10" ht="15">
      <c r="A10" t="s">
        <v>413</v>
      </c>
    </row>
    <row r="11" ht="15">
      <c r="A11" t="s">
        <v>414</v>
      </c>
    </row>
    <row r="13" ht="15">
      <c r="A13" s="332" t="s">
        <v>415</v>
      </c>
    </row>
    <row r="14" ht="15">
      <c r="A14" s="332"/>
    </row>
    <row r="15" ht="15">
      <c r="A15" s="333" t="s">
        <v>416</v>
      </c>
    </row>
    <row r="16" ht="15">
      <c r="A16" s="333" t="s">
        <v>417</v>
      </c>
    </row>
    <row r="17" ht="15">
      <c r="A17" s="333" t="s">
        <v>418</v>
      </c>
    </row>
    <row r="18" ht="15">
      <c r="A18" s="333"/>
    </row>
    <row r="19" ht="15">
      <c r="A19" s="332" t="s">
        <v>419</v>
      </c>
    </row>
    <row r="20" ht="15">
      <c r="A20" s="332"/>
    </row>
    <row r="21" ht="15">
      <c r="A21" s="333" t="s">
        <v>420</v>
      </c>
    </row>
    <row r="22" ht="15">
      <c r="A22" s="333" t="s">
        <v>421</v>
      </c>
    </row>
    <row r="23" ht="15">
      <c r="A23" s="333" t="s">
        <v>422</v>
      </c>
    </row>
    <row r="24" ht="15">
      <c r="A24" s="333"/>
    </row>
    <row r="25" ht="15">
      <c r="A25" s="332" t="s">
        <v>423</v>
      </c>
    </row>
    <row r="26" ht="15">
      <c r="A26" s="332"/>
    </row>
    <row r="27" ht="15">
      <c r="A27" s="333" t="s">
        <v>424</v>
      </c>
    </row>
    <row r="28" ht="15">
      <c r="A28" s="333" t="s">
        <v>425</v>
      </c>
    </row>
    <row r="29" ht="15">
      <c r="A29" s="333" t="s">
        <v>426</v>
      </c>
    </row>
    <row r="30" ht="15">
      <c r="A30" s="333"/>
    </row>
    <row r="31" ht="15">
      <c r="A31" s="332" t="s">
        <v>427</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428</v>
      </c>
      <c r="B35" s="333"/>
      <c r="C35" s="333"/>
      <c r="D35" s="333"/>
      <c r="E35" s="333"/>
      <c r="F35" s="333"/>
      <c r="G35" s="333"/>
      <c r="H35" s="333"/>
    </row>
    <row r="36" spans="1:8" ht="15">
      <c r="A36" s="333" t="s">
        <v>429</v>
      </c>
      <c r="B36" s="333"/>
      <c r="C36" s="333"/>
      <c r="D36" s="333"/>
      <c r="E36" s="333"/>
      <c r="F36" s="333"/>
      <c r="G36" s="333"/>
      <c r="H36" s="333"/>
    </row>
    <row r="37" spans="1:8" ht="15">
      <c r="A37" s="333" t="s">
        <v>430</v>
      </c>
      <c r="B37" s="333"/>
      <c r="C37" s="333"/>
      <c r="D37" s="333"/>
      <c r="E37" s="333"/>
      <c r="F37" s="333"/>
      <c r="G37" s="333"/>
      <c r="H37" s="333"/>
    </row>
    <row r="38" spans="1:8" ht="15">
      <c r="A38" s="333" t="s">
        <v>431</v>
      </c>
      <c r="B38" s="333"/>
      <c r="C38" s="333"/>
      <c r="D38" s="333"/>
      <c r="E38" s="333"/>
      <c r="F38" s="333"/>
      <c r="G38" s="333"/>
      <c r="H38" s="333"/>
    </row>
    <row r="39" spans="1:8" ht="15">
      <c r="A39" s="333" t="s">
        <v>432</v>
      </c>
      <c r="B39" s="333"/>
      <c r="C39" s="333"/>
      <c r="D39" s="333"/>
      <c r="E39" s="333"/>
      <c r="F39" s="333"/>
      <c r="G39" s="333"/>
      <c r="H39" s="333"/>
    </row>
    <row r="40" spans="1:8" ht="15">
      <c r="A40" s="333"/>
      <c r="B40" s="333"/>
      <c r="C40" s="333"/>
      <c r="D40" s="333"/>
      <c r="E40" s="333"/>
      <c r="F40" s="333"/>
      <c r="G40" s="333"/>
      <c r="H40" s="333"/>
    </row>
    <row r="41" spans="1:8" ht="15">
      <c r="A41" s="333" t="s">
        <v>433</v>
      </c>
      <c r="B41" s="333"/>
      <c r="C41" s="333"/>
      <c r="D41" s="333"/>
      <c r="E41" s="333"/>
      <c r="F41" s="333"/>
      <c r="G41" s="333"/>
      <c r="H41" s="333"/>
    </row>
    <row r="42" spans="1:8" ht="15">
      <c r="A42" s="333" t="s">
        <v>434</v>
      </c>
      <c r="B42" s="333"/>
      <c r="C42" s="333"/>
      <c r="D42" s="333"/>
      <c r="E42" s="333"/>
      <c r="F42" s="333"/>
      <c r="G42" s="333"/>
      <c r="H42" s="333"/>
    </row>
    <row r="43" spans="1:8" ht="15">
      <c r="A43" s="333" t="s">
        <v>435</v>
      </c>
      <c r="B43" s="333"/>
      <c r="C43" s="333"/>
      <c r="D43" s="333"/>
      <c r="E43" s="333"/>
      <c r="F43" s="333"/>
      <c r="G43" s="333"/>
      <c r="H43" s="333"/>
    </row>
    <row r="44" spans="1:8" ht="15">
      <c r="A44" s="333" t="s">
        <v>436</v>
      </c>
      <c r="B44" s="333"/>
      <c r="C44" s="333"/>
      <c r="D44" s="333"/>
      <c r="E44" s="333"/>
      <c r="F44" s="333"/>
      <c r="G44" s="333"/>
      <c r="H44" s="333"/>
    </row>
    <row r="45" spans="1:8" ht="15">
      <c r="A45" s="333"/>
      <c r="B45" s="333"/>
      <c r="C45" s="333"/>
      <c r="D45" s="333"/>
      <c r="E45" s="333"/>
      <c r="F45" s="333"/>
      <c r="G45" s="333"/>
      <c r="H45" s="333"/>
    </row>
    <row r="46" spans="1:8" ht="15">
      <c r="A46" s="333" t="s">
        <v>437</v>
      </c>
      <c r="B46" s="333"/>
      <c r="C46" s="333"/>
      <c r="D46" s="333"/>
      <c r="E46" s="333"/>
      <c r="F46" s="333"/>
      <c r="G46" s="333"/>
      <c r="H46" s="333"/>
    </row>
    <row r="47" spans="1:8" ht="15">
      <c r="A47" s="333" t="s">
        <v>438</v>
      </c>
      <c r="B47" s="333"/>
      <c r="C47" s="333"/>
      <c r="D47" s="333"/>
      <c r="E47" s="333"/>
      <c r="F47" s="333"/>
      <c r="G47" s="333"/>
      <c r="H47" s="333"/>
    </row>
    <row r="48" spans="1:8" ht="15">
      <c r="A48" s="333" t="s">
        <v>439</v>
      </c>
      <c r="B48" s="333"/>
      <c r="C48" s="333"/>
      <c r="D48" s="333"/>
      <c r="E48" s="333"/>
      <c r="F48" s="333"/>
      <c r="G48" s="333"/>
      <c r="H48" s="333"/>
    </row>
    <row r="49" spans="1:8" ht="15">
      <c r="A49" s="333" t="s">
        <v>440</v>
      </c>
      <c r="B49" s="333"/>
      <c r="C49" s="333"/>
      <c r="D49" s="333"/>
      <c r="E49" s="333"/>
      <c r="F49" s="333"/>
      <c r="G49" s="333"/>
      <c r="H49" s="333"/>
    </row>
    <row r="50" spans="1:8" ht="15">
      <c r="A50" s="333" t="s">
        <v>441</v>
      </c>
      <c r="B50" s="333"/>
      <c r="C50" s="333"/>
      <c r="D50" s="333"/>
      <c r="E50" s="333"/>
      <c r="F50" s="333"/>
      <c r="G50" s="333"/>
      <c r="H50" s="333"/>
    </row>
    <row r="51" spans="1:8" ht="15">
      <c r="A51" s="333"/>
      <c r="B51" s="333"/>
      <c r="C51" s="333"/>
      <c r="D51" s="333"/>
      <c r="E51" s="333"/>
      <c r="F51" s="333"/>
      <c r="G51" s="333"/>
      <c r="H51" s="333"/>
    </row>
    <row r="52" spans="1:8" ht="15">
      <c r="A52" s="332" t="s">
        <v>442</v>
      </c>
      <c r="B52" s="332"/>
      <c r="C52" s="332"/>
      <c r="D52" s="332"/>
      <c r="E52" s="332"/>
      <c r="F52" s="332"/>
      <c r="G52" s="332"/>
      <c r="H52" s="333"/>
    </row>
    <row r="53" spans="1:8" ht="15">
      <c r="A53" s="332" t="s">
        <v>443</v>
      </c>
      <c r="B53" s="332"/>
      <c r="C53" s="332"/>
      <c r="D53" s="332"/>
      <c r="E53" s="332"/>
      <c r="F53" s="332"/>
      <c r="G53" s="332"/>
      <c r="H53" s="333"/>
    </row>
    <row r="54" spans="1:8" ht="15">
      <c r="A54" s="333"/>
      <c r="B54" s="333"/>
      <c r="C54" s="333"/>
      <c r="D54" s="333"/>
      <c r="E54" s="333"/>
      <c r="F54" s="333"/>
      <c r="G54" s="333"/>
      <c r="H54" s="333"/>
    </row>
    <row r="55" spans="1:8" ht="15">
      <c r="A55" s="333" t="s">
        <v>444</v>
      </c>
      <c r="B55" s="333"/>
      <c r="C55" s="333"/>
      <c r="D55" s="333"/>
      <c r="E55" s="333"/>
      <c r="F55" s="333"/>
      <c r="G55" s="333"/>
      <c r="H55" s="333"/>
    </row>
    <row r="56" spans="1:8" ht="15">
      <c r="A56" s="333" t="s">
        <v>445</v>
      </c>
      <c r="B56" s="333"/>
      <c r="C56" s="333"/>
      <c r="D56" s="333"/>
      <c r="E56" s="333"/>
      <c r="F56" s="333"/>
      <c r="G56" s="333"/>
      <c r="H56" s="333"/>
    </row>
    <row r="57" spans="1:8" ht="15">
      <c r="A57" s="333" t="s">
        <v>446</v>
      </c>
      <c r="B57" s="333"/>
      <c r="C57" s="333"/>
      <c r="D57" s="333"/>
      <c r="E57" s="333"/>
      <c r="F57" s="333"/>
      <c r="G57" s="333"/>
      <c r="H57" s="333"/>
    </row>
    <row r="58" spans="1:8" ht="15">
      <c r="A58" s="333" t="s">
        <v>447</v>
      </c>
      <c r="B58" s="333"/>
      <c r="C58" s="333"/>
      <c r="D58" s="333"/>
      <c r="E58" s="333"/>
      <c r="F58" s="333"/>
      <c r="G58" s="333"/>
      <c r="H58" s="333"/>
    </row>
    <row r="59" spans="1:8" ht="15">
      <c r="A59" s="333"/>
      <c r="B59" s="333"/>
      <c r="C59" s="333"/>
      <c r="D59" s="333"/>
      <c r="E59" s="333"/>
      <c r="F59" s="333"/>
      <c r="G59" s="333"/>
      <c r="H59" s="333"/>
    </row>
    <row r="60" spans="1:8" ht="15">
      <c r="A60" s="333" t="s">
        <v>448</v>
      </c>
      <c r="B60" s="333"/>
      <c r="C60" s="333"/>
      <c r="D60" s="333"/>
      <c r="E60" s="333"/>
      <c r="F60" s="333"/>
      <c r="G60" s="333"/>
      <c r="H60" s="333"/>
    </row>
    <row r="61" spans="1:8" ht="15">
      <c r="A61" s="333" t="s">
        <v>449</v>
      </c>
      <c r="B61" s="333"/>
      <c r="C61" s="333"/>
      <c r="D61" s="333"/>
      <c r="E61" s="333"/>
      <c r="F61" s="333"/>
      <c r="G61" s="333"/>
      <c r="H61" s="333"/>
    </row>
    <row r="62" spans="1:8" ht="15">
      <c r="A62" s="333" t="s">
        <v>450</v>
      </c>
      <c r="B62" s="333"/>
      <c r="C62" s="333"/>
      <c r="D62" s="333"/>
      <c r="E62" s="333"/>
      <c r="F62" s="333"/>
      <c r="G62" s="333"/>
      <c r="H62" s="333"/>
    </row>
    <row r="63" spans="1:8" ht="15">
      <c r="A63" s="333" t="s">
        <v>451</v>
      </c>
      <c r="B63" s="333"/>
      <c r="C63" s="333"/>
      <c r="D63" s="333"/>
      <c r="E63" s="333"/>
      <c r="F63" s="333"/>
      <c r="G63" s="333"/>
      <c r="H63" s="333"/>
    </row>
    <row r="64" spans="1:8" ht="15">
      <c r="A64" s="333" t="s">
        <v>452</v>
      </c>
      <c r="B64" s="333"/>
      <c r="C64" s="333"/>
      <c r="D64" s="333"/>
      <c r="E64" s="333"/>
      <c r="F64" s="333"/>
      <c r="G64" s="333"/>
      <c r="H64" s="333"/>
    </row>
    <row r="65" spans="1:8" ht="15">
      <c r="A65" s="333" t="s">
        <v>453</v>
      </c>
      <c r="B65" s="333"/>
      <c r="C65" s="333"/>
      <c r="D65" s="333"/>
      <c r="E65" s="333"/>
      <c r="F65" s="333"/>
      <c r="G65" s="333"/>
      <c r="H65" s="333"/>
    </row>
    <row r="66" spans="1:8" ht="15">
      <c r="A66" s="333"/>
      <c r="B66" s="333"/>
      <c r="C66" s="333"/>
      <c r="D66" s="333"/>
      <c r="E66" s="333"/>
      <c r="F66" s="333"/>
      <c r="G66" s="333"/>
      <c r="H66" s="333"/>
    </row>
    <row r="67" spans="1:8" ht="15">
      <c r="A67" s="333" t="s">
        <v>454</v>
      </c>
      <c r="B67" s="333"/>
      <c r="C67" s="333"/>
      <c r="D67" s="333"/>
      <c r="E67" s="333"/>
      <c r="F67" s="333"/>
      <c r="G67" s="333"/>
      <c r="H67" s="333"/>
    </row>
    <row r="68" spans="1:8" ht="15">
      <c r="A68" s="333" t="s">
        <v>455</v>
      </c>
      <c r="B68" s="333"/>
      <c r="C68" s="333"/>
      <c r="D68" s="333"/>
      <c r="E68" s="333"/>
      <c r="F68" s="333"/>
      <c r="G68" s="333"/>
      <c r="H68" s="333"/>
    </row>
    <row r="69" spans="1:8" ht="15">
      <c r="A69" s="333" t="s">
        <v>456</v>
      </c>
      <c r="B69" s="333"/>
      <c r="C69" s="333"/>
      <c r="D69" s="333"/>
      <c r="E69" s="333"/>
      <c r="F69" s="333"/>
      <c r="G69" s="333"/>
      <c r="H69" s="333"/>
    </row>
    <row r="70" spans="1:8" ht="15">
      <c r="A70" s="333" t="s">
        <v>457</v>
      </c>
      <c r="B70" s="333"/>
      <c r="C70" s="333"/>
      <c r="D70" s="333"/>
      <c r="E70" s="333"/>
      <c r="F70" s="333"/>
      <c r="G70" s="333"/>
      <c r="H70" s="333"/>
    </row>
    <row r="71" spans="1:8" ht="15">
      <c r="A71" s="333" t="s">
        <v>458</v>
      </c>
      <c r="B71" s="333"/>
      <c r="C71" s="333"/>
      <c r="D71" s="333"/>
      <c r="E71" s="333"/>
      <c r="F71" s="333"/>
      <c r="G71" s="333"/>
      <c r="H71" s="333"/>
    </row>
    <row r="72" spans="1:8" ht="15">
      <c r="A72" s="333" t="s">
        <v>459</v>
      </c>
      <c r="B72" s="333"/>
      <c r="C72" s="333"/>
      <c r="D72" s="333"/>
      <c r="E72" s="333"/>
      <c r="F72" s="333"/>
      <c r="G72" s="333"/>
      <c r="H72" s="333"/>
    </row>
    <row r="73" spans="1:8" ht="15">
      <c r="A73" s="333" t="s">
        <v>460</v>
      </c>
      <c r="B73" s="333"/>
      <c r="C73" s="333"/>
      <c r="D73" s="333"/>
      <c r="E73" s="333"/>
      <c r="F73" s="333"/>
      <c r="G73" s="333"/>
      <c r="H73" s="333"/>
    </row>
    <row r="74" spans="1:8" ht="15">
      <c r="A74" s="333"/>
      <c r="B74" s="333"/>
      <c r="C74" s="333"/>
      <c r="D74" s="333"/>
      <c r="E74" s="333"/>
      <c r="F74" s="333"/>
      <c r="G74" s="333"/>
      <c r="H74" s="333"/>
    </row>
    <row r="75" spans="1:8" ht="15">
      <c r="A75" s="333" t="s">
        <v>461</v>
      </c>
      <c r="B75" s="333"/>
      <c r="C75" s="333"/>
      <c r="D75" s="333"/>
      <c r="E75" s="333"/>
      <c r="F75" s="333"/>
      <c r="G75" s="333"/>
      <c r="H75" s="333"/>
    </row>
    <row r="76" spans="1:8" ht="15">
      <c r="A76" s="333" t="s">
        <v>462</v>
      </c>
      <c r="B76" s="333"/>
      <c r="C76" s="333"/>
      <c r="D76" s="333"/>
      <c r="E76" s="333"/>
      <c r="F76" s="333"/>
      <c r="G76" s="333"/>
      <c r="H76" s="333"/>
    </row>
    <row r="77" spans="1:8" ht="15">
      <c r="A77" s="333" t="s">
        <v>463</v>
      </c>
      <c r="B77" s="333"/>
      <c r="C77" s="333"/>
      <c r="D77" s="333"/>
      <c r="E77" s="333"/>
      <c r="F77" s="333"/>
      <c r="G77" s="333"/>
      <c r="H77" s="333"/>
    </row>
    <row r="78" spans="1:8" ht="15">
      <c r="A78" s="333"/>
      <c r="B78" s="333"/>
      <c r="C78" s="333"/>
      <c r="D78" s="333"/>
      <c r="E78" s="333"/>
      <c r="F78" s="333"/>
      <c r="G78" s="333"/>
      <c r="H78" s="333"/>
    </row>
    <row r="79" ht="15">
      <c r="A79" s="333" t="s">
        <v>408</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464</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355</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465</v>
      </c>
      <c r="I7" s="334"/>
      <c r="J7" s="334"/>
      <c r="K7" s="334"/>
      <c r="L7" s="334"/>
    </row>
    <row r="8" spans="1:12" ht="15">
      <c r="A8" s="333"/>
      <c r="I8" s="334"/>
      <c r="J8" s="334"/>
      <c r="K8" s="334"/>
      <c r="L8" s="334"/>
    </row>
    <row r="9" spans="1:12" ht="15">
      <c r="A9" s="333" t="s">
        <v>466</v>
      </c>
      <c r="I9" s="334"/>
      <c r="J9" s="334"/>
      <c r="K9" s="334"/>
      <c r="L9" s="334"/>
    </row>
    <row r="10" spans="1:12" ht="15">
      <c r="A10" s="333" t="s">
        <v>467</v>
      </c>
      <c r="I10" s="334"/>
      <c r="J10" s="334"/>
      <c r="K10" s="334"/>
      <c r="L10" s="334"/>
    </row>
    <row r="11" spans="1:12" ht="15">
      <c r="A11" s="333" t="s">
        <v>468</v>
      </c>
      <c r="I11" s="334"/>
      <c r="J11" s="334"/>
      <c r="K11" s="334"/>
      <c r="L11" s="334"/>
    </row>
    <row r="12" spans="1:12" ht="15">
      <c r="A12" s="333" t="s">
        <v>469</v>
      </c>
      <c r="I12" s="334"/>
      <c r="J12" s="334"/>
      <c r="K12" s="334"/>
      <c r="L12" s="334"/>
    </row>
    <row r="13" spans="1:12" ht="15">
      <c r="A13" s="333" t="s">
        <v>470</v>
      </c>
      <c r="I13" s="334"/>
      <c r="J13" s="334"/>
      <c r="K13" s="334"/>
      <c r="L13" s="334"/>
    </row>
    <row r="14" spans="1:12" ht="15">
      <c r="A14" s="334"/>
      <c r="B14" s="334"/>
      <c r="C14" s="334"/>
      <c r="D14" s="334"/>
      <c r="E14" s="334"/>
      <c r="F14" s="334"/>
      <c r="G14" s="334"/>
      <c r="H14" s="334"/>
      <c r="I14" s="334"/>
      <c r="J14" s="334"/>
      <c r="K14" s="334"/>
      <c r="L14" s="334"/>
    </row>
    <row r="15" ht="15">
      <c r="A15" s="332" t="s">
        <v>471</v>
      </c>
    </row>
    <row r="16" ht="15">
      <c r="A16" s="332" t="s">
        <v>472</v>
      </c>
    </row>
    <row r="17" ht="15">
      <c r="A17" s="332"/>
    </row>
    <row r="18" spans="1:7" ht="15">
      <c r="A18" s="333" t="s">
        <v>473</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474</v>
      </c>
      <c r="B20" s="333"/>
      <c r="C20" s="333"/>
      <c r="D20" s="333"/>
      <c r="E20" s="333"/>
      <c r="F20" s="333"/>
      <c r="G20" s="333"/>
    </row>
    <row r="21" spans="1:7" ht="15">
      <c r="A21" s="333" t="s">
        <v>475</v>
      </c>
      <c r="B21" s="333"/>
      <c r="C21" s="333"/>
      <c r="D21" s="333"/>
      <c r="E21" s="333"/>
      <c r="F21" s="333"/>
      <c r="G21" s="333"/>
    </row>
    <row r="22" ht="15">
      <c r="A22" s="333"/>
    </row>
    <row r="23" ht="15">
      <c r="A23" s="332" t="s">
        <v>476</v>
      </c>
    </row>
    <row r="24" ht="15">
      <c r="A24" s="332"/>
    </row>
    <row r="25" ht="15">
      <c r="A25" s="333" t="s">
        <v>477</v>
      </c>
    </row>
    <row r="26" spans="1:6" ht="15">
      <c r="A26" s="333" t="s">
        <v>478</v>
      </c>
      <c r="B26" s="333"/>
      <c r="C26" s="333"/>
      <c r="D26" s="333"/>
      <c r="E26" s="333"/>
      <c r="F26" s="333"/>
    </row>
    <row r="27" spans="1:6" ht="15">
      <c r="A27" s="333" t="s">
        <v>479</v>
      </c>
      <c r="B27" s="333"/>
      <c r="C27" s="333"/>
      <c r="D27" s="333"/>
      <c r="E27" s="333"/>
      <c r="F27" s="333"/>
    </row>
    <row r="28" spans="1:6" ht="15">
      <c r="A28" s="333" t="s">
        <v>480</v>
      </c>
      <c r="B28" s="333"/>
      <c r="C28" s="333"/>
      <c r="D28" s="333"/>
      <c r="E28" s="333"/>
      <c r="F28" s="333"/>
    </row>
    <row r="29" spans="1:6" ht="15">
      <c r="A29" s="333"/>
      <c r="B29" s="333"/>
      <c r="C29" s="333"/>
      <c r="D29" s="333"/>
      <c r="E29" s="333"/>
      <c r="F29" s="333"/>
    </row>
    <row r="30" spans="1:7" ht="15">
      <c r="A30" s="332" t="s">
        <v>481</v>
      </c>
      <c r="B30" s="332"/>
      <c r="C30" s="332"/>
      <c r="D30" s="332"/>
      <c r="E30" s="332"/>
      <c r="F30" s="332"/>
      <c r="G30" s="332"/>
    </row>
    <row r="31" spans="1:7" ht="15">
      <c r="A31" s="332" t="s">
        <v>482</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483</v>
      </c>
      <c r="B34" s="333"/>
      <c r="C34" s="333"/>
      <c r="D34" s="333"/>
      <c r="E34" s="333"/>
      <c r="F34" s="333"/>
    </row>
    <row r="35" spans="1:6" ht="15">
      <c r="A35" s="342" t="s">
        <v>369</v>
      </c>
      <c r="B35" s="333"/>
      <c r="C35" s="333"/>
      <c r="D35" s="333"/>
      <c r="E35" s="333"/>
      <c r="F35" s="333"/>
    </row>
    <row r="36" spans="1:6" ht="15">
      <c r="A36" s="342" t="s">
        <v>370</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371</v>
      </c>
      <c r="B39" s="333"/>
      <c r="C39" s="333"/>
      <c r="D39" s="333"/>
      <c r="E39" s="333"/>
      <c r="F39" s="333"/>
    </row>
    <row r="40" spans="1:6" ht="15">
      <c r="A40" s="342" t="s">
        <v>372</v>
      </c>
      <c r="B40" s="333"/>
      <c r="C40" s="333"/>
      <c r="D40" s="333"/>
      <c r="E40" s="333"/>
      <c r="F40" s="333"/>
    </row>
    <row r="41" spans="1:6" ht="15">
      <c r="A41" s="342"/>
      <c r="B41" s="333"/>
      <c r="C41" s="333"/>
      <c r="D41" s="333"/>
      <c r="E41" s="333"/>
      <c r="F41" s="333"/>
    </row>
    <row r="42" spans="1:6" ht="15">
      <c r="A42" s="342" t="s">
        <v>373</v>
      </c>
      <c r="B42" s="333"/>
      <c r="C42" s="333"/>
      <c r="D42" s="333"/>
      <c r="E42" s="333"/>
      <c r="F42" s="333"/>
    </row>
    <row r="43" spans="1:6" ht="15">
      <c r="A43" s="342" t="s">
        <v>559</v>
      </c>
      <c r="B43" s="333"/>
      <c r="C43" s="333"/>
      <c r="D43" s="333"/>
      <c r="E43" s="333"/>
      <c r="F43" s="333"/>
    </row>
    <row r="44" spans="1:6" ht="15">
      <c r="A44" s="342" t="s">
        <v>560</v>
      </c>
      <c r="B44" s="333"/>
      <c r="C44" s="333"/>
      <c r="D44" s="333"/>
      <c r="E44" s="333"/>
      <c r="F44" s="333"/>
    </row>
    <row r="45" spans="1:6" ht="15">
      <c r="A45" s="342" t="s">
        <v>484</v>
      </c>
      <c r="B45" s="333"/>
      <c r="C45" s="333"/>
      <c r="D45" s="333"/>
      <c r="E45" s="333"/>
      <c r="F45" s="333"/>
    </row>
    <row r="46" spans="1:6" ht="15">
      <c r="A46" s="342" t="s">
        <v>375</v>
      </c>
      <c r="B46" s="333"/>
      <c r="C46" s="333"/>
      <c r="D46" s="333"/>
      <c r="E46" s="333"/>
      <c r="F46" s="333"/>
    </row>
    <row r="47" spans="1:6" ht="15">
      <c r="A47" s="342" t="s">
        <v>485</v>
      </c>
      <c r="B47" s="333"/>
      <c r="C47" s="333"/>
      <c r="D47" s="333"/>
      <c r="E47" s="333"/>
      <c r="F47" s="333"/>
    </row>
    <row r="48" spans="1:6" ht="15">
      <c r="A48" s="342" t="s">
        <v>486</v>
      </c>
      <c r="B48" s="333"/>
      <c r="C48" s="333"/>
      <c r="D48" s="333"/>
      <c r="E48" s="333"/>
      <c r="F48" s="333"/>
    </row>
    <row r="49" spans="1:6" ht="15">
      <c r="A49" s="342" t="s">
        <v>378</v>
      </c>
      <c r="B49" s="333"/>
      <c r="C49" s="333"/>
      <c r="D49" s="333"/>
      <c r="E49" s="333"/>
      <c r="F49" s="333"/>
    </row>
    <row r="50" spans="1:6" ht="15">
      <c r="A50" s="342"/>
      <c r="B50" s="333"/>
      <c r="C50" s="333"/>
      <c r="D50" s="333"/>
      <c r="E50" s="333"/>
      <c r="F50" s="333"/>
    </row>
    <row r="51" spans="1:6" ht="15">
      <c r="A51" s="342" t="s">
        <v>379</v>
      </c>
      <c r="B51" s="333"/>
      <c r="C51" s="333"/>
      <c r="D51" s="333"/>
      <c r="E51" s="333"/>
      <c r="F51" s="333"/>
    </row>
    <row r="52" spans="1:6" ht="15">
      <c r="A52" s="342" t="s">
        <v>380</v>
      </c>
      <c r="B52" s="333"/>
      <c r="C52" s="333"/>
      <c r="D52" s="333"/>
      <c r="E52" s="333"/>
      <c r="F52" s="333"/>
    </row>
    <row r="53" spans="1:6" ht="15">
      <c r="A53" s="342" t="s">
        <v>381</v>
      </c>
      <c r="B53" s="333"/>
      <c r="C53" s="333"/>
      <c r="D53" s="333"/>
      <c r="E53" s="333"/>
      <c r="F53" s="333"/>
    </row>
    <row r="54" spans="1:6" ht="15">
      <c r="A54" s="342"/>
      <c r="B54" s="333"/>
      <c r="C54" s="333"/>
      <c r="D54" s="333"/>
      <c r="E54" s="333"/>
      <c r="F54" s="333"/>
    </row>
    <row r="55" spans="1:6" ht="15">
      <c r="A55" s="342" t="s">
        <v>487</v>
      </c>
      <c r="B55" s="333"/>
      <c r="C55" s="333"/>
      <c r="D55" s="333"/>
      <c r="E55" s="333"/>
      <c r="F55" s="333"/>
    </row>
    <row r="56" spans="1:6" ht="15">
      <c r="A56" s="342" t="s">
        <v>488</v>
      </c>
      <c r="B56" s="333"/>
      <c r="C56" s="333"/>
      <c r="D56" s="333"/>
      <c r="E56" s="333"/>
      <c r="F56" s="333"/>
    </row>
    <row r="57" spans="1:6" ht="15">
      <c r="A57" s="342" t="s">
        <v>489</v>
      </c>
      <c r="B57" s="333"/>
      <c r="C57" s="333"/>
      <c r="D57" s="333"/>
      <c r="E57" s="333"/>
      <c r="F57" s="333"/>
    </row>
    <row r="58" spans="1:6" ht="15">
      <c r="A58" s="342" t="s">
        <v>490</v>
      </c>
      <c r="B58" s="333"/>
      <c r="C58" s="333"/>
      <c r="D58" s="333"/>
      <c r="E58" s="333"/>
      <c r="F58" s="333"/>
    </row>
    <row r="59" spans="1:6" ht="15">
      <c r="A59" s="342" t="s">
        <v>491</v>
      </c>
      <c r="B59" s="333"/>
      <c r="C59" s="333"/>
      <c r="D59" s="333"/>
      <c r="E59" s="333"/>
      <c r="F59" s="333"/>
    </row>
    <row r="60" spans="1:6" ht="15">
      <c r="A60" s="342"/>
      <c r="B60" s="333"/>
      <c r="C60" s="333"/>
      <c r="D60" s="333"/>
      <c r="E60" s="333"/>
      <c r="F60" s="333"/>
    </row>
    <row r="61" spans="1:6" ht="15">
      <c r="A61" s="343" t="s">
        <v>492</v>
      </c>
      <c r="B61" s="333"/>
      <c r="C61" s="333"/>
      <c r="D61" s="333"/>
      <c r="E61" s="333"/>
      <c r="F61" s="333"/>
    </row>
    <row r="62" spans="1:6" ht="15">
      <c r="A62" s="343" t="s">
        <v>493</v>
      </c>
      <c r="B62" s="333"/>
      <c r="C62" s="333"/>
      <c r="D62" s="333"/>
      <c r="E62" s="333"/>
      <c r="F62" s="333"/>
    </row>
    <row r="63" spans="1:6" ht="15">
      <c r="A63" s="343" t="s">
        <v>494</v>
      </c>
      <c r="B63" s="333"/>
      <c r="C63" s="333"/>
      <c r="D63" s="333"/>
      <c r="E63" s="333"/>
      <c r="F63" s="333"/>
    </row>
    <row r="64" ht="15">
      <c r="A64" s="343" t="s">
        <v>495</v>
      </c>
    </row>
    <row r="65" ht="15">
      <c r="A65" s="343" t="s">
        <v>496</v>
      </c>
    </row>
    <row r="66" ht="15">
      <c r="A66" s="343" t="s">
        <v>497</v>
      </c>
    </row>
    <row r="68" ht="15">
      <c r="A68" s="333" t="s">
        <v>498</v>
      </c>
    </row>
    <row r="69" ht="15">
      <c r="A69" s="333" t="s">
        <v>499</v>
      </c>
    </row>
    <row r="70" ht="15">
      <c r="A70" s="333" t="s">
        <v>500</v>
      </c>
    </row>
    <row r="71" ht="15">
      <c r="A71" s="333" t="s">
        <v>501</v>
      </c>
    </row>
    <row r="72" ht="15">
      <c r="A72" s="333" t="s">
        <v>502</v>
      </c>
    </row>
    <row r="73" ht="15">
      <c r="A73" s="333" t="s">
        <v>503</v>
      </c>
    </row>
    <row r="75" ht="1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504</v>
      </c>
      <c r="B3" s="334"/>
      <c r="C3" s="334"/>
      <c r="D3" s="334"/>
      <c r="E3" s="334"/>
      <c r="F3" s="334"/>
      <c r="G3" s="334"/>
    </row>
    <row r="4" spans="1:7" ht="15">
      <c r="A4" s="334"/>
      <c r="B4" s="334"/>
      <c r="C4" s="334"/>
      <c r="D4" s="334"/>
      <c r="E4" s="334"/>
      <c r="F4" s="334"/>
      <c r="G4" s="334"/>
    </row>
    <row r="5" ht="15">
      <c r="A5" s="333" t="s">
        <v>410</v>
      </c>
    </row>
    <row r="6" ht="15">
      <c r="A6" s="333" t="str">
        <f>CONCATENATE(inputPrYr!D5," estimated expenditures show that at the end of this year")</f>
        <v>2015 estimated expenditures show that at the end of this year</v>
      </c>
    </row>
    <row r="7" ht="15">
      <c r="A7" s="333" t="s">
        <v>505</v>
      </c>
    </row>
    <row r="8" ht="15">
      <c r="A8" s="333" t="s">
        <v>506</v>
      </c>
    </row>
    <row r="10" ht="15">
      <c r="A10" t="s">
        <v>412</v>
      </c>
    </row>
    <row r="11" ht="15">
      <c r="A11" t="s">
        <v>413</v>
      </c>
    </row>
    <row r="12" ht="15">
      <c r="A12" t="s">
        <v>414</v>
      </c>
    </row>
    <row r="13" spans="1:7" ht="15">
      <c r="A13" s="334"/>
      <c r="B13" s="334"/>
      <c r="C13" s="334"/>
      <c r="D13" s="334"/>
      <c r="E13" s="334"/>
      <c r="F13" s="334"/>
      <c r="G13" s="334"/>
    </row>
    <row r="14" ht="15">
      <c r="A14" s="332" t="s">
        <v>507</v>
      </c>
    </row>
    <row r="15" ht="15">
      <c r="A15" s="333"/>
    </row>
    <row r="16" ht="15">
      <c r="A16" s="333" t="s">
        <v>508</v>
      </c>
    </row>
    <row r="17" ht="15">
      <c r="A17" s="333" t="s">
        <v>509</v>
      </c>
    </row>
    <row r="18" ht="15">
      <c r="A18" s="333" t="s">
        <v>510</v>
      </c>
    </row>
    <row r="19" ht="15">
      <c r="A19" s="333"/>
    </row>
    <row r="20" ht="15">
      <c r="A20" s="333" t="s">
        <v>511</v>
      </c>
    </row>
    <row r="21" ht="15">
      <c r="A21" s="333" t="s">
        <v>512</v>
      </c>
    </row>
    <row r="22" ht="15">
      <c r="A22" s="333" t="s">
        <v>513</v>
      </c>
    </row>
    <row r="23" ht="15">
      <c r="A23" s="333" t="s">
        <v>514</v>
      </c>
    </row>
    <row r="24" ht="15">
      <c r="A24" s="333"/>
    </row>
    <row r="25" ht="15">
      <c r="A25" s="332" t="s">
        <v>476</v>
      </c>
    </row>
    <row r="26" ht="15">
      <c r="A26" s="332"/>
    </row>
    <row r="27" ht="15">
      <c r="A27" s="333" t="s">
        <v>477</v>
      </c>
    </row>
    <row r="28" spans="1:6" ht="15">
      <c r="A28" s="333" t="s">
        <v>478</v>
      </c>
      <c r="B28" s="333"/>
      <c r="C28" s="333"/>
      <c r="D28" s="333"/>
      <c r="E28" s="333"/>
      <c r="F28" s="333"/>
    </row>
    <row r="29" spans="1:6" ht="15">
      <c r="A29" s="333" t="s">
        <v>479</v>
      </c>
      <c r="B29" s="333"/>
      <c r="C29" s="333"/>
      <c r="D29" s="333"/>
      <c r="E29" s="333"/>
      <c r="F29" s="333"/>
    </row>
    <row r="30" spans="1:6" ht="15">
      <c r="A30" s="333" t="s">
        <v>480</v>
      </c>
      <c r="B30" s="333"/>
      <c r="C30" s="333"/>
      <c r="D30" s="333"/>
      <c r="E30" s="333"/>
      <c r="F30" s="333"/>
    </row>
    <row r="31" ht="15">
      <c r="A31" s="333"/>
    </row>
    <row r="32" spans="1:7" ht="15">
      <c r="A32" s="332" t="s">
        <v>481</v>
      </c>
      <c r="B32" s="332"/>
      <c r="C32" s="332"/>
      <c r="D32" s="332"/>
      <c r="E32" s="332"/>
      <c r="F32" s="332"/>
      <c r="G32" s="332"/>
    </row>
    <row r="33" spans="1:7" ht="15">
      <c r="A33" s="332" t="s">
        <v>482</v>
      </c>
      <c r="B33" s="332"/>
      <c r="C33" s="332"/>
      <c r="D33" s="332"/>
      <c r="E33" s="332"/>
      <c r="F33" s="332"/>
      <c r="G33" s="332"/>
    </row>
    <row r="34" spans="1:7" ht="15">
      <c r="A34" s="332"/>
      <c r="B34" s="332"/>
      <c r="C34" s="332"/>
      <c r="D34" s="332"/>
      <c r="E34" s="332"/>
      <c r="F34" s="332"/>
      <c r="G34" s="332"/>
    </row>
    <row r="35" spans="1:7" ht="15">
      <c r="A35" s="333" t="s">
        <v>515</v>
      </c>
      <c r="B35" s="333"/>
      <c r="C35" s="333"/>
      <c r="D35" s="333"/>
      <c r="E35" s="333"/>
      <c r="F35" s="333"/>
      <c r="G35" s="333"/>
    </row>
    <row r="36" spans="1:7" ht="15">
      <c r="A36" s="333" t="s">
        <v>516</v>
      </c>
      <c r="B36" s="333"/>
      <c r="C36" s="333"/>
      <c r="D36" s="333"/>
      <c r="E36" s="333"/>
      <c r="F36" s="333"/>
      <c r="G36" s="333"/>
    </row>
    <row r="37" spans="1:7" ht="15">
      <c r="A37" s="333" t="s">
        <v>517</v>
      </c>
      <c r="B37" s="333"/>
      <c r="C37" s="333"/>
      <c r="D37" s="333"/>
      <c r="E37" s="333"/>
      <c r="F37" s="333"/>
      <c r="G37" s="333"/>
    </row>
    <row r="38" spans="1:7" ht="15">
      <c r="A38" s="333" t="s">
        <v>518</v>
      </c>
      <c r="B38" s="333"/>
      <c r="C38" s="333"/>
      <c r="D38" s="333"/>
      <c r="E38" s="333"/>
      <c r="F38" s="333"/>
      <c r="G38" s="333"/>
    </row>
    <row r="39" spans="1:7" ht="15">
      <c r="A39" s="333" t="s">
        <v>519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483</v>
      </c>
      <c r="B42" s="333"/>
      <c r="C42" s="333"/>
      <c r="D42" s="333"/>
      <c r="E42" s="333"/>
      <c r="F42" s="333"/>
    </row>
    <row r="43" spans="1:6" ht="15">
      <c r="A43" s="342" t="s">
        <v>369</v>
      </c>
      <c r="B43" s="333"/>
      <c r="C43" s="333"/>
      <c r="D43" s="333"/>
      <c r="E43" s="333"/>
      <c r="F43" s="333"/>
    </row>
    <row r="44" spans="1:6" ht="15">
      <c r="A44" s="342" t="s">
        <v>370</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371</v>
      </c>
      <c r="B47" s="333"/>
      <c r="C47" s="333"/>
      <c r="D47" s="333"/>
      <c r="E47" s="333"/>
      <c r="F47" s="333"/>
    </row>
    <row r="48" spans="1:6" ht="15">
      <c r="A48" s="342" t="s">
        <v>372</v>
      </c>
      <c r="B48" s="333"/>
      <c r="C48" s="333"/>
      <c r="D48" s="333"/>
      <c r="E48" s="333"/>
      <c r="F48" s="333"/>
    </row>
    <row r="49" spans="1:7" ht="15">
      <c r="A49" s="333"/>
      <c r="B49" s="333"/>
      <c r="C49" s="333"/>
      <c r="D49" s="333"/>
      <c r="E49" s="333"/>
      <c r="F49" s="333"/>
      <c r="G49" s="333"/>
    </row>
    <row r="50" spans="1:7" ht="15">
      <c r="A50" s="333" t="s">
        <v>437</v>
      </c>
      <c r="B50" s="333"/>
      <c r="C50" s="333"/>
      <c r="D50" s="333"/>
      <c r="E50" s="333"/>
      <c r="F50" s="333"/>
      <c r="G50" s="333"/>
    </row>
    <row r="51" spans="1:7" ht="15">
      <c r="A51" s="333" t="s">
        <v>438</v>
      </c>
      <c r="B51" s="333"/>
      <c r="C51" s="333"/>
      <c r="D51" s="333"/>
      <c r="E51" s="333"/>
      <c r="F51" s="333"/>
      <c r="G51" s="333"/>
    </row>
    <row r="52" spans="1:7" ht="15">
      <c r="A52" s="333" t="s">
        <v>439</v>
      </c>
      <c r="B52" s="333"/>
      <c r="C52" s="333"/>
      <c r="D52" s="333"/>
      <c r="E52" s="333"/>
      <c r="F52" s="333"/>
      <c r="G52" s="333"/>
    </row>
    <row r="53" spans="1:7" ht="15">
      <c r="A53" s="333" t="s">
        <v>440</v>
      </c>
      <c r="B53" s="333"/>
      <c r="C53" s="333"/>
      <c r="D53" s="333"/>
      <c r="E53" s="333"/>
      <c r="F53" s="333"/>
      <c r="G53" s="333"/>
    </row>
    <row r="54" spans="1:7" ht="15">
      <c r="A54" s="333" t="s">
        <v>441</v>
      </c>
      <c r="B54" s="333"/>
      <c r="C54" s="333"/>
      <c r="D54" s="333"/>
      <c r="E54" s="333"/>
      <c r="F54" s="333"/>
      <c r="G54" s="333"/>
    </row>
    <row r="55" spans="1:7" ht="15">
      <c r="A55" s="333"/>
      <c r="B55" s="333"/>
      <c r="C55" s="333"/>
      <c r="D55" s="333"/>
      <c r="E55" s="333"/>
      <c r="F55" s="333"/>
      <c r="G55" s="333"/>
    </row>
    <row r="56" spans="1:6" ht="15">
      <c r="A56" s="342" t="s">
        <v>379</v>
      </c>
      <c r="B56" s="333"/>
      <c r="C56" s="333"/>
      <c r="D56" s="333"/>
      <c r="E56" s="333"/>
      <c r="F56" s="333"/>
    </row>
    <row r="57" spans="1:6" ht="15">
      <c r="A57" s="342" t="s">
        <v>380</v>
      </c>
      <c r="B57" s="333"/>
      <c r="C57" s="333"/>
      <c r="D57" s="333"/>
      <c r="E57" s="333"/>
      <c r="F57" s="333"/>
    </row>
    <row r="58" spans="1:6" ht="15">
      <c r="A58" s="342" t="s">
        <v>381</v>
      </c>
      <c r="B58" s="333"/>
      <c r="C58" s="333"/>
      <c r="D58" s="333"/>
      <c r="E58" s="333"/>
      <c r="F58" s="333"/>
    </row>
    <row r="59" spans="1:6" ht="15">
      <c r="A59" s="342"/>
      <c r="B59" s="333"/>
      <c r="C59" s="333"/>
      <c r="D59" s="333"/>
      <c r="E59" s="333"/>
      <c r="F59" s="333"/>
    </row>
    <row r="60" spans="1:7" ht="15">
      <c r="A60" s="333" t="s">
        <v>520</v>
      </c>
      <c r="B60" s="333"/>
      <c r="C60" s="333"/>
      <c r="D60" s="333"/>
      <c r="E60" s="333"/>
      <c r="F60" s="333"/>
      <c r="G60" s="333"/>
    </row>
    <row r="61" spans="1:7" ht="15">
      <c r="A61" s="333" t="s">
        <v>521</v>
      </c>
      <c r="B61" s="333"/>
      <c r="C61" s="333"/>
      <c r="D61" s="333"/>
      <c r="E61" s="333"/>
      <c r="F61" s="333"/>
      <c r="G61" s="333"/>
    </row>
    <row r="62" spans="1:7" ht="15">
      <c r="A62" s="333" t="s">
        <v>522</v>
      </c>
      <c r="B62" s="333"/>
      <c r="C62" s="333"/>
      <c r="D62" s="333"/>
      <c r="E62" s="333"/>
      <c r="F62" s="333"/>
      <c r="G62" s="333"/>
    </row>
    <row r="63" spans="1:7" ht="15">
      <c r="A63" s="333" t="s">
        <v>523</v>
      </c>
      <c r="B63" s="333"/>
      <c r="C63" s="333"/>
      <c r="D63" s="333"/>
      <c r="E63" s="333"/>
      <c r="F63" s="333"/>
      <c r="G63" s="333"/>
    </row>
    <row r="64" spans="1:7" ht="15">
      <c r="A64" s="333" t="s">
        <v>524</v>
      </c>
      <c r="B64" s="333"/>
      <c r="C64" s="333"/>
      <c r="D64" s="333"/>
      <c r="E64" s="333"/>
      <c r="F64" s="333"/>
      <c r="G64" s="333"/>
    </row>
    <row r="66" spans="1:6" ht="15">
      <c r="A66" s="342" t="s">
        <v>487</v>
      </c>
      <c r="B66" s="333"/>
      <c r="C66" s="333"/>
      <c r="D66" s="333"/>
      <c r="E66" s="333"/>
      <c r="F66" s="333"/>
    </row>
    <row r="67" spans="1:6" ht="15">
      <c r="A67" s="342" t="s">
        <v>488</v>
      </c>
      <c r="B67" s="333"/>
      <c r="C67" s="333"/>
      <c r="D67" s="333"/>
      <c r="E67" s="333"/>
      <c r="F67" s="333"/>
    </row>
    <row r="68" spans="1:6" ht="15">
      <c r="A68" s="342" t="s">
        <v>489</v>
      </c>
      <c r="B68" s="333"/>
      <c r="C68" s="333"/>
      <c r="D68" s="333"/>
      <c r="E68" s="333"/>
      <c r="F68" s="333"/>
    </row>
    <row r="69" spans="1:6" ht="15">
      <c r="A69" s="342" t="s">
        <v>490</v>
      </c>
      <c r="B69" s="333"/>
      <c r="C69" s="333"/>
      <c r="D69" s="333"/>
      <c r="E69" s="333"/>
      <c r="F69" s="333"/>
    </row>
    <row r="70" spans="1:6" ht="15">
      <c r="A70" s="342" t="s">
        <v>491</v>
      </c>
      <c r="B70" s="333"/>
      <c r="C70" s="333"/>
      <c r="D70" s="333"/>
      <c r="E70" s="333"/>
      <c r="F70" s="333"/>
    </row>
    <row r="71" ht="15">
      <c r="A71" s="333"/>
    </row>
    <row r="72" ht="15">
      <c r="A72" s="333" t="s">
        <v>408</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525</v>
      </c>
      <c r="B3" s="334"/>
      <c r="C3" s="334"/>
      <c r="D3" s="334"/>
      <c r="E3" s="334"/>
      <c r="F3" s="334"/>
      <c r="G3" s="334"/>
    </row>
    <row r="4" spans="1:7" ht="15">
      <c r="A4" s="334" t="s">
        <v>526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355</v>
      </c>
    </row>
    <row r="8" ht="15">
      <c r="A8" s="333" t="str">
        <f>CONCATENATE("estimated ",inputPrYr!D5," 'total expenditures' exceed your ",inputPrYr!D5,"")</f>
        <v>estimated 2015 'total expenditures' exceed your 2015</v>
      </c>
    </row>
    <row r="9" ht="15">
      <c r="A9" s="345" t="s">
        <v>527</v>
      </c>
    </row>
    <row r="10" ht="15">
      <c r="A10" s="333"/>
    </row>
    <row r="11" ht="15">
      <c r="A11" s="333" t="s">
        <v>528</v>
      </c>
    </row>
    <row r="12" ht="15">
      <c r="A12" s="333" t="s">
        <v>529</v>
      </c>
    </row>
    <row r="13" ht="15">
      <c r="A13" s="333" t="s">
        <v>530</v>
      </c>
    </row>
    <row r="14" ht="15">
      <c r="A14" s="333"/>
    </row>
    <row r="15" ht="15">
      <c r="A15" s="332" t="s">
        <v>531</v>
      </c>
    </row>
    <row r="16" spans="1:7" ht="15">
      <c r="A16" s="334"/>
      <c r="B16" s="334"/>
      <c r="C16" s="334"/>
      <c r="D16" s="334"/>
      <c r="E16" s="334"/>
      <c r="F16" s="334"/>
      <c r="G16" s="334"/>
    </row>
    <row r="17" spans="1:8" ht="15">
      <c r="A17" s="346" t="s">
        <v>532</v>
      </c>
      <c r="B17" s="328"/>
      <c r="C17" s="328"/>
      <c r="D17" s="328"/>
      <c r="E17" s="328"/>
      <c r="F17" s="328"/>
      <c r="G17" s="328"/>
      <c r="H17" s="328"/>
    </row>
    <row r="18" spans="1:7" ht="15">
      <c r="A18" s="333" t="s">
        <v>533</v>
      </c>
      <c r="B18" s="347"/>
      <c r="C18" s="347"/>
      <c r="D18" s="347"/>
      <c r="E18" s="347"/>
      <c r="F18" s="347"/>
      <c r="G18" s="347"/>
    </row>
    <row r="19" ht="15">
      <c r="A19" s="333" t="s">
        <v>534</v>
      </c>
    </row>
    <row r="20" ht="15">
      <c r="A20" s="333" t="s">
        <v>535</v>
      </c>
    </row>
    <row r="22" ht="15">
      <c r="A22" s="332" t="s">
        <v>536</v>
      </c>
    </row>
    <row r="24" ht="15">
      <c r="A24" s="333" t="s">
        <v>537</v>
      </c>
    </row>
    <row r="25" ht="15">
      <c r="A25" s="333" t="s">
        <v>538</v>
      </c>
    </row>
    <row r="26" ht="15">
      <c r="A26" s="333" t="s">
        <v>539</v>
      </c>
    </row>
    <row r="28" ht="15">
      <c r="A28" s="332" t="s">
        <v>540</v>
      </c>
    </row>
    <row r="30" ht="15">
      <c r="A30" t="s">
        <v>541</v>
      </c>
    </row>
    <row r="31" ht="15">
      <c r="A31" t="s">
        <v>542</v>
      </c>
    </row>
    <row r="32" ht="15">
      <c r="A32" t="s">
        <v>543</v>
      </c>
    </row>
    <row r="33" ht="15">
      <c r="A33" s="333"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553</v>
      </c>
    </row>
    <row r="45" ht="15">
      <c r="A45" t="s">
        <v>554</v>
      </c>
    </row>
    <row r="47" ht="15">
      <c r="A47" t="s">
        <v>555</v>
      </c>
    </row>
    <row r="48" ht="15">
      <c r="A48" t="s">
        <v>556</v>
      </c>
    </row>
    <row r="49" ht="15">
      <c r="A49" s="333" t="s">
        <v>557</v>
      </c>
    </row>
    <row r="50" ht="15">
      <c r="A50" s="333" t="s">
        <v>558</v>
      </c>
    </row>
    <row r="52" ht="1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2" sqref="E12"/>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Garfield Township</v>
      </c>
      <c r="B1" s="79"/>
      <c r="C1" s="79"/>
      <c r="D1" s="79"/>
      <c r="E1" s="79">
        <f>inputPrYr!D5</f>
        <v>2015</v>
      </c>
    </row>
    <row r="2" spans="1:5" ht="15">
      <c r="A2" s="77" t="str">
        <f>inputPrYr!D3</f>
        <v>Ellsworth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2060956</v>
      </c>
    </row>
    <row r="8" spans="1:5" ht="15">
      <c r="A8" s="11" t="str">
        <f>CONCATENATE("New Improvements for ",E1-1,"")</f>
        <v>New Improvements for 2014</v>
      </c>
      <c r="B8" s="8"/>
      <c r="C8" s="8"/>
      <c r="D8" s="8"/>
      <c r="E8" s="721">
        <v>33314</v>
      </c>
    </row>
    <row r="9" spans="1:5" ht="15">
      <c r="A9" s="11" t="str">
        <f>CONCATENATE("Personal Property excluding oil, gas, and mobile homes - ",E1-1,"")</f>
        <v>Personal Property excluding oil, gas, and mobile homes - 2014</v>
      </c>
      <c r="B9" s="8"/>
      <c r="C9" s="8"/>
      <c r="D9" s="8"/>
      <c r="E9" s="721">
        <v>30920</v>
      </c>
    </row>
    <row r="10" spans="1:5" ht="15">
      <c r="A10" s="11" t="str">
        <f>CONCATENATE("Property that has changed in use for ",E1-1,"")</f>
        <v>Property that has changed in use for 2014</v>
      </c>
      <c r="B10" s="8"/>
      <c r="C10" s="8"/>
      <c r="D10" s="8"/>
      <c r="E10" s="721">
        <v>12916</v>
      </c>
    </row>
    <row r="11" spans="1:5" ht="15">
      <c r="A11" s="11" t="str">
        <f>CONCATENATE("Personal Property excluding oil, gas, and mobile homes- ",E1-2,"")</f>
        <v>Personal Property excluding oil, gas, and mobile homes- 2013</v>
      </c>
      <c r="B11" s="8"/>
      <c r="C11" s="8"/>
      <c r="D11" s="8"/>
      <c r="E11" s="721">
        <v>40847</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10.222</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10.222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1876900</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756</v>
      </c>
    </row>
    <row r="33" spans="1:5" ht="15">
      <c r="A33" s="278" t="s">
        <v>253</v>
      </c>
      <c r="B33" s="255"/>
      <c r="C33" s="255"/>
      <c r="D33" s="20"/>
      <c r="E33" s="23">
        <v>27</v>
      </c>
    </row>
    <row r="34" spans="1:5" ht="15">
      <c r="A34" s="278" t="s">
        <v>137</v>
      </c>
      <c r="B34" s="255"/>
      <c r="C34" s="255"/>
      <c r="D34" s="20"/>
      <c r="E34" s="23">
        <v>527</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22125</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20" sqref="E20"/>
    </sheetView>
  </sheetViews>
  <sheetFormatPr defaultColWidth="8.796875" defaultRowHeight="15.75"/>
  <cols>
    <col min="1" max="1" width="13.69921875" style="0" customWidth="1"/>
    <col min="2" max="2" width="16" style="0" customWidth="1"/>
  </cols>
  <sheetData>
    <row r="1" ht="15">
      <c r="J1" s="684" t="s">
        <v>800</v>
      </c>
    </row>
    <row r="2" spans="1:10" ht="54" customHeight="1">
      <c r="A2" s="793" t="s">
        <v>344</v>
      </c>
      <c r="B2" s="794"/>
      <c r="C2" s="794"/>
      <c r="D2" s="794"/>
      <c r="E2" s="794"/>
      <c r="F2" s="794"/>
      <c r="J2" s="684" t="s">
        <v>801</v>
      </c>
    </row>
    <row r="3" ht="15">
      <c r="J3" s="684" t="s">
        <v>802</v>
      </c>
    </row>
    <row r="4" spans="1:10" ht="15">
      <c r="A4" s="449" t="s">
        <v>798</v>
      </c>
      <c r="B4" s="724" t="s">
        <v>942</v>
      </c>
      <c r="C4" s="683"/>
      <c r="J4" s="684" t="s">
        <v>803</v>
      </c>
    </row>
    <row r="5" spans="1:10" ht="15">
      <c r="A5" s="449"/>
      <c r="B5" s="683"/>
      <c r="J5" s="684" t="s">
        <v>804</v>
      </c>
    </row>
    <row r="6" spans="1:10" ht="15">
      <c r="A6" s="449" t="s">
        <v>799</v>
      </c>
      <c r="B6" s="724" t="s">
        <v>947</v>
      </c>
      <c r="J6" s="684" t="s">
        <v>805</v>
      </c>
    </row>
    <row r="7" spans="1:10" ht="15">
      <c r="A7" s="335"/>
      <c r="B7" s="335"/>
      <c r="C7" s="335"/>
      <c r="D7" s="337"/>
      <c r="E7" s="335"/>
      <c r="F7" s="335"/>
      <c r="J7" s="684" t="s">
        <v>806</v>
      </c>
    </row>
    <row r="8" spans="1:10" ht="15">
      <c r="A8" s="336" t="s">
        <v>345</v>
      </c>
      <c r="B8" s="724" t="s">
        <v>948</v>
      </c>
      <c r="C8" s="338"/>
      <c r="D8" s="336" t="s">
        <v>797</v>
      </c>
      <c r="E8" s="335"/>
      <c r="F8" s="335"/>
      <c r="J8" s="684" t="s">
        <v>807</v>
      </c>
    </row>
    <row r="9" spans="1:10" ht="15">
      <c r="A9" s="336"/>
      <c r="B9" s="339"/>
      <c r="C9" s="340"/>
      <c r="D9" s="336" t="str">
        <f>IF(B8="","",CONCATENATE("Latest date for notice to be published in your newspaper: ",G19," ",G23,", ",G24))</f>
        <v>Latest date for notice to be published in your newspaper: July 28, 2014</v>
      </c>
      <c r="E9" s="335"/>
      <c r="F9" s="335"/>
      <c r="J9" s="684" t="s">
        <v>808</v>
      </c>
    </row>
    <row r="10" spans="1:10" ht="15">
      <c r="A10" s="336" t="s">
        <v>346</v>
      </c>
      <c r="B10" s="724" t="s">
        <v>949</v>
      </c>
      <c r="C10" s="341"/>
      <c r="D10" s="336"/>
      <c r="E10" s="335"/>
      <c r="F10" s="335"/>
      <c r="J10" s="684" t="s">
        <v>809</v>
      </c>
    </row>
    <row r="11" spans="1:10" ht="15">
      <c r="A11" s="336"/>
      <c r="B11" s="336"/>
      <c r="C11" s="336"/>
      <c r="D11" s="336"/>
      <c r="E11" s="335"/>
      <c r="F11" s="335"/>
      <c r="J11" s="684" t="s">
        <v>810</v>
      </c>
    </row>
    <row r="12" spans="1:10" ht="15">
      <c r="A12" s="336" t="s">
        <v>347</v>
      </c>
      <c r="B12" s="725" t="s">
        <v>950</v>
      </c>
      <c r="C12" s="726"/>
      <c r="D12" s="726"/>
      <c r="E12" s="727"/>
      <c r="F12" s="335"/>
      <c r="J12" s="684" t="s">
        <v>811</v>
      </c>
    </row>
    <row r="13" spans="1:6" ht="15">
      <c r="A13" s="336"/>
      <c r="B13" s="336"/>
      <c r="C13" s="336"/>
      <c r="D13" s="336"/>
      <c r="E13" s="335"/>
      <c r="F13" s="335"/>
    </row>
    <row r="14" spans="1:6" ht="15">
      <c r="A14" s="336"/>
      <c r="B14" s="336"/>
      <c r="C14" s="336"/>
      <c r="D14" s="336"/>
      <c r="E14" s="335"/>
      <c r="F14" s="335"/>
    </row>
    <row r="15" spans="1:6" ht="15">
      <c r="A15" s="336" t="s">
        <v>348</v>
      </c>
      <c r="B15" s="725" t="s">
        <v>951</v>
      </c>
      <c r="C15" s="726"/>
      <c r="D15" s="726"/>
      <c r="E15" s="727"/>
      <c r="F15" s="335"/>
    </row>
    <row r="18" spans="1:6" ht="15">
      <c r="A18" s="795" t="s">
        <v>349</v>
      </c>
      <c r="B18" s="795"/>
      <c r="C18" s="336"/>
      <c r="D18" s="336"/>
      <c r="E18" s="336"/>
      <c r="F18" s="335"/>
    </row>
    <row r="19" spans="1:7" ht="15">
      <c r="A19" s="336"/>
      <c r="B19" s="336"/>
      <c r="C19" s="336"/>
      <c r="D19" s="336"/>
      <c r="E19" s="336"/>
      <c r="F19" s="335"/>
      <c r="G19" s="684" t="str">
        <f ca="1">IF(B8="","",INDIRECT(G20))</f>
        <v>July</v>
      </c>
    </row>
    <row r="20" spans="1:7" ht="15">
      <c r="A20" s="336" t="s">
        <v>345</v>
      </c>
      <c r="B20" s="339" t="s">
        <v>350</v>
      </c>
      <c r="C20" s="336"/>
      <c r="D20" s="336"/>
      <c r="E20" s="336"/>
      <c r="G20" s="685" t="str">
        <f>IF(B8="","",CONCATENATE("J",G22))</f>
        <v>J7</v>
      </c>
    </row>
    <row r="21" spans="1:7" ht="15">
      <c r="A21" s="336"/>
      <c r="B21" s="336"/>
      <c r="C21" s="336"/>
      <c r="D21" s="336"/>
      <c r="E21" s="336"/>
      <c r="G21" s="686">
        <f>B8-10</f>
        <v>41848</v>
      </c>
    </row>
    <row r="22" spans="1:7" ht="15">
      <c r="A22" s="336" t="s">
        <v>346</v>
      </c>
      <c r="B22" s="336" t="s">
        <v>351</v>
      </c>
      <c r="C22" s="336"/>
      <c r="D22" s="336"/>
      <c r="E22" s="336"/>
      <c r="G22" s="687">
        <f>IF(B8="","",MONTH(G21))</f>
        <v>7</v>
      </c>
    </row>
    <row r="23" spans="1:7" ht="15">
      <c r="A23" s="336"/>
      <c r="B23" s="336"/>
      <c r="C23" s="336"/>
      <c r="D23" s="336"/>
      <c r="E23" s="336"/>
      <c r="G23" s="688">
        <f>IF(B8="","",DAY(G21))</f>
        <v>28</v>
      </c>
    </row>
    <row r="24" spans="1:7" ht="15">
      <c r="A24" s="336" t="s">
        <v>347</v>
      </c>
      <c r="B24" s="336" t="s">
        <v>353</v>
      </c>
      <c r="C24" s="336"/>
      <c r="D24" s="336"/>
      <c r="E24" s="336"/>
      <c r="G24" s="689">
        <f>IF(B8="","",YEAR(G21))</f>
        <v>2014</v>
      </c>
    </row>
    <row r="25" spans="1:5" ht="15">
      <c r="A25" s="336"/>
      <c r="B25" s="336"/>
      <c r="C25" s="336"/>
      <c r="D25" s="336"/>
      <c r="E25" s="336"/>
    </row>
    <row r="26" spans="1:5" ht="1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70</v>
      </c>
      <c r="C1" s="798"/>
      <c r="D1" s="798"/>
      <c r="E1" s="798"/>
      <c r="F1" s="798"/>
      <c r="G1" s="798"/>
      <c r="H1" s="3">
        <f>inputPrYr!D5</f>
        <v>2015</v>
      </c>
    </row>
    <row r="2" spans="3:7" s="3" customFormat="1" ht="15">
      <c r="C2" s="134"/>
      <c r="D2" s="134"/>
      <c r="E2" s="134"/>
      <c r="F2" s="134"/>
      <c r="G2" s="51"/>
    </row>
    <row r="3" spans="2:8" s="3" customFormat="1" ht="15">
      <c r="B3" s="807" t="str">
        <f>CONCATENATE("To the Clerk of ",inputPrYr!D3,", State of Kansas")</f>
        <v>To the Clerk of Ellsworth County, State of Kansas</v>
      </c>
      <c r="C3" s="806"/>
      <c r="D3" s="806"/>
      <c r="E3" s="806"/>
      <c r="F3" s="806"/>
      <c r="G3" s="806"/>
      <c r="H3" s="806"/>
    </row>
    <row r="4" spans="2:7" s="3" customFormat="1" ht="15">
      <c r="B4" s="807" t="s">
        <v>131</v>
      </c>
      <c r="C4" s="815"/>
      <c r="D4" s="815"/>
      <c r="E4" s="815"/>
      <c r="F4" s="815"/>
      <c r="G4" s="815"/>
    </row>
    <row r="5" spans="2:7" s="3" customFormat="1" ht="15">
      <c r="B5" s="816" t="str">
        <f>inputPrYr!D2</f>
        <v>Garfield Township</v>
      </c>
      <c r="C5" s="815"/>
      <c r="D5" s="815"/>
      <c r="E5" s="815"/>
      <c r="F5" s="815"/>
      <c r="G5" s="815"/>
    </row>
    <row r="6" spans="2:7" s="3" customFormat="1" ht="1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
      <c r="D11" s="8"/>
      <c r="E11" s="802" t="str">
        <f>CONCATENATE("",H1," Adopted Budget")</f>
        <v>2015 Adopted Budget</v>
      </c>
      <c r="F11" s="803"/>
      <c r="G11" s="804"/>
    </row>
    <row r="12" spans="2:7" s="3" customFormat="1" ht="15">
      <c r="B12" s="11"/>
      <c r="D12" s="55"/>
      <c r="E12" s="243" t="s">
        <v>254</v>
      </c>
      <c r="F12" s="799" t="str">
        <f>CONCATENATE("Amount of ",H1-1," Ad Valorem Tax")</f>
        <v>Amount of 2014 Ad Valorem Tax</v>
      </c>
      <c r="G12" s="12" t="s">
        <v>255</v>
      </c>
    </row>
    <row r="13" spans="4:7" s="3" customFormat="1" ht="15">
      <c r="D13" s="12" t="s">
        <v>256</v>
      </c>
      <c r="E13" s="497" t="s">
        <v>185</v>
      </c>
      <c r="F13" s="800"/>
      <c r="G13" s="145" t="s">
        <v>257</v>
      </c>
    </row>
    <row r="14" spans="2:7" s="3" customFormat="1" ht="15">
      <c r="B14" s="60" t="s">
        <v>258</v>
      </c>
      <c r="C14" s="9"/>
      <c r="D14" s="15" t="s">
        <v>259</v>
      </c>
      <c r="E14" s="498" t="s">
        <v>684</v>
      </c>
      <c r="F14" s="80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22871</v>
      </c>
      <c r="F21" s="695">
        <f>IF(gen!$E$57&lt;&gt;0,gen!$E$57,0)</f>
        <v>19913</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22871</v>
      </c>
      <c r="F35" s="697">
        <f>SUM(F21:F30)</f>
        <v>19913</v>
      </c>
      <c r="G35" s="698">
        <f>IF(SUM(G21:G30)&gt;0,SUM(G21:G30),"")</f>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
      <c r="B39" s="53" t="s">
        <v>97</v>
      </c>
      <c r="C39" s="809" t="s">
        <v>115</v>
      </c>
      <c r="D39" s="810"/>
      <c r="E39" s="259"/>
      <c r="G39" s="11" t="s">
        <v>267</v>
      </c>
    </row>
    <row r="40" spans="2:7" s="3" customFormat="1" ht="15">
      <c r="B40" s="16" t="s">
        <v>98</v>
      </c>
      <c r="C40" s="811"/>
      <c r="D40" s="812"/>
      <c r="E40" s="260"/>
      <c r="G40" s="11"/>
    </row>
    <row r="41" spans="2:7" s="3" customFormat="1" ht="15">
      <c r="B41" s="261"/>
      <c r="C41" s="813" t="str">
        <f>CONCATENATE("Nov. 1, ",H1-1," Valuation")</f>
        <v>Nov. 1, 2014 Valuation</v>
      </c>
      <c r="D41" s="814"/>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
      <c r="B54" s="38" t="s">
        <v>270</v>
      </c>
      <c r="C54" s="3"/>
      <c r="D54" s="3"/>
      <c r="E54" s="796" t="s">
        <v>269</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7">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Garfield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19186</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19186</v>
      </c>
    </row>
    <row r="8" spans="1:10" ht="15">
      <c r="A8" s="3"/>
      <c r="B8" s="3"/>
      <c r="C8" s="3"/>
      <c r="D8" s="3"/>
      <c r="E8" s="44"/>
      <c r="F8" s="44"/>
      <c r="G8" s="44"/>
      <c r="H8" s="44"/>
      <c r="I8" s="44"/>
      <c r="J8" s="44"/>
    </row>
    <row r="9" spans="1:10" ht="1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33314</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30920</v>
      </c>
      <c r="F14" s="235"/>
      <c r="G14" s="44"/>
      <c r="H14" s="44"/>
      <c r="I14" s="42"/>
      <c r="J14" s="44"/>
    </row>
    <row r="15" spans="1:10" ht="15">
      <c r="A15" s="234"/>
      <c r="B15" s="3" t="s">
        <v>87</v>
      </c>
      <c r="C15" s="3" t="str">
        <f>CONCATENATE("Personal property ",J1-2,"")</f>
        <v>Personal property 2013</v>
      </c>
      <c r="D15" s="234" t="s">
        <v>82</v>
      </c>
      <c r="E15" s="238">
        <f>inputOth!E11</f>
        <v>40847</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12916</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46230</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2060956</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2014726</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0.022946048246759113</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440</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19626</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19626</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287.78999999999996</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19913.79</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Garfield Township</v>
      </c>
      <c r="C1" s="3"/>
      <c r="D1" s="3"/>
      <c r="E1" s="3"/>
      <c r="F1" s="3"/>
      <c r="G1" s="3"/>
      <c r="H1" s="3"/>
      <c r="I1" s="3"/>
      <c r="J1" s="4">
        <f>inputPrYr!D5</f>
        <v>2015</v>
      </c>
      <c r="K1" s="4"/>
      <c r="L1" s="79"/>
    </row>
    <row r="2" spans="2:12" ht="15">
      <c r="B2" s="2" t="str">
        <f>inputPrYr!D3</f>
        <v>Ellsworth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728</v>
      </c>
      <c r="C6" s="797"/>
      <c r="D6" s="797"/>
      <c r="E6" s="797"/>
      <c r="F6" s="797"/>
      <c r="G6" s="797"/>
      <c r="H6" s="797"/>
      <c r="I6" s="797"/>
      <c r="J6" s="797"/>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19186</v>
      </c>
      <c r="E11" s="120">
        <f>IF(inputOth!D17&gt;0,inputOth!D17,"  ")</f>
        <v>10.222</v>
      </c>
      <c r="F11" s="690"/>
      <c r="G11" s="150">
        <f>IF(inputPrYr!E16=0,0,G23-SUM(G12:G20))</f>
        <v>756</v>
      </c>
      <c r="H11" s="691"/>
      <c r="I11" s="150">
        <f>IF(inputPrYr!E16=0,0,I25-SUM(I12:I20))</f>
        <v>27</v>
      </c>
      <c r="J11" s="150">
        <f>IF(inputPrYr!E16=0,0,J27-SUM(J12:J20))</f>
        <v>527</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19186</v>
      </c>
      <c r="E21" s="693">
        <f>SUM(E11:E20)</f>
        <v>10.222</v>
      </c>
      <c r="F21" s="694"/>
      <c r="G21" s="692">
        <f>SUM(G11:G20)</f>
        <v>756</v>
      </c>
      <c r="H21" s="692"/>
      <c r="I21" s="692">
        <f>SUM(I11:I20)</f>
        <v>27</v>
      </c>
      <c r="J21" s="692">
        <f>SUM(J11:J20)</f>
        <v>527</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756</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27</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527</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0.03940373188783488</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0.0014072761388512457</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0.027467945376837277</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Garfield Township</v>
      </c>
      <c r="B2" s="77"/>
      <c r="C2" s="3"/>
      <c r="D2" s="3"/>
      <c r="E2" s="41"/>
      <c r="F2" s="3"/>
    </row>
    <row r="3" spans="1:6" ht="15">
      <c r="A3" s="2"/>
      <c r="B3" s="77"/>
      <c r="C3" s="3"/>
      <c r="D3" s="3"/>
      <c r="E3" s="41"/>
      <c r="F3" s="3"/>
    </row>
    <row r="4" spans="1:6" ht="1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2000</v>
      </c>
      <c r="D12" s="212">
        <f>gen!$D$45</f>
        <v>0</v>
      </c>
      <c r="E12" s="212">
        <f>gen!$E$45</f>
        <v>0</v>
      </c>
      <c r="F12" s="62" t="str">
        <f>IF(C12+D12+E12&gt;0,"80-122","")</f>
        <v>80-122</v>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2000</v>
      </c>
      <c r="D27" s="217">
        <f>SUM(D10:D26)</f>
        <v>0</v>
      </c>
      <c r="E27" s="217">
        <f>SUM(E10:E26)</f>
        <v>0</v>
      </c>
      <c r="F27" s="118"/>
    </row>
    <row r="28" spans="1:6" ht="15">
      <c r="A28" s="118"/>
      <c r="B28" s="216" t="s">
        <v>576</v>
      </c>
      <c r="C28" s="118"/>
      <c r="D28" s="213"/>
      <c r="E28" s="213"/>
      <c r="F28" s="118"/>
    </row>
    <row r="29" spans="1:6" ht="15">
      <c r="A29" s="118"/>
      <c r="B29" s="168" t="s">
        <v>154</v>
      </c>
      <c r="C29" s="218">
        <f>C27</f>
        <v>2000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
      <c r="A2" s="69"/>
    </row>
    <row r="3" ht="51" customHeight="1">
      <c r="A3" s="369" t="s">
        <v>675</v>
      </c>
    </row>
    <row r="4" ht="17.25" customHeight="1">
      <c r="A4" s="369"/>
    </row>
    <row r="5" ht="15">
      <c r="A5" s="69"/>
    </row>
    <row r="6" ht="52.5" customHeight="1">
      <c r="A6" s="153" t="s">
        <v>331</v>
      </c>
    </row>
    <row r="7" ht="15">
      <c r="A7" s="69"/>
    </row>
    <row r="8" ht="15">
      <c r="A8" s="69"/>
    </row>
    <row r="9" ht="70.5" customHeight="1">
      <c r="A9" s="153" t="s">
        <v>332</v>
      </c>
    </row>
    <row r="10" ht="15">
      <c r="A10" s="154"/>
    </row>
    <row r="11" ht="15">
      <c r="A11" s="154"/>
    </row>
    <row r="12" ht="62.25">
      <c r="A12" s="456" t="s">
        <v>676</v>
      </c>
    </row>
    <row r="13" ht="15">
      <c r="A13" s="154"/>
    </row>
    <row r="14" ht="15">
      <c r="A14" s="154"/>
    </row>
    <row r="15" ht="62.25">
      <c r="A15" s="456" t="s">
        <v>677</v>
      </c>
    </row>
    <row r="16" ht="15">
      <c r="A16" s="154"/>
    </row>
    <row r="17" ht="15">
      <c r="A17" s="69"/>
    </row>
    <row r="18" ht="56.25" customHeight="1">
      <c r="A18" s="153" t="s">
        <v>333</v>
      </c>
    </row>
    <row r="19" ht="15">
      <c r="A19" s="154"/>
    </row>
    <row r="20" ht="15">
      <c r="A20" s="154"/>
    </row>
    <row r="21" ht="87.75" customHeight="1">
      <c r="A21" s="153" t="s">
        <v>334</v>
      </c>
    </row>
    <row r="22" ht="15">
      <c r="A22" s="154"/>
    </row>
    <row r="23" ht="15">
      <c r="A23" s="69"/>
    </row>
    <row r="24" ht="54.75" customHeight="1">
      <c r="A24" s="153" t="s">
        <v>335</v>
      </c>
    </row>
    <row r="25" ht="15">
      <c r="A25" s="69"/>
    </row>
    <row r="26" ht="15.75" customHeight="1">
      <c r="A26" s="69"/>
    </row>
    <row r="27" ht="69" customHeight="1">
      <c r="A27" s="153" t="s">
        <v>336</v>
      </c>
    </row>
    <row r="28" ht="15.75" customHeight="1">
      <c r="A28" s="153"/>
    </row>
    <row r="29" ht="15.75" customHeight="1">
      <c r="A29" s="153"/>
    </row>
    <row r="30" ht="87" customHeight="1">
      <c r="A30" s="153" t="s">
        <v>725</v>
      </c>
    </row>
    <row r="31" ht="15">
      <c r="A31" s="69"/>
    </row>
    <row r="32" ht="15">
      <c r="A32" s="198"/>
    </row>
    <row r="33" ht="47.25" customHeight="1">
      <c r="A33" s="199" t="s">
        <v>337</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2014-07-09T14:42:45Z</cp:lastPrinted>
  <dcterms:created xsi:type="dcterms:W3CDTF">1998-08-26T16:30:41Z</dcterms:created>
  <dcterms:modified xsi:type="dcterms:W3CDTF">2014-07-09T22:24:35Z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