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road" sheetId="11" r:id="rId11"/>
    <sheet name="Library Grant" sheetId="12" r:id="rId12"/>
    <sheet name="gen" sheetId="13" r:id="rId13"/>
    <sheet name="DebtSvs-Library" sheetId="14" r:id="rId14"/>
    <sheet name="summ"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0">'road'!$B$1:$F$68</definedName>
    <definedName name="_xlnm.Print_Area" localSheetId="14">'summ'!$B$2:$I$49</definedName>
  </definedNames>
  <calcPr fullCalcOnLoad="1"/>
</workbook>
</file>

<file path=xl/sharedStrings.xml><?xml version="1.0" encoding="utf-8"?>
<sst xmlns="http://schemas.openxmlformats.org/spreadsheetml/2006/main" count="1571" uniqueCount="952">
  <si>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</si>
  <si>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</si>
  <si>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</si>
  <si>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</si>
  <si>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</si>
  <si>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</si>
  <si>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</si>
  <si>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</si>
  <si>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</si>
  <si>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</si>
  <si>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</si>
  <si>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</si>
  <si>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</si>
  <si>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</si>
  <si>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</si>
  <si>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</si>
  <si>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</si>
  <si>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</si>
  <si>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</si>
  <si>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</si>
  <si>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</si>
  <si>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</si>
  <si>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</si>
  <si>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</si>
  <si>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</si>
  <si>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</si>
  <si>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</si>
  <si>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</si>
  <si>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</si>
  <si>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</si>
  <si>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</si>
  <si>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</si>
  <si>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</si>
  <si>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</si>
  <si>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</si>
  <si>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</si>
  <si>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</si>
  <si>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</si>
  <si>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</si>
  <si>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</si>
  <si>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</si>
  <si>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</si>
  <si>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</si>
  <si>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</si>
  <si>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</si>
  <si>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</si>
  <si>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</si>
  <si>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</si>
  <si>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</si>
  <si>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</si>
  <si>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</si>
  <si>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</si>
  <si>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</si>
  <si>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</si>
  <si>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</si>
  <si>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</si>
  <si>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</si>
  <si>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</si>
  <si>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</si>
  <si>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</si>
  <si>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</si>
  <si>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</si>
  <si>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</si>
  <si>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</si>
  <si>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</si>
  <si>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</si>
  <si>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</si>
  <si>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</si>
  <si>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</si>
  <si>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</si>
  <si>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</si>
  <si>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</si>
  <si>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</si>
  <si>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</si>
  <si>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</si>
  <si>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</si>
  <si>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</si>
  <si>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</si>
  <si>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</si>
  <si>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</si>
  <si>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</si>
  <si>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</si>
  <si>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</si>
  <si>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</si>
  <si>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</si>
  <si>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</si>
  <si>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</si>
  <si>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</si>
  <si>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</si>
  <si>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</si>
  <si>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</si>
  <si>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</si>
  <si>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</si>
  <si>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</si>
  <si>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</si>
  <si>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</si>
  <si>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</si>
  <si>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</si>
  <si>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</si>
  <si>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</si>
  <si>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</si>
  <si>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</si>
  <si>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</si>
  <si>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</si>
  <si>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</si>
  <si>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</si>
  <si>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</si>
  <si>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</si>
  <si>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</si>
  <si>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</si>
  <si>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</si>
  <si>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</si>
  <si>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</si>
  <si>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</si>
  <si>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</si>
  <si>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</si>
  <si>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</si>
  <si>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</si>
  <si>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</si>
  <si>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</si>
  <si>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</si>
  <si>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</si>
  <si>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</si>
  <si>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</si>
  <si>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</si>
  <si>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</si>
  <si>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</si>
  <si>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</si>
  <si>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</si>
  <si>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</si>
  <si>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</si>
  <si>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</si>
  <si>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</si>
  <si>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</si>
  <si>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</si>
  <si>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</si>
  <si>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</si>
  <si>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</si>
  <si>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</si>
  <si>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</si>
  <si>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</si>
  <si>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</si>
  <si>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</si>
  <si>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</si>
  <si>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</si>
  <si>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</si>
  <si>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</si>
  <si>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</si>
  <si>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</si>
  <si>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</si>
  <si>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</si>
  <si>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</si>
  <si>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</si>
  <si>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</si>
  <si>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</si>
  <si>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</si>
  <si>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</si>
  <si>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</si>
  <si>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</si>
  <si>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</si>
  <si>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</si>
  <si>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</si>
  <si>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</si>
  <si>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</si>
  <si>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</si>
  <si>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</si>
  <si>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</si>
  <si>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</si>
  <si>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</si>
  <si>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</si>
  <si>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</si>
  <si>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</si>
  <si>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</si>
  <si>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</si>
  <si>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</si>
  <si>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</si>
  <si>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</si>
  <si>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</si>
  <si>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</si>
  <si>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</si>
  <si>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</si>
  <si>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</si>
  <si>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</si>
  <si>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</si>
  <si>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</si>
  <si>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</si>
  <si>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</si>
  <si>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</si>
  <si>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</si>
  <si>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</si>
  <si>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</si>
  <si>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</si>
  <si>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</si>
  <si>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</si>
  <si>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</si>
  <si>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</si>
  <si>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</si>
  <si>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</si>
  <si>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</si>
  <si>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</si>
  <si>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</si>
  <si>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</si>
  <si>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</si>
  <si>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</si>
  <si>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</si>
  <si>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</si>
  <si>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</si>
  <si>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</si>
  <si>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</si>
  <si>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</si>
  <si>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</si>
  <si>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</si>
  <si>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</si>
  <si>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</si>
  <si>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</si>
  <si>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</si>
  <si>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</si>
  <si>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</si>
  <si>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</si>
  <si>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</si>
  <si>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</si>
  <si>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</si>
  <si>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</si>
  <si>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</si>
  <si>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</si>
  <si>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</si>
  <si>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</si>
  <si>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</si>
  <si>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</si>
  <si>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</si>
  <si>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</si>
  <si>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</si>
  <si>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</si>
  <si>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</si>
  <si>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</si>
  <si>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</si>
  <si>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</si>
  <si>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</si>
  <si>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</si>
  <si>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</si>
  <si>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</si>
  <si>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</si>
  <si>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</si>
  <si>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</si>
  <si>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</si>
  <si>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</si>
  <si>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</si>
  <si>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</si>
  <si>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</si>
  <si>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</si>
  <si>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</si>
  <si>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</si>
  <si>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</si>
  <si>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</si>
  <si>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</si>
  <si>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</si>
  <si>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</si>
  <si>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</si>
  <si>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</si>
  <si>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</si>
  <si>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</si>
  <si>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</si>
  <si>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</si>
  <si>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</si>
  <si>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</si>
  <si>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</si>
  <si>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</si>
  <si>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</si>
  <si>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</si>
  <si>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</si>
  <si>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</si>
  <si>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</si>
  <si>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</si>
  <si>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</si>
  <si>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</si>
  <si>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</si>
  <si>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</si>
  <si>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</si>
  <si>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</si>
  <si>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</si>
  <si>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</si>
  <si>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</si>
  <si>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</si>
  <si>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</si>
  <si>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</si>
  <si>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</si>
  <si>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</si>
  <si>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</si>
  <si>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</si>
  <si>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</si>
  <si>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</si>
  <si>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</si>
  <si>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</si>
  <si>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</si>
  <si>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</si>
  <si>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</si>
  <si>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</si>
  <si>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</si>
  <si>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</si>
  <si>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</si>
  <si>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</si>
  <si>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</si>
  <si>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</si>
  <si>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</si>
  <si>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</si>
  <si>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</si>
  <si>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</si>
  <si>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</si>
  <si>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</si>
  <si>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</si>
  <si>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</si>
  <si>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</si>
  <si>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</si>
  <si>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</si>
  <si>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</si>
  <si>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</si>
  <si>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</si>
  <si>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</si>
  <si>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</si>
  <si>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</si>
  <si>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</si>
  <si>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</si>
  <si>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</si>
  <si>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</si>
  <si>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</si>
  <si>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</si>
  <si>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</si>
  <si>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</si>
  <si>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</si>
  <si>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</si>
  <si>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</si>
  <si>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</si>
  <si>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</si>
  <si>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</si>
  <si>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</si>
  <si>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</si>
  <si>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</si>
  <si>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</si>
  <si>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</si>
  <si>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</si>
  <si>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</si>
  <si>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</si>
  <si>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</si>
  <si>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</si>
  <si>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</si>
  <si>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</si>
  <si>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</si>
  <si>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</si>
  <si>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</si>
  <si>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</si>
  <si>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</si>
  <si>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</si>
  <si>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</si>
  <si>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</si>
  <si>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</si>
  <si>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</si>
  <si>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</si>
  <si>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</si>
  <si>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</si>
  <si>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</si>
  <si>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</si>
  <si>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</si>
  <si>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</si>
  <si>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</si>
  <si>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</si>
  <si>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</si>
  <si>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</si>
  <si>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</si>
  <si>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</si>
  <si>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</si>
  <si>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</si>
  <si>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</si>
  <si>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</si>
  <si>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</si>
  <si>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</si>
  <si>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</si>
  <si>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</si>
  <si>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</si>
  <si>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</si>
  <si>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</si>
  <si>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</si>
  <si>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</si>
  <si>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</si>
  <si>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</si>
  <si>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</si>
  <si>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</si>
  <si>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</si>
  <si>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</si>
  <si>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</si>
  <si>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</si>
  <si>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</si>
  <si>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</si>
  <si>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</si>
  <si>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</si>
  <si>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</si>
  <si>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</si>
  <si>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</si>
  <si>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</si>
  <si>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</si>
  <si>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</si>
  <si>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</si>
  <si>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</si>
  <si>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</si>
  <si>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</si>
  <si>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</si>
  <si>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</si>
  <si>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</si>
  <si>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</si>
  <si>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</si>
  <si>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</si>
  <si>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</si>
  <si>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</si>
  <si>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</si>
  <si>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</si>
  <si>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</si>
  <si>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</si>
  <si>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</si>
  <si>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</si>
  <si>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</si>
  <si>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</si>
  <si>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</si>
  <si>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</si>
  <si>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</si>
  <si>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</si>
  <si>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</si>
  <si>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</si>
  <si>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</si>
  <si>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</si>
  <si>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</si>
  <si>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</si>
  <si>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</si>
  <si>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</si>
  <si>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</si>
  <si>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</si>
  <si>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</si>
  <si>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</si>
  <si>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</si>
  <si>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</si>
  <si>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</si>
  <si>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</si>
  <si>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</si>
  <si>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</si>
  <si>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</si>
  <si>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</si>
  <si>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</si>
  <si>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</si>
  <si>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</si>
  <si>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</si>
  <si>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</si>
  <si>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</si>
  <si>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</si>
  <si>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</si>
  <si>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</si>
  <si>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</si>
  <si>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</si>
  <si>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</si>
  <si>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</si>
  <si>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</si>
  <si>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</si>
  <si>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</si>
  <si>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</si>
  <si>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</si>
  <si>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</si>
  <si>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</si>
  <si>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</si>
  <si>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</si>
  <si>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</si>
  <si>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</si>
  <si>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</si>
  <si>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</si>
  <si>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</si>
  <si>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</si>
  <si>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</si>
  <si>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</si>
  <si>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</si>
  <si>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</si>
  <si>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</si>
  <si>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</si>
  <si>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</si>
  <si>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</si>
  <si>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</si>
  <si>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</si>
  <si>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</si>
  <si>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</si>
  <si>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</si>
  <si>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</si>
  <si>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</si>
  <si>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</si>
  <si>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</si>
  <si>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</si>
  <si>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</si>
  <si>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</si>
  <si>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</si>
  <si>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</si>
  <si>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</si>
  <si>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</si>
  <si>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</si>
  <si>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</si>
  <si>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</si>
  <si>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</si>
  <si>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</si>
  <si>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</si>
  <si>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</si>
  <si>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</si>
  <si>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</si>
  <si>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</si>
  <si>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</si>
  <si>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</si>
  <si>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</si>
  <si>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</si>
  <si>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</si>
  <si>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</si>
  <si>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</si>
  <si>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</si>
  <si>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</si>
  <si>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</si>
  <si>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</si>
  <si>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</si>
  <si>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</si>
  <si>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</si>
  <si>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</si>
  <si>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</si>
  <si>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</si>
  <si>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</si>
  <si>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</si>
  <si>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</si>
  <si>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</si>
  <si>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</si>
  <si>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</si>
  <si>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</si>
  <si>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</si>
  <si>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</si>
  <si>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</si>
  <si>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</si>
  <si>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</si>
  <si>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</si>
  <si>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</si>
  <si>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</si>
  <si>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</si>
  <si>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</si>
  <si>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</si>
  <si>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</si>
  <si>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</si>
  <si>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</si>
  <si>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</si>
  <si>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</si>
  <si>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</si>
  <si>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</si>
  <si>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</si>
  <si>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</si>
  <si>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</si>
  <si>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</si>
  <si>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</si>
  <si>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</si>
  <si>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</si>
  <si>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</si>
  <si>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</si>
  <si>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</si>
  <si>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</si>
  <si>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</si>
  <si>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</si>
  <si>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</si>
  <si>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</si>
  <si>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</si>
  <si>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</si>
  <si>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</si>
  <si>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</si>
  <si>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</si>
  <si>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</si>
  <si>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</si>
  <si>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</si>
  <si>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</si>
  <si>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</si>
  <si>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</si>
  <si>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</si>
  <si>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</si>
  <si>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</si>
  <si>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</si>
  <si>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</si>
  <si>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</si>
  <si>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</si>
  <si>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</si>
  <si>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</si>
  <si>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</si>
  <si>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</si>
  <si>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</si>
  <si>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</si>
  <si>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</si>
  <si>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</si>
  <si>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</si>
  <si>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</si>
  <si>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</si>
  <si>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</si>
  <si>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</si>
  <si>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</si>
  <si>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</si>
  <si>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</si>
  <si>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</si>
  <si>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</si>
  <si>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</si>
  <si>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</si>
  <si>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</si>
  <si>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</si>
  <si>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</si>
  <si>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</si>
  <si>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</si>
  <si>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</si>
  <si>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</si>
  <si>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</si>
  <si>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</si>
  <si>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</si>
  <si>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</si>
  <si>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</si>
  <si>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</si>
  <si>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</si>
  <si>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</si>
  <si>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</si>
  <si>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</si>
  <si>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</si>
  <si>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</si>
  <si>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</si>
  <si>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</si>
  <si>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</si>
  <si>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</si>
  <si>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</si>
  <si>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</si>
  <si>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</si>
  <si>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</si>
  <si>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</si>
  <si>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</si>
  <si>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</si>
  <si>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</si>
  <si>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</si>
  <si>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</si>
  <si>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</si>
  <si>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</si>
  <si>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</si>
  <si>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</si>
  <si>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</si>
  <si>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</si>
  <si>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</si>
  <si>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</si>
  <si>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</si>
  <si>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</si>
  <si>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</si>
  <si>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</si>
  <si>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</si>
  <si>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</si>
  <si>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</si>
  <si>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</si>
  <si>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</si>
  <si>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</si>
  <si>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</si>
  <si>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</si>
  <si>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</si>
  <si>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</si>
  <si>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</si>
  <si>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</si>
  <si>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</si>
  <si>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</si>
  <si>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</si>
  <si>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</si>
  <si>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</si>
  <si>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</si>
  <si>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</si>
  <si>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</si>
  <si>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</si>
  <si>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</si>
  <si>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</si>
  <si>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</si>
  <si>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</si>
  <si>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</si>
  <si>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</si>
  <si>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</si>
  <si>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</si>
  <si>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</si>
  <si>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</si>
  <si>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</si>
  <si>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</si>
  <si>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</si>
  <si>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</si>
  <si>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</si>
  <si>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</si>
  <si>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</si>
  <si>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</si>
  <si>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</si>
  <si>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</si>
  <si>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</si>
  <si>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</si>
  <si>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</si>
  <si>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</si>
  <si>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</si>
  <si>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</si>
  <si>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</si>
  <si>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</si>
  <si>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</si>
  <si>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</si>
  <si>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</si>
  <si>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</si>
  <si>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</si>
  <si>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</si>
  <si>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</si>
  <si>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</si>
  <si>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</si>
  <si>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</si>
  <si>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</si>
  <si>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</si>
  <si>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</si>
  <si>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</si>
  <si>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</si>
  <si>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</si>
  <si>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</si>
  <si>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</si>
  <si>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</si>
  <si>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</si>
  <si>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</si>
  <si>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</si>
  <si>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</si>
  <si>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</si>
  <si>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</si>
  <si>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</si>
  <si>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</si>
  <si>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</si>
  <si>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</si>
  <si>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</si>
  <si>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</si>
  <si>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</si>
  <si>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</si>
  <si>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</si>
  <si>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</si>
  <si>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</si>
  <si>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</si>
  <si>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</si>
  <si>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</si>
  <si>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</si>
  <si>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</si>
  <si>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</si>
  <si>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</si>
  <si>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</si>
  <si>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</si>
  <si>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</si>
  <si>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</si>
  <si>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</si>
  <si>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</si>
  <si>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</si>
  <si>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</si>
  <si>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</si>
  <si>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</si>
  <si>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</si>
  <si>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</si>
  <si>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</si>
  <si>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</si>
  <si>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</si>
  <si>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</si>
  <si>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</si>
  <si>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</si>
  <si>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</si>
  <si>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</si>
  <si>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</si>
  <si>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</si>
  <si>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</si>
  <si>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</si>
  <si>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</si>
  <si>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</si>
  <si>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</si>
  <si>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</si>
  <si>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</si>
  <si>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</si>
  <si>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</si>
  <si>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</si>
  <si>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</si>
  <si>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</si>
  <si>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</si>
  <si>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</si>
  <si>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</si>
  <si>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</si>
  <si>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</si>
  <si>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</si>
  <si>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</si>
  <si>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</si>
  <si>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</si>
  <si>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</si>
  <si>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</si>
  <si>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</si>
  <si>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</si>
  <si>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</si>
  <si>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</si>
  <si>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</si>
  <si>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</si>
  <si>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</si>
  <si>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</si>
  <si>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</si>
  <si>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</si>
  <si>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</si>
  <si>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</si>
  <si>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</si>
  <si>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</si>
  <si>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</si>
  <si>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</si>
  <si>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</si>
  <si>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</si>
  <si>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</si>
  <si>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</si>
  <si>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</si>
  <si>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</si>
  <si>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</si>
  <si>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</si>
  <si>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</si>
  <si>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</si>
  <si>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</si>
  <si>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</si>
  <si>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</si>
  <si>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</si>
  <si>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</si>
  <si>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</si>
  <si>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</si>
  <si>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</si>
  <si>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</si>
  <si>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</si>
  <si>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</si>
  <si>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</si>
  <si>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</si>
  <si>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</si>
  <si>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</si>
  <si>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</si>
  <si>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</si>
  <si>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</si>
  <si>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</si>
  <si>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</si>
  <si>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</si>
  <si>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</si>
  <si>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</si>
  <si>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</si>
  <si>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</si>
  <si>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</si>
  <si>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</si>
  <si>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</si>
  <si>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</si>
  <si>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</si>
  <si>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</si>
  <si>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</si>
  <si>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</si>
  <si>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</si>
  <si>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</si>
  <si>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</si>
  <si>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</si>
  <si>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</si>
  <si>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</si>
  <si>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</si>
  <si>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</si>
  <si>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</si>
  <si>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</si>
  <si>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</si>
  <si>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</si>
  <si>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</si>
  <si>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</si>
  <si>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</si>
  <si>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</si>
  <si>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</si>
  <si>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</si>
  <si>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</si>
  <si>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</si>
  <si>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</si>
  <si>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</si>
  <si>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</si>
  <si>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</si>
  <si>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</si>
  <si>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</si>
  <si>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</si>
  <si>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</si>
  <si>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</si>
  <si>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</si>
  <si>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</si>
  <si>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</si>
  <si>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</si>
  <si>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</si>
  <si>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</si>
  <si>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</si>
  <si>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</si>
  <si>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</si>
  <si>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</si>
  <si>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</si>
  <si>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</si>
  <si>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</si>
  <si>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</si>
  <si>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</si>
  <si>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</si>
  <si>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</si>
  <si>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</si>
  <si>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</si>
  <si>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</si>
  <si>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</si>
  <si>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</si>
  <si>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</si>
  <si>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</si>
  <si>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</si>
  <si>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</si>
  <si>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</si>
  <si>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</si>
  <si>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</si>
  <si>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</si>
  <si>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</si>
  <si>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</si>
  <si>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</si>
  <si>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</si>
  <si>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</si>
  <si>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</si>
  <si>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</si>
  <si>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</si>
  <si>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</si>
  <si>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</si>
  <si>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</si>
  <si>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</si>
  <si>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</si>
  <si>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</si>
  <si>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</si>
  <si>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</si>
  <si>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</si>
  <si>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</si>
  <si>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</si>
  <si>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</si>
  <si>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</si>
  <si>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</si>
  <si>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</si>
  <si>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</si>
  <si>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</si>
  <si>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</si>
  <si>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</si>
  <si>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</si>
  <si>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</si>
  <si>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</si>
  <si>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</si>
  <si>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</si>
  <si>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</si>
  <si>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</si>
  <si>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</si>
  <si>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</si>
  <si>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</si>
  <si>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</si>
  <si>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</si>
  <si>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Erie Township</t>
  </si>
  <si>
    <t>Sedgwick County</t>
  </si>
  <si>
    <t>Labor</t>
  </si>
  <si>
    <t>Operating Expenses</t>
  </si>
  <si>
    <t>Material/Supplies (Road)</t>
  </si>
  <si>
    <t>Watercraft Tax</t>
  </si>
  <si>
    <t>Roger Gregory</t>
  </si>
  <si>
    <t>Erie Township Treasurer</t>
  </si>
  <si>
    <t>7:00 PM</t>
  </si>
  <si>
    <t>August 8th, 2014</t>
  </si>
  <si>
    <t>35626 W 111th St. So, Milton, KS</t>
  </si>
  <si>
    <t>Sedgwick County Clerk's Office, 525 N Main #211, Wichita,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</si>
</sst>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161</v>
      </c>
    </row>
    <row r="3" ht="34.5" customHeight="1">
      <c r="A3" s="718" t="s">
        <v>889</v>
      </c>
    </row>
    <row r="4" ht="15.75">
      <c r="A4" s="319"/>
    </row>
    <row r="5" ht="52.5" customHeight="1">
      <c r="A5" s="316" t="s">
        <v>295</v>
      </c>
    </row>
    <row r="6" ht="15.75">
      <c r="A6" s="316"/>
    </row>
    <row r="7" ht="34.5" customHeight="1">
      <c r="A7" s="316" t="s">
        <v>811</v>
      </c>
    </row>
    <row r="8" ht="15.75">
      <c r="A8" s="316"/>
    </row>
    <row r="9" ht="15.75">
      <c r="A9" s="316" t="s">
        <v>153</v>
      </c>
    </row>
    <row r="12" ht="15.75">
      <c r="A12" s="317" t="s">
        <v>196</v>
      </c>
    </row>
    <row r="13" ht="15.75">
      <c r="A13" s="317"/>
    </row>
    <row r="14" ht="18.75" customHeight="1">
      <c r="A14" s="319" t="s">
        <v>198</v>
      </c>
    </row>
    <row r="16" ht="39" customHeight="1">
      <c r="A16" s="320" t="s">
        <v>326</v>
      </c>
    </row>
    <row r="17" ht="9.75" customHeight="1">
      <c r="A17" s="320"/>
    </row>
    <row r="20" ht="15.75">
      <c r="A20" s="317" t="s">
        <v>154</v>
      </c>
    </row>
    <row r="22" ht="34.5" customHeight="1">
      <c r="A22" s="316" t="s">
        <v>199</v>
      </c>
    </row>
    <row r="23" ht="9.75" customHeight="1">
      <c r="A23" s="316"/>
    </row>
    <row r="24" ht="15.75">
      <c r="A24" s="321" t="s">
        <v>155</v>
      </c>
    </row>
    <row r="25" ht="15.75">
      <c r="A25" s="316"/>
    </row>
    <row r="26" ht="17.25" customHeight="1">
      <c r="A26" s="322" t="s">
        <v>156</v>
      </c>
    </row>
    <row r="27" ht="17.25" customHeight="1">
      <c r="A27" s="323"/>
    </row>
    <row r="28" ht="87.75" customHeight="1">
      <c r="A28" s="324" t="s">
        <v>177</v>
      </c>
    </row>
    <row r="30" ht="15.75">
      <c r="A30" s="325" t="s">
        <v>157</v>
      </c>
    </row>
    <row r="32" ht="15.75">
      <c r="A32" s="110" t="s">
        <v>197</v>
      </c>
    </row>
    <row r="34" ht="15.75">
      <c r="A34" s="316" t="s">
        <v>158</v>
      </c>
    </row>
    <row r="37" ht="15.7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75">
      <c r="A60" s="316"/>
    </row>
    <row r="61" ht="68.25" customHeight="1">
      <c r="A61" s="705" t="s">
        <v>819</v>
      </c>
    </row>
    <row r="62" ht="15.7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P107" sqref="P107"/>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Erie Township</v>
      </c>
      <c r="C1" s="156"/>
      <c r="D1" s="156"/>
      <c r="E1" s="156"/>
      <c r="F1" s="156"/>
      <c r="G1" s="156"/>
      <c r="H1" s="156"/>
      <c r="I1" s="156"/>
      <c r="J1" s="3"/>
      <c r="K1" s="3"/>
      <c r="L1" s="4">
        <f>inputPrYr!D5</f>
        <v>2015</v>
      </c>
    </row>
    <row r="2" spans="2:12" ht="15.75">
      <c r="B2" s="155" t="str">
        <f>inputPrYr!$D$3</f>
        <v>Sedgwick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788</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112</v>
      </c>
      <c r="G6" s="164" t="s">
        <v>57</v>
      </c>
      <c r="H6" s="165"/>
      <c r="I6" s="164">
        <f>L1-1</f>
        <v>2014</v>
      </c>
      <c r="J6" s="165"/>
      <c r="K6" s="164">
        <f>L1</f>
        <v>2015</v>
      </c>
      <c r="L6" s="165"/>
    </row>
    <row r="7" spans="2:12" ht="15.75">
      <c r="B7" s="166" t="s">
        <v>789</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131</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132</v>
      </c>
      <c r="C15" s="178"/>
      <c r="D15" s="179"/>
      <c r="E15" s="21"/>
      <c r="F15" s="147">
        <f>SUM(F13:F14)</f>
        <v>0</v>
      </c>
      <c r="G15" s="180"/>
      <c r="H15" s="180"/>
      <c r="I15" s="147">
        <f>SUM(I13:I14)</f>
        <v>0</v>
      </c>
      <c r="J15" s="147">
        <f>SUM(J13:J14)</f>
        <v>0</v>
      </c>
      <c r="K15" s="147">
        <f>SUM(K13:K14)</f>
        <v>0</v>
      </c>
      <c r="L15" s="147">
        <f>SUM(L13:L14)</f>
        <v>0</v>
      </c>
    </row>
    <row r="16" spans="2:12" ht="15.75">
      <c r="B16" s="181" t="s">
        <v>790</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250</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791</v>
      </c>
      <c r="C22" s="163" t="s">
        <v>64</v>
      </c>
      <c r="D22" s="163" t="s">
        <v>65</v>
      </c>
      <c r="E22" s="163" t="s">
        <v>3</v>
      </c>
      <c r="F22" s="163" t="s">
        <v>66</v>
      </c>
      <c r="G22" s="163" t="s">
        <v>105</v>
      </c>
      <c r="H22" s="163" t="s">
        <v>67</v>
      </c>
      <c r="I22" s="163" t="s">
        <v>67</v>
      </c>
      <c r="J22" s="185"/>
      <c r="K22" s="185"/>
      <c r="L22" s="185"/>
    </row>
    <row r="23" spans="2:12" s="186" customFormat="1" ht="15.75">
      <c r="B23" s="166" t="s">
        <v>792</v>
      </c>
      <c r="C23" s="166" t="s">
        <v>54</v>
      </c>
      <c r="D23" s="192" t="s">
        <v>68</v>
      </c>
      <c r="E23" s="166" t="s">
        <v>29</v>
      </c>
      <c r="F23" s="192" t="s">
        <v>113</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0">
      <selection activeCell="P107" sqref="P10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Erie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108</v>
      </c>
      <c r="C6" s="18">
        <v>0</v>
      </c>
      <c r="D6" s="364">
        <f>C44</f>
        <v>51.929999999993015</v>
      </c>
      <c r="E6" s="21">
        <f>D44</f>
        <v>1051.929999999993</v>
      </c>
    </row>
    <row r="7" spans="2:5" ht="15.75">
      <c r="B7" s="16" t="s">
        <v>110</v>
      </c>
      <c r="C7" s="364"/>
      <c r="D7" s="364"/>
      <c r="E7" s="22"/>
    </row>
    <row r="8" spans="2:5" ht="15.75">
      <c r="B8" s="16" t="s">
        <v>16</v>
      </c>
      <c r="C8" s="18">
        <f>2865.85+25215.56+3853.14</f>
        <v>31934.55</v>
      </c>
      <c r="D8" s="364">
        <f>IF(inputPrYr!H15&gt;0,inputPrYr!G19,inputPrYr!E19)</f>
        <v>36552</v>
      </c>
      <c r="E8" s="22" t="s">
        <v>264</v>
      </c>
    </row>
    <row r="9" spans="2:5" ht="15.75">
      <c r="B9" s="16" t="s">
        <v>17</v>
      </c>
      <c r="C9" s="18">
        <f>861.83+10</f>
        <v>871.83</v>
      </c>
      <c r="D9" s="18">
        <v>0</v>
      </c>
      <c r="E9" s="23">
        <v>0</v>
      </c>
    </row>
    <row r="10" spans="2:5" ht="15.75">
      <c r="B10" s="16" t="s">
        <v>18</v>
      </c>
      <c r="C10" s="18">
        <v>2595.94</v>
      </c>
      <c r="D10" s="18">
        <v>2843</v>
      </c>
      <c r="E10" s="21">
        <f>mvalloc!G14</f>
        <v>2965</v>
      </c>
    </row>
    <row r="11" spans="2:5" ht="15.75">
      <c r="B11" s="16" t="s">
        <v>19</v>
      </c>
      <c r="C11" s="18">
        <v>35.83</v>
      </c>
      <c r="D11" s="18">
        <v>24</v>
      </c>
      <c r="E11" s="21">
        <f>mvalloc!I14</f>
        <v>40</v>
      </c>
    </row>
    <row r="12" spans="2:5" ht="15.75">
      <c r="B12" s="16" t="s">
        <v>99</v>
      </c>
      <c r="C12" s="18">
        <v>181</v>
      </c>
      <c r="D12" s="18">
        <v>171</v>
      </c>
      <c r="E12" s="21">
        <f>mvalloc!J14</f>
        <v>204</v>
      </c>
    </row>
    <row r="13" spans="2:5" ht="15.75">
      <c r="B13" s="16" t="s">
        <v>100</v>
      </c>
      <c r="C13" s="18">
        <v>31497.78</v>
      </c>
      <c r="D13" s="18">
        <v>31738</v>
      </c>
      <c r="E13" s="21">
        <f>inputOth!E36</f>
        <v>31498</v>
      </c>
    </row>
    <row r="14" spans="2:5" ht="15.75">
      <c r="B14" s="27" t="s">
        <v>945</v>
      </c>
      <c r="C14" s="18"/>
      <c r="D14" s="18"/>
      <c r="E14" s="23">
        <v>25</v>
      </c>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v>51</v>
      </c>
      <c r="D20" s="18"/>
      <c r="E20" s="23"/>
    </row>
    <row r="21" spans="2:5" ht="15.75">
      <c r="B21" s="28" t="s">
        <v>187</v>
      </c>
      <c r="C21" s="18"/>
      <c r="D21" s="18"/>
      <c r="E21" s="23"/>
    </row>
    <row r="22" spans="2:5" ht="15.75">
      <c r="B22" s="28" t="s">
        <v>188</v>
      </c>
      <c r="C22" s="361">
        <f>IF(C23*0.1&lt;C21,"Exceed 10% Rule","")</f>
      </c>
      <c r="D22" s="361">
        <f>IF(D23*0.1&lt;D21,"Exceed 10% Rule","")</f>
      </c>
      <c r="E22" s="34">
        <f>IF(E23*0.1+E50&lt;E21,"Exceed 10% Rule","")</f>
      </c>
    </row>
    <row r="23" spans="2:5" ht="15.75">
      <c r="B23" s="30" t="s">
        <v>23</v>
      </c>
      <c r="C23" s="366">
        <f>SUM(C8:C21)</f>
        <v>67167.93</v>
      </c>
      <c r="D23" s="366">
        <f>SUM(D8:D21)</f>
        <v>71328</v>
      </c>
      <c r="E23" s="31">
        <f>SUM(E8:E21)</f>
        <v>34732</v>
      </c>
    </row>
    <row r="24" spans="2:5" ht="15.75">
      <c r="B24" s="32" t="s">
        <v>24</v>
      </c>
      <c r="C24" s="366">
        <f>C23+C6</f>
        <v>67167.93</v>
      </c>
      <c r="D24" s="366">
        <f>D23+D6</f>
        <v>71379.93</v>
      </c>
      <c r="E24" s="31">
        <f>E23+E6</f>
        <v>35783.92999999999</v>
      </c>
    </row>
    <row r="25" spans="2:5" ht="15.75">
      <c r="B25" s="16" t="s">
        <v>25</v>
      </c>
      <c r="C25" s="364"/>
      <c r="D25" s="364"/>
      <c r="E25" s="21"/>
    </row>
    <row r="26" spans="2:5" ht="15.75">
      <c r="B26" s="27" t="s">
        <v>942</v>
      </c>
      <c r="C26" s="18">
        <v>5236</v>
      </c>
      <c r="D26" s="18">
        <v>6500</v>
      </c>
      <c r="E26" s="23">
        <v>6500</v>
      </c>
    </row>
    <row r="27" spans="2:5" ht="15.75">
      <c r="B27" s="26" t="s">
        <v>101</v>
      </c>
      <c r="C27" s="18">
        <f>1923+812</f>
        <v>2735</v>
      </c>
      <c r="D27" s="18">
        <v>2000</v>
      </c>
      <c r="E27" s="23">
        <v>2000</v>
      </c>
    </row>
    <row r="28" spans="2:5" ht="15.75">
      <c r="B28" s="27" t="s">
        <v>102</v>
      </c>
      <c r="C28" s="18">
        <v>1359</v>
      </c>
      <c r="D28" s="18">
        <v>2000</v>
      </c>
      <c r="E28" s="23">
        <v>2000</v>
      </c>
    </row>
    <row r="29" spans="2:5" ht="15.75">
      <c r="B29" s="27" t="s">
        <v>943</v>
      </c>
      <c r="C29" s="18">
        <f>6602+42287</f>
        <v>48889</v>
      </c>
      <c r="D29" s="18">
        <v>32828</v>
      </c>
      <c r="E29" s="23">
        <v>35003</v>
      </c>
    </row>
    <row r="30" spans="2:5" ht="15.75">
      <c r="B30" s="27" t="s">
        <v>944</v>
      </c>
      <c r="C30" s="18"/>
      <c r="D30" s="18">
        <v>13000</v>
      </c>
      <c r="E30" s="23">
        <v>13000</v>
      </c>
    </row>
    <row r="31" spans="2:5" ht="15.75">
      <c r="B31" s="27" t="s">
        <v>103</v>
      </c>
      <c r="C31" s="18">
        <v>910</v>
      </c>
      <c r="D31" s="18">
        <v>7000</v>
      </c>
      <c r="E31" s="23">
        <v>8000</v>
      </c>
    </row>
    <row r="32" spans="2:5" ht="15.75">
      <c r="B32" s="27" t="s">
        <v>117</v>
      </c>
      <c r="C32" s="18">
        <v>5475</v>
      </c>
      <c r="D32" s="18">
        <v>7000</v>
      </c>
      <c r="E32" s="23">
        <v>8025</v>
      </c>
    </row>
    <row r="33" spans="2:5" ht="15.75">
      <c r="B33" s="27"/>
      <c r="C33" s="18"/>
      <c r="D33" s="18"/>
      <c r="E33" s="23"/>
    </row>
    <row r="34" spans="2:10" ht="15.75">
      <c r="B34" s="26"/>
      <c r="C34" s="18"/>
      <c r="D34" s="18"/>
      <c r="E34" s="23"/>
      <c r="G34" s="836" t="str">
        <f>CONCATENATE("Desired Carryover Into ",E1+1,"")</f>
        <v>Desired Carryover Into 2016</v>
      </c>
      <c r="H34" s="837"/>
      <c r="I34" s="837"/>
      <c r="J34" s="838"/>
    </row>
    <row r="35" spans="2:10" ht="15.75">
      <c r="B35" s="26"/>
      <c r="C35" s="18"/>
      <c r="D35" s="18"/>
      <c r="E35" s="23"/>
      <c r="G35" s="470"/>
      <c r="H35" s="8"/>
      <c r="I35" s="462"/>
      <c r="J35" s="471"/>
    </row>
    <row r="36" spans="2:10" ht="15.75">
      <c r="B36" s="27"/>
      <c r="C36" s="18"/>
      <c r="D36" s="18"/>
      <c r="E36" s="23"/>
      <c r="G36" s="472" t="s">
        <v>677</v>
      </c>
      <c r="H36" s="462"/>
      <c r="I36" s="462"/>
      <c r="J36" s="473">
        <v>0</v>
      </c>
    </row>
    <row r="37" spans="2:10" ht="15.75">
      <c r="B37" s="27"/>
      <c r="C37" s="18"/>
      <c r="D37" s="18"/>
      <c r="E37" s="23"/>
      <c r="G37" s="470" t="s">
        <v>678</v>
      </c>
      <c r="H37" s="8"/>
      <c r="I37" s="8"/>
      <c r="J37" s="668">
        <f>IF(J36=0,"",ROUND((J36+E50-G49)/inputOth!E7*1000,3)-G54)</f>
      </c>
    </row>
    <row r="38" spans="2:10" ht="15.75">
      <c r="B38" s="16" t="s">
        <v>104</v>
      </c>
      <c r="C38" s="18">
        <v>2512</v>
      </c>
      <c r="D38" s="18"/>
      <c r="E38" s="23"/>
      <c r="G38" s="669" t="str">
        <f>CONCATENATE("",E1," Tot Exp/Non-Appr Must Be:")</f>
        <v>2015 Tot Exp/Non-Appr Must Be:</v>
      </c>
      <c r="H38" s="553"/>
      <c r="I38" s="663"/>
      <c r="J38" s="670">
        <f>IF(J36&gt;0,IF(E47&lt;E16,IF(J36=G49,E47,((J36-G49)*(1-D49))+E16),E47+(J36-G49)),0)</f>
        <v>0</v>
      </c>
    </row>
    <row r="39" spans="2:10" ht="15.75">
      <c r="B39" s="16" t="s">
        <v>588</v>
      </c>
      <c r="C39" s="367">
        <f>IF(C24*0.25&lt;C38,"Not Authorized","")</f>
      </c>
      <c r="D39" s="367">
        <f>IF(D24*0.25&lt;D38,"Not Authorized","")</f>
      </c>
      <c r="E39" s="56">
        <f>IF(E24*0.25+E50&lt;E38,"Not Authorized","")</f>
      </c>
      <c r="G39" s="671" t="s">
        <v>782</v>
      </c>
      <c r="H39" s="672"/>
      <c r="I39" s="672"/>
      <c r="J39" s="673">
        <f>IF(J36&gt;0,J38-E47,0)</f>
        <v>0</v>
      </c>
    </row>
    <row r="40" spans="2:5" ht="15.75">
      <c r="B40" s="24" t="s">
        <v>189</v>
      </c>
      <c r="C40" s="18"/>
      <c r="D40" s="18"/>
      <c r="E40" s="35">
        <f>nhood!E9</f>
      </c>
    </row>
    <row r="41" spans="2:10" ht="15.75">
      <c r="B41" s="24" t="s">
        <v>187</v>
      </c>
      <c r="C41" s="18"/>
      <c r="D41" s="18"/>
      <c r="E41" s="23"/>
      <c r="G41" s="836" t="str">
        <f>CONCATENATE("Projected Carryover Into ",E1+1,"")</f>
        <v>Projected Carryover Into 2016</v>
      </c>
      <c r="H41" s="837"/>
      <c r="I41" s="837"/>
      <c r="J41" s="838"/>
    </row>
    <row r="42" spans="2:10" ht="15.75">
      <c r="B42" s="24" t="s">
        <v>584</v>
      </c>
      <c r="C42" s="361">
        <f>IF(C43*0.1&lt;C41,"Exceed 10% Rule","")</f>
      </c>
      <c r="D42" s="361">
        <f>IF(D43*0.1&lt;D41,"Exceed 10% Rule","")</f>
      </c>
      <c r="E42" s="34">
        <f>IF(E43*0.1&lt;E41,"Exceed 10% Rule","")</f>
      </c>
      <c r="G42" s="458"/>
      <c r="H42" s="8"/>
      <c r="I42" s="8"/>
      <c r="J42" s="245"/>
    </row>
    <row r="43" spans="2:10" ht="15.75">
      <c r="B43" s="32" t="s">
        <v>26</v>
      </c>
      <c r="C43" s="366">
        <f>SUM(C26:C38,C40:C41)</f>
        <v>67116</v>
      </c>
      <c r="D43" s="366">
        <f>SUM(D26:D38,D40:D41)</f>
        <v>70328</v>
      </c>
      <c r="E43" s="31">
        <f>SUM(E26:E38,E40:E41)</f>
        <v>74528</v>
      </c>
      <c r="G43" s="459">
        <f>D44</f>
        <v>1051.929999999993</v>
      </c>
      <c r="H43" s="460" t="str">
        <f>CONCATENATE("",E1-1," Ending Cash Balance (est.)")</f>
        <v>2014 Ending Cash Balance (est.)</v>
      </c>
      <c r="I43" s="461"/>
      <c r="J43" s="245"/>
    </row>
    <row r="44" spans="2:10" ht="15.75">
      <c r="B44" s="16" t="s">
        <v>109</v>
      </c>
      <c r="C44" s="359">
        <f>C24-C43</f>
        <v>51.929999999993015</v>
      </c>
      <c r="D44" s="359">
        <f>D24-D43</f>
        <v>1051.929999999993</v>
      </c>
      <c r="E44" s="22" t="s">
        <v>264</v>
      </c>
      <c r="G44" s="459">
        <f>E23</f>
        <v>34732</v>
      </c>
      <c r="H44" s="462" t="str">
        <f>CONCATENATE("",E1," Non-AV Receipts (est.)")</f>
        <v>2015 Non-AV Receipts (est.)</v>
      </c>
      <c r="I44" s="461"/>
      <c r="J44" s="245"/>
    </row>
    <row r="45" spans="2:11" ht="15.75">
      <c r="B45" s="266" t="str">
        <f>CONCATENATE("",E1-2,"/",E1-1,"/",E1," Budget Authority Amount:")</f>
        <v>2013/2014/2015 Budget Authority Amount:</v>
      </c>
      <c r="C45" s="52">
        <f>inputOth!B49</f>
        <v>67065</v>
      </c>
      <c r="D45" s="52">
        <f>inputPrYr!D19</f>
        <v>71328</v>
      </c>
      <c r="E45" s="21">
        <f>E43</f>
        <v>74528</v>
      </c>
      <c r="F45" s="39"/>
      <c r="G45" s="463">
        <f>IF(D49&gt;0,E48,E50)</f>
        <v>38744.07000000001</v>
      </c>
      <c r="H45" s="462" t="str">
        <f>CONCATENATE("",E1," Ad Valorem Tax (est.)")</f>
        <v>2015 Ad Valorem Tax (est.)</v>
      </c>
      <c r="I45" s="461"/>
      <c r="J45" s="245"/>
      <c r="K45" s="674">
        <f>IF(G45=E50,"","Note: Does not include Delinquent Taxes")</f>
      </c>
    </row>
    <row r="46" spans="2:10" ht="15.75">
      <c r="B46" s="37"/>
      <c r="C46" s="829" t="s">
        <v>585</v>
      </c>
      <c r="D46" s="830"/>
      <c r="E46" s="23"/>
      <c r="F46" s="457">
        <f>IF(E43/0.95-E43&lt;E46,"Exceeds 5%","")</f>
      </c>
      <c r="G46" s="459">
        <f>SUM(G43:G45)</f>
        <v>74528</v>
      </c>
      <c r="H46" s="462" t="str">
        <f>CONCATENATE("Total ",E1," Resources Available")</f>
        <v>Total 2015 Resources Available</v>
      </c>
      <c r="I46" s="461"/>
      <c r="J46" s="245"/>
    </row>
    <row r="47" spans="2:10" ht="15.75">
      <c r="B47" s="370" t="str">
        <f>CONCATENATE(C74,"     ",D74)</f>
        <v>See Tab A     </v>
      </c>
      <c r="C47" s="831" t="s">
        <v>586</v>
      </c>
      <c r="D47" s="832"/>
      <c r="E47" s="21">
        <f>E43+E46</f>
        <v>74528</v>
      </c>
      <c r="G47" s="464"/>
      <c r="H47" s="462"/>
      <c r="I47" s="462"/>
      <c r="J47" s="245"/>
    </row>
    <row r="48" spans="2:10" ht="15.75">
      <c r="B48" s="370" t="str">
        <f>CONCATENATE(C75,"     ",D75)</f>
        <v>     </v>
      </c>
      <c r="C48" s="49"/>
      <c r="D48" s="41" t="s">
        <v>28</v>
      </c>
      <c r="E48" s="35">
        <f>IF(E47-E24&gt;0,E47-E24,0)</f>
        <v>38744.07000000001</v>
      </c>
      <c r="G48" s="463">
        <f>ROUND(C43*0.05+C43,0)</f>
        <v>70472</v>
      </c>
      <c r="H48" s="462" t="str">
        <f>CONCATENATE("Less ",E1-2," Expenditures + 5%")</f>
        <v>Less 2013 Expenditures + 5%</v>
      </c>
      <c r="I48" s="461"/>
      <c r="J48" s="245"/>
    </row>
    <row r="49" spans="2:10" ht="15.75">
      <c r="B49" s="41"/>
      <c r="C49" s="374" t="s">
        <v>587</v>
      </c>
      <c r="D49" s="662">
        <f>inputOth!$E$40</f>
        <v>0</v>
      </c>
      <c r="E49" s="21">
        <f>ROUND(IF(D49&gt;0,(E48*D49),0),0)</f>
        <v>0</v>
      </c>
      <c r="G49" s="465">
        <f>G46-G48</f>
        <v>4056</v>
      </c>
      <c r="H49" s="466" t="str">
        <f>CONCATENATE("Projected ",E1+1," Carryover (est.)")</f>
        <v>Projected 2016 Carryover (est.)</v>
      </c>
      <c r="I49" s="467"/>
      <c r="J49" s="468"/>
    </row>
    <row r="50" spans="2:5" ht="15.75">
      <c r="B50" s="3"/>
      <c r="C50" s="827" t="str">
        <f>CONCATENATE("Amount of  ",$E$1-1," Ad Valorem Tax")</f>
        <v>Amount of  2014 Ad Valorem Tax</v>
      </c>
      <c r="D50" s="828"/>
      <c r="E50" s="35">
        <f>E48+E49</f>
        <v>38744.07000000001</v>
      </c>
    </row>
    <row r="51" spans="2:10" ht="15.75">
      <c r="B51" s="3"/>
      <c r="C51" s="3"/>
      <c r="D51" s="3"/>
      <c r="E51" s="3"/>
      <c r="G51" s="839" t="s">
        <v>783</v>
      </c>
      <c r="H51" s="840"/>
      <c r="I51" s="840"/>
      <c r="J51" s="841"/>
    </row>
    <row r="52" spans="2:10" ht="15.75">
      <c r="B52" s="3"/>
      <c r="C52" s="3"/>
      <c r="D52" s="3"/>
      <c r="E52" s="3"/>
      <c r="G52" s="675"/>
      <c r="H52" s="460"/>
      <c r="I52" s="664"/>
      <c r="J52" s="676"/>
    </row>
    <row r="53" spans="2:10" ht="15.75">
      <c r="B53" s="57" t="s">
        <v>30</v>
      </c>
      <c r="C53" s="59"/>
      <c r="D53" s="3"/>
      <c r="E53" s="3"/>
      <c r="G53" s="677">
        <f>summ!I21</f>
        <v>18.703</v>
      </c>
      <c r="H53" s="460" t="str">
        <f>CONCATENATE("",E1," Fund Mill Rate")</f>
        <v>2015 Fund Mill Rate</v>
      </c>
      <c r="I53" s="664"/>
      <c r="J53" s="676"/>
    </row>
    <row r="54" spans="2:10" ht="15.75">
      <c r="B54" s="60" t="s">
        <v>31</v>
      </c>
      <c r="C54" s="375" t="str">
        <f>CONCATENATE("",E1-2," Actual Year")</f>
        <v>2013 Actual Year</v>
      </c>
      <c r="D54" s="3"/>
      <c r="E54" s="3"/>
      <c r="G54" s="678">
        <f>summ!F21</f>
        <v>20.017</v>
      </c>
      <c r="H54" s="460" t="str">
        <f>CONCATENATE("",E1-1," Fund Mill Rate")</f>
        <v>2014 Fund Mill Rate</v>
      </c>
      <c r="I54" s="664"/>
      <c r="J54" s="676"/>
    </row>
    <row r="55" spans="2:10" ht="15.75">
      <c r="B55" s="61" t="s">
        <v>14</v>
      </c>
      <c r="C55" s="119">
        <v>25185</v>
      </c>
      <c r="D55" s="3"/>
      <c r="E55" s="3"/>
      <c r="G55" s="679">
        <f>summ!I32</f>
        <v>18.703</v>
      </c>
      <c r="H55" s="460" t="str">
        <f>CONCATENATE("Total ",E1," Mill Rate")</f>
        <v>Total 2015 Mill Rate</v>
      </c>
      <c r="I55" s="664"/>
      <c r="J55" s="676"/>
    </row>
    <row r="56" spans="2:10" ht="15.75">
      <c r="B56" s="61" t="s">
        <v>33</v>
      </c>
      <c r="C56" s="121"/>
      <c r="D56" s="3"/>
      <c r="E56" s="3"/>
      <c r="G56" s="678">
        <f>summ!F32</f>
        <v>20.017</v>
      </c>
      <c r="H56" s="680" t="str">
        <f>CONCATENATE("Total ",E1-1," Mill Rate")</f>
        <v>Total 2014 Mill Rate</v>
      </c>
      <c r="I56" s="681"/>
      <c r="J56" s="682"/>
    </row>
    <row r="57" spans="2:5" ht="15.75">
      <c r="B57" s="61" t="s">
        <v>34</v>
      </c>
      <c r="C57" s="373">
        <f>C38</f>
        <v>2512</v>
      </c>
      <c r="D57" s="63"/>
      <c r="E57" s="3"/>
    </row>
    <row r="58" spans="2:9" ht="15.75">
      <c r="B58" s="61" t="s">
        <v>221</v>
      </c>
      <c r="C58" s="373">
        <f>gen!C43</f>
        <v>0</v>
      </c>
      <c r="D58" s="833">
        <f>IF(AND(C58&gt;0,C59&gt;0),"Not Auth. Two General Transfers - Only One","")</f>
      </c>
      <c r="E58" s="834"/>
      <c r="G58" s="754" t="s">
        <v>896</v>
      </c>
      <c r="H58" s="716"/>
      <c r="I58" s="715" t="str">
        <f>cert!F37</f>
        <v>No</v>
      </c>
    </row>
    <row r="59" spans="2:5" ht="15.75">
      <c r="B59" s="64" t="s">
        <v>222</v>
      </c>
      <c r="C59" s="373">
        <f>gen!C45</f>
        <v>0</v>
      </c>
      <c r="D59" s="835"/>
      <c r="E59" s="834"/>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27697</v>
      </c>
      <c r="D63" s="3"/>
      <c r="E63" s="3"/>
    </row>
    <row r="64" spans="2:5" ht="15.75">
      <c r="B64" s="66" t="s">
        <v>26</v>
      </c>
      <c r="C64" s="119"/>
      <c r="D64" s="3"/>
      <c r="E64" s="3"/>
    </row>
    <row r="65" spans="2:5" ht="15.75">
      <c r="B65" s="66" t="s">
        <v>27</v>
      </c>
      <c r="C65" s="372">
        <f>SUM(C63-C64)</f>
        <v>27697</v>
      </c>
      <c r="D65" s="3"/>
      <c r="E65" s="3"/>
    </row>
    <row r="66" spans="2:5" ht="15.75">
      <c r="B66" s="3"/>
      <c r="C66" s="3"/>
      <c r="D66" s="3"/>
      <c r="E66" s="3"/>
    </row>
    <row r="67" spans="2:5" ht="15.75">
      <c r="B67" s="41" t="s">
        <v>9</v>
      </c>
      <c r="C67" s="54">
        <v>6</v>
      </c>
      <c r="D67" s="3"/>
      <c r="E67" s="3"/>
    </row>
    <row r="69" ht="15.75">
      <c r="B69" s="1"/>
    </row>
    <row r="74" spans="3:4" ht="15.75" hidden="1">
      <c r="C74" s="5" t="str">
        <f>IF(C43&gt;C45,"See Tab A","")</f>
        <v>See Tab A</v>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P107" sqref="P107"/>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42" t="s">
        <v>727</v>
      </c>
      <c r="C2" s="842"/>
      <c r="D2" s="842"/>
      <c r="E2" s="842"/>
      <c r="F2" s="842"/>
      <c r="G2" s="842"/>
      <c r="H2" s="842"/>
      <c r="I2" s="842"/>
    </row>
    <row r="3" spans="2:9" ht="15.75">
      <c r="B3" s="842" t="s">
        <v>728</v>
      </c>
      <c r="C3" s="842"/>
      <c r="D3" s="842"/>
      <c r="E3" s="842"/>
      <c r="F3" s="842"/>
      <c r="G3" s="842"/>
      <c r="H3" s="842"/>
      <c r="I3" s="842"/>
    </row>
    <row r="4" spans="2:9" ht="15.75">
      <c r="B4" s="531"/>
      <c r="C4" s="531"/>
      <c r="D4" s="531"/>
      <c r="E4" s="531"/>
      <c r="F4" s="531"/>
      <c r="G4" s="531"/>
      <c r="H4" s="531"/>
      <c r="I4" s="531"/>
    </row>
    <row r="5" spans="2:9" ht="15.75">
      <c r="B5" s="843" t="str">
        <f>CONCATENATE("Budgeted Year: ",inputPrYr!D5,"")</f>
        <v>Budgeted Year: 2015</v>
      </c>
      <c r="C5" s="843"/>
      <c r="D5" s="843"/>
      <c r="E5" s="843"/>
      <c r="F5" s="843"/>
      <c r="G5" s="843"/>
      <c r="H5" s="843"/>
      <c r="I5" s="843"/>
    </row>
    <row r="6" spans="2:9" ht="15.75">
      <c r="B6" s="532"/>
      <c r="C6" s="531"/>
      <c r="D6" s="531"/>
      <c r="E6" s="531"/>
      <c r="F6" s="531"/>
      <c r="G6" s="531"/>
      <c r="H6" s="531"/>
      <c r="I6" s="531"/>
    </row>
    <row r="7" spans="2:9" ht="15.75">
      <c r="B7" s="532" t="str">
        <f>CONCATENATE("Library found in: ",inputPrYr!D2,"")</f>
        <v>Library found in: Erie Township</v>
      </c>
      <c r="C7" s="531"/>
      <c r="D7" s="531"/>
      <c r="E7" s="531"/>
      <c r="F7" s="531"/>
      <c r="G7" s="531"/>
      <c r="H7" s="531"/>
      <c r="I7" s="531"/>
    </row>
    <row r="8" spans="2:9" ht="15.75">
      <c r="B8" s="532" t="str">
        <f>inputPrYr!D3</f>
        <v>Sedgwick County</v>
      </c>
      <c r="C8" s="531"/>
      <c r="D8" s="531"/>
      <c r="E8" s="531"/>
      <c r="F8" s="531"/>
      <c r="G8" s="531"/>
      <c r="H8" s="531"/>
      <c r="I8" s="531"/>
    </row>
    <row r="9" spans="2:9" ht="15.75">
      <c r="B9" s="531"/>
      <c r="C9" s="531"/>
      <c r="D9" s="531"/>
      <c r="E9" s="531"/>
      <c r="F9" s="531"/>
      <c r="G9" s="531"/>
      <c r="H9" s="531"/>
      <c r="I9" s="531"/>
    </row>
    <row r="10" spans="2:9" ht="39" customHeight="1">
      <c r="B10" s="844" t="s">
        <v>729</v>
      </c>
      <c r="C10" s="844"/>
      <c r="D10" s="844"/>
      <c r="E10" s="844"/>
      <c r="F10" s="844"/>
      <c r="G10" s="844"/>
      <c r="H10" s="844"/>
      <c r="I10" s="844"/>
    </row>
    <row r="11" spans="2:9" ht="15.75">
      <c r="B11" s="531"/>
      <c r="C11" s="531"/>
      <c r="D11" s="531"/>
      <c r="E11" s="531"/>
      <c r="F11" s="531"/>
      <c r="G11" s="531"/>
      <c r="H11" s="531"/>
      <c r="I11" s="531"/>
    </row>
    <row r="12" spans="2:9" ht="15.75">
      <c r="B12" s="533" t="s">
        <v>730</v>
      </c>
      <c r="C12" s="531"/>
      <c r="D12" s="531"/>
      <c r="E12" s="531"/>
      <c r="F12" s="531"/>
      <c r="G12" s="531"/>
      <c r="H12" s="531"/>
      <c r="I12" s="531"/>
    </row>
    <row r="13" spans="2:9" ht="15.75">
      <c r="B13" s="531"/>
      <c r="C13" s="531"/>
      <c r="D13" s="531"/>
      <c r="E13" s="534" t="s">
        <v>12</v>
      </c>
      <c r="F13" s="531"/>
      <c r="G13" s="534" t="s">
        <v>731</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136</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732</v>
      </c>
      <c r="C22" s="531"/>
      <c r="D22" s="531"/>
      <c r="E22" s="537">
        <f>SUM(E15:E21)</f>
        <v>0</v>
      </c>
      <c r="F22" s="531"/>
      <c r="G22" s="537">
        <f>SUM(G15:G21)</f>
        <v>0</v>
      </c>
      <c r="H22" s="531"/>
      <c r="I22" s="531"/>
    </row>
    <row r="23" spans="2:9" ht="15.75">
      <c r="B23" s="531" t="s">
        <v>733</v>
      </c>
      <c r="C23" s="531"/>
      <c r="D23" s="531"/>
      <c r="E23" s="538">
        <f>G22-E22</f>
        <v>0</v>
      </c>
      <c r="F23" s="531"/>
      <c r="G23" s="539"/>
      <c r="H23" s="531"/>
      <c r="I23" s="531"/>
    </row>
    <row r="24" spans="2:9" ht="15.75">
      <c r="B24" s="531" t="s">
        <v>734</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735</v>
      </c>
      <c r="C26" s="531"/>
      <c r="D26" s="531"/>
      <c r="E26" s="531"/>
      <c r="F26" s="531"/>
      <c r="G26" s="531"/>
      <c r="H26" s="531"/>
      <c r="I26" s="531"/>
    </row>
    <row r="27" spans="2:9" ht="15.75">
      <c r="B27" s="531" t="s">
        <v>736</v>
      </c>
      <c r="C27" s="531"/>
      <c r="D27" s="531"/>
      <c r="E27" s="536">
        <f>summ!E37</f>
        <v>1826040</v>
      </c>
      <c r="F27" s="531"/>
      <c r="G27" s="536">
        <f>summ!G37</f>
        <v>2071536</v>
      </c>
      <c r="H27" s="531"/>
      <c r="I27" s="531"/>
    </row>
    <row r="28" spans="2:9" ht="15.75">
      <c r="B28" s="531" t="s">
        <v>737</v>
      </c>
      <c r="C28" s="531"/>
      <c r="D28" s="531"/>
      <c r="E28" s="541" t="str">
        <f>IF(G27-E27&gt;=0,"No","Yes")</f>
        <v>No</v>
      </c>
      <c r="F28" s="531"/>
      <c r="G28" s="531"/>
      <c r="H28" s="531"/>
      <c r="I28" s="531"/>
    </row>
    <row r="29" spans="2:9" ht="15.75">
      <c r="B29" s="531" t="s">
        <v>738</v>
      </c>
      <c r="C29" s="531"/>
      <c r="D29" s="531"/>
      <c r="E29" s="542" t="str">
        <f>summ!F20</f>
        <v>  </v>
      </c>
      <c r="F29" s="531"/>
      <c r="G29" s="542" t="str">
        <f>summ!I20</f>
        <v> </v>
      </c>
      <c r="H29" s="531"/>
      <c r="I29" s="531"/>
    </row>
    <row r="30" spans="2:9" ht="15.75">
      <c r="B30" s="531" t="s">
        <v>739</v>
      </c>
      <c r="C30" s="531"/>
      <c r="D30" s="531"/>
      <c r="E30" s="543" t="e">
        <f>G29-E29</f>
        <v>#VALUE!</v>
      </c>
      <c r="F30" s="531"/>
      <c r="G30" s="531"/>
      <c r="H30" s="531"/>
      <c r="I30" s="531"/>
    </row>
    <row r="31" spans="2:9" ht="15.75">
      <c r="B31" s="531" t="s">
        <v>734</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740</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44" t="s">
        <v>741</v>
      </c>
      <c r="C36" s="844"/>
      <c r="D36" s="844"/>
      <c r="E36" s="844"/>
      <c r="F36" s="844"/>
      <c r="G36" s="844"/>
      <c r="H36" s="844"/>
      <c r="I36" s="844"/>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742</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45" t="s">
        <v>743</v>
      </c>
      <c r="C43" s="846"/>
      <c r="D43" s="846"/>
      <c r="E43" s="846"/>
      <c r="F43" s="846"/>
      <c r="G43" s="846"/>
      <c r="H43" s="846"/>
      <c r="I43" s="846"/>
    </row>
    <row r="44" spans="2:9" ht="15.75">
      <c r="B44" s="531"/>
      <c r="C44" s="531"/>
      <c r="D44" s="531"/>
      <c r="E44" s="531"/>
      <c r="F44" s="531"/>
      <c r="G44" s="531"/>
      <c r="H44" s="531"/>
      <c r="I44" s="531"/>
    </row>
    <row r="45" spans="2:9" ht="15.75">
      <c r="B45" s="548" t="s">
        <v>744</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745</v>
      </c>
      <c r="C49" s="548"/>
      <c r="D49" s="549"/>
      <c r="E49" s="549"/>
      <c r="F49" s="549"/>
      <c r="G49" s="549"/>
      <c r="H49" s="549"/>
      <c r="I49" s="549"/>
    </row>
    <row r="50" spans="2:9" ht="15.75">
      <c r="B50" s="548" t="s">
        <v>746</v>
      </c>
      <c r="C50" s="548"/>
      <c r="D50" s="549"/>
      <c r="E50" s="549"/>
      <c r="F50" s="549"/>
      <c r="G50" s="549"/>
      <c r="H50" s="549"/>
      <c r="I50" s="549"/>
    </row>
    <row r="51" spans="2:9" ht="15.75">
      <c r="B51" s="548" t="s">
        <v>747</v>
      </c>
      <c r="C51" s="548"/>
      <c r="D51" s="549"/>
      <c r="E51" s="549"/>
      <c r="F51" s="549"/>
      <c r="G51" s="549"/>
      <c r="H51" s="549"/>
      <c r="I51" s="549"/>
    </row>
    <row r="52" spans="2:9" ht="15">
      <c r="B52" s="549"/>
      <c r="C52" s="549"/>
      <c r="D52" s="549"/>
      <c r="E52" s="549"/>
      <c r="F52" s="549"/>
      <c r="G52" s="549"/>
      <c r="H52" s="549"/>
      <c r="I52" s="549"/>
    </row>
    <row r="53" spans="2:9" ht="15.75">
      <c r="B53" s="550" t="s">
        <v>748</v>
      </c>
      <c r="C53" s="549"/>
      <c r="D53" s="549"/>
      <c r="E53" s="549"/>
      <c r="F53" s="549"/>
      <c r="G53" s="549"/>
      <c r="H53" s="549"/>
      <c r="I53" s="549"/>
    </row>
    <row r="54" spans="2:9" ht="15">
      <c r="B54" s="549"/>
      <c r="C54" s="549"/>
      <c r="D54" s="549"/>
      <c r="E54" s="549"/>
      <c r="F54" s="549"/>
      <c r="G54" s="549"/>
      <c r="H54" s="549"/>
      <c r="I54" s="549"/>
    </row>
    <row r="55" spans="2:9" ht="15.75">
      <c r="B55" s="548" t="s">
        <v>749</v>
      </c>
      <c r="C55" s="549"/>
      <c r="D55" s="549"/>
      <c r="E55" s="549"/>
      <c r="F55" s="549"/>
      <c r="G55" s="549"/>
      <c r="H55" s="549"/>
      <c r="I55" s="549"/>
    </row>
    <row r="56" spans="2:9" ht="15.75">
      <c r="B56" s="548" t="s">
        <v>750</v>
      </c>
      <c r="C56" s="549"/>
      <c r="D56" s="549"/>
      <c r="E56" s="549"/>
      <c r="F56" s="549"/>
      <c r="G56" s="549"/>
      <c r="H56" s="549"/>
      <c r="I56" s="549"/>
    </row>
    <row r="57" spans="2:9" ht="15">
      <c r="B57" s="549"/>
      <c r="C57" s="549"/>
      <c r="D57" s="549"/>
      <c r="E57" s="549"/>
      <c r="F57" s="549"/>
      <c r="G57" s="549"/>
      <c r="H57" s="549"/>
      <c r="I57" s="549"/>
    </row>
    <row r="58" spans="2:9" ht="15.75">
      <c r="B58" s="550" t="s">
        <v>751</v>
      </c>
      <c r="C58" s="548"/>
      <c r="D58" s="548"/>
      <c r="E58" s="548"/>
      <c r="F58" s="548"/>
      <c r="G58" s="549"/>
      <c r="H58" s="549"/>
      <c r="I58" s="549"/>
    </row>
    <row r="59" spans="2:9" ht="15.75">
      <c r="B59" s="548"/>
      <c r="C59" s="548"/>
      <c r="D59" s="548"/>
      <c r="E59" s="548"/>
      <c r="F59" s="548"/>
      <c r="G59" s="549"/>
      <c r="H59" s="549"/>
      <c r="I59" s="549"/>
    </row>
    <row r="60" spans="2:9" ht="15.75">
      <c r="B60" s="548" t="s">
        <v>752</v>
      </c>
      <c r="C60" s="548"/>
      <c r="D60" s="548"/>
      <c r="E60" s="548"/>
      <c r="F60" s="548"/>
      <c r="G60" s="549"/>
      <c r="H60" s="549"/>
      <c r="I60" s="549"/>
    </row>
    <row r="61" spans="2:9" ht="15.75">
      <c r="B61" s="548" t="s">
        <v>753</v>
      </c>
      <c r="C61" s="548"/>
      <c r="D61" s="548"/>
      <c r="E61" s="548"/>
      <c r="F61" s="548"/>
      <c r="G61" s="549"/>
      <c r="H61" s="549"/>
      <c r="I61" s="549"/>
    </row>
    <row r="62" spans="2:9" ht="15.75">
      <c r="B62" s="548" t="s">
        <v>754</v>
      </c>
      <c r="C62" s="548"/>
      <c r="D62" s="548"/>
      <c r="E62" s="548"/>
      <c r="F62" s="548"/>
      <c r="G62" s="549"/>
      <c r="H62" s="549"/>
      <c r="I62" s="549"/>
    </row>
    <row r="63" spans="2:9" ht="15.75">
      <c r="B63" s="548" t="s">
        <v>755</v>
      </c>
      <c r="C63" s="548"/>
      <c r="D63" s="548"/>
      <c r="E63" s="548"/>
      <c r="F63" s="548"/>
      <c r="G63" s="549"/>
      <c r="H63" s="549"/>
      <c r="I63" s="549"/>
    </row>
    <row r="64" spans="2:9" ht="15">
      <c r="B64" s="551"/>
      <c r="C64" s="551"/>
      <c r="D64" s="551"/>
      <c r="E64" s="551"/>
      <c r="F64" s="551"/>
      <c r="G64" s="549"/>
      <c r="H64" s="549"/>
      <c r="I64" s="549"/>
    </row>
    <row r="65" spans="2:9" ht="15.75">
      <c r="B65" s="548" t="s">
        <v>756</v>
      </c>
      <c r="C65" s="551"/>
      <c r="D65" s="551"/>
      <c r="E65" s="551"/>
      <c r="F65" s="551"/>
      <c r="G65" s="549"/>
      <c r="H65" s="549"/>
      <c r="I65" s="549"/>
    </row>
    <row r="66" spans="2:9" ht="15.75">
      <c r="B66" s="548" t="s">
        <v>757</v>
      </c>
      <c r="C66" s="551"/>
      <c r="D66" s="551"/>
      <c r="E66" s="551"/>
      <c r="F66" s="551"/>
      <c r="G66" s="549"/>
      <c r="H66" s="549"/>
      <c r="I66" s="549"/>
    </row>
    <row r="67" spans="2:9" ht="15">
      <c r="B67" s="551"/>
      <c r="C67" s="551"/>
      <c r="D67" s="551"/>
      <c r="E67" s="551"/>
      <c r="F67" s="551"/>
      <c r="G67" s="549"/>
      <c r="H67" s="549"/>
      <c r="I67" s="549"/>
    </row>
    <row r="68" spans="2:9" ht="15.75">
      <c r="B68" s="548" t="s">
        <v>758</v>
      </c>
      <c r="C68" s="551"/>
      <c r="D68" s="551"/>
      <c r="E68" s="551"/>
      <c r="F68" s="551"/>
      <c r="G68" s="549"/>
      <c r="H68" s="549"/>
      <c r="I68" s="549"/>
    </row>
    <row r="69" spans="2:9" ht="15.75">
      <c r="B69" s="548" t="s">
        <v>759</v>
      </c>
      <c r="C69" s="551"/>
      <c r="D69" s="551"/>
      <c r="E69" s="551"/>
      <c r="F69" s="551"/>
      <c r="G69" s="549"/>
      <c r="H69" s="549"/>
      <c r="I69" s="549"/>
    </row>
    <row r="70" spans="2:9" ht="15">
      <c r="B70" s="551"/>
      <c r="C70" s="551"/>
      <c r="D70" s="551"/>
      <c r="E70" s="551"/>
      <c r="F70" s="551"/>
      <c r="G70" s="549"/>
      <c r="H70" s="549"/>
      <c r="I70" s="549"/>
    </row>
    <row r="71" spans="2:9" ht="15.75">
      <c r="B71" s="550" t="s">
        <v>760</v>
      </c>
      <c r="C71" s="551"/>
      <c r="D71" s="551"/>
      <c r="E71" s="551"/>
      <c r="F71" s="551"/>
      <c r="G71" s="549"/>
      <c r="H71" s="549"/>
      <c r="I71" s="549"/>
    </row>
    <row r="72" spans="2:9" ht="15">
      <c r="B72" s="551"/>
      <c r="C72" s="551"/>
      <c r="D72" s="551"/>
      <c r="E72" s="551"/>
      <c r="F72" s="551"/>
      <c r="G72" s="549"/>
      <c r="H72" s="549"/>
      <c r="I72" s="549"/>
    </row>
    <row r="73" spans="2:9" ht="15.75">
      <c r="B73" s="548" t="s">
        <v>761</v>
      </c>
      <c r="C73" s="551"/>
      <c r="D73" s="551"/>
      <c r="E73" s="551"/>
      <c r="F73" s="551"/>
      <c r="G73" s="549"/>
      <c r="H73" s="549"/>
      <c r="I73" s="549"/>
    </row>
    <row r="74" spans="2:9" ht="15.75">
      <c r="B74" s="548" t="s">
        <v>762</v>
      </c>
      <c r="C74" s="551"/>
      <c r="D74" s="551"/>
      <c r="E74" s="551"/>
      <c r="F74" s="551"/>
      <c r="G74" s="549"/>
      <c r="H74" s="549"/>
      <c r="I74" s="549"/>
    </row>
    <row r="75" spans="2:9" ht="15">
      <c r="B75" s="551"/>
      <c r="C75" s="551"/>
      <c r="D75" s="551"/>
      <c r="E75" s="551"/>
      <c r="F75" s="551"/>
      <c r="G75" s="549"/>
      <c r="H75" s="549"/>
      <c r="I75" s="549"/>
    </row>
    <row r="76" spans="2:9" ht="15.75">
      <c r="B76" s="550" t="s">
        <v>763</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764</v>
      </c>
      <c r="C79" s="551"/>
      <c r="D79" s="551"/>
      <c r="E79" s="551"/>
      <c r="F79" s="551"/>
      <c r="G79" s="549"/>
      <c r="H79" s="549"/>
      <c r="I79" s="549"/>
    </row>
    <row r="80" spans="2:9" ht="15">
      <c r="B80" s="551"/>
      <c r="C80" s="551"/>
      <c r="D80" s="551"/>
      <c r="E80" s="551"/>
      <c r="F80" s="551"/>
      <c r="G80" s="549"/>
      <c r="H80" s="549"/>
      <c r="I80" s="549"/>
    </row>
    <row r="81" spans="2:9" ht="15.75">
      <c r="B81" s="550" t="s">
        <v>362</v>
      </c>
      <c r="C81" s="551"/>
      <c r="D81" s="551"/>
      <c r="E81" s="551"/>
      <c r="F81" s="551"/>
      <c r="G81" s="549"/>
      <c r="H81" s="549"/>
      <c r="I81" s="549"/>
    </row>
    <row r="82" spans="2:9" ht="15">
      <c r="B82" s="551"/>
      <c r="C82" s="551"/>
      <c r="D82" s="551"/>
      <c r="E82" s="551"/>
      <c r="F82" s="551"/>
      <c r="G82" s="549"/>
      <c r="H82" s="549"/>
      <c r="I82" s="549"/>
    </row>
    <row r="83" spans="2:9" ht="15.75">
      <c r="B83" s="548" t="s">
        <v>765</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766</v>
      </c>
      <c r="C86" s="551"/>
      <c r="D86" s="551"/>
      <c r="E86" s="551"/>
      <c r="F86" s="551"/>
      <c r="G86" s="549"/>
      <c r="H86" s="549"/>
      <c r="I86" s="549"/>
    </row>
    <row r="87" spans="2:9" ht="15.75">
      <c r="B87" s="548" t="s">
        <v>767</v>
      </c>
      <c r="C87" s="551"/>
      <c r="D87" s="551"/>
      <c r="E87" s="551"/>
      <c r="F87" s="551"/>
      <c r="G87" s="549"/>
      <c r="H87" s="549"/>
      <c r="I87" s="549"/>
    </row>
    <row r="88" spans="2:9" ht="15.75">
      <c r="B88" s="548" t="s">
        <v>768</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769</v>
      </c>
      <c r="C92" s="551"/>
      <c r="D92" s="551"/>
      <c r="E92" s="551"/>
      <c r="F92" s="551"/>
      <c r="G92" s="549"/>
      <c r="H92" s="549"/>
      <c r="I92" s="549"/>
    </row>
    <row r="93" spans="2:9" ht="15.75">
      <c r="B93" s="548" t="s">
        <v>770</v>
      </c>
      <c r="C93" s="551"/>
      <c r="D93" s="551"/>
      <c r="E93" s="551"/>
      <c r="F93" s="551"/>
      <c r="G93" s="549"/>
      <c r="H93" s="549"/>
      <c r="I93" s="549"/>
    </row>
    <row r="94" spans="2:9" ht="15.75">
      <c r="B94" s="548" t="s">
        <v>771</v>
      </c>
      <c r="C94" s="551"/>
      <c r="D94" s="551"/>
      <c r="E94" s="551"/>
      <c r="F94" s="551"/>
      <c r="G94" s="549"/>
      <c r="H94" s="549"/>
      <c r="I94" s="549"/>
    </row>
    <row r="95" spans="2:9" ht="15">
      <c r="B95" s="551"/>
      <c r="C95" s="551"/>
      <c r="D95" s="551"/>
      <c r="E95" s="551"/>
      <c r="F95" s="551"/>
      <c r="G95" s="549"/>
      <c r="H95" s="549"/>
      <c r="I95" s="549"/>
    </row>
    <row r="96" spans="2:9" ht="15.75">
      <c r="B96" s="550" t="s">
        <v>772</v>
      </c>
      <c r="C96" s="551"/>
      <c r="D96" s="551"/>
      <c r="E96" s="551"/>
      <c r="F96" s="551"/>
      <c r="G96" s="549"/>
      <c r="H96" s="549"/>
      <c r="I96" s="549"/>
    </row>
    <row r="97" spans="2:9" ht="15">
      <c r="B97" s="551"/>
      <c r="C97" s="551"/>
      <c r="D97" s="551"/>
      <c r="E97" s="551"/>
      <c r="F97" s="551"/>
      <c r="G97" s="549"/>
      <c r="H97" s="549"/>
      <c r="I97" s="549"/>
    </row>
    <row r="98" spans="2:9" ht="15.75">
      <c r="B98" s="548" t="s">
        <v>773</v>
      </c>
      <c r="C98" s="551"/>
      <c r="D98" s="551"/>
      <c r="E98" s="551"/>
      <c r="F98" s="551"/>
      <c r="G98" s="549"/>
      <c r="H98" s="549"/>
      <c r="I98" s="549"/>
    </row>
    <row r="99" spans="2:9" ht="15.75">
      <c r="B99" s="548" t="s">
        <v>774</v>
      </c>
      <c r="C99" s="551"/>
      <c r="D99" s="551"/>
      <c r="E99" s="551"/>
      <c r="F99" s="551"/>
      <c r="G99" s="549"/>
      <c r="H99" s="549"/>
      <c r="I99" s="549"/>
    </row>
    <row r="100" spans="2:9" ht="15">
      <c r="B100" s="551"/>
      <c r="C100" s="551"/>
      <c r="D100" s="551"/>
      <c r="E100" s="551"/>
      <c r="F100" s="551"/>
      <c r="G100" s="549"/>
      <c r="H100" s="549"/>
      <c r="I100" s="549"/>
    </row>
    <row r="101" spans="2:9" ht="15.75">
      <c r="B101" s="548" t="s">
        <v>775</v>
      </c>
      <c r="C101" s="551"/>
      <c r="D101" s="551"/>
      <c r="E101" s="551"/>
      <c r="F101" s="551"/>
      <c r="G101" s="549"/>
      <c r="H101" s="549"/>
      <c r="I101" s="549"/>
    </row>
    <row r="102" spans="2:9" ht="15.75">
      <c r="B102" s="548" t="s">
        <v>776</v>
      </c>
      <c r="C102" s="551"/>
      <c r="D102" s="551"/>
      <c r="E102" s="551"/>
      <c r="F102" s="551"/>
      <c r="G102" s="549"/>
      <c r="H102" s="549"/>
      <c r="I102" s="549"/>
    </row>
    <row r="103" spans="2:9" ht="15.75">
      <c r="B103" s="548" t="s">
        <v>777</v>
      </c>
      <c r="C103" s="551"/>
      <c r="D103" s="551"/>
      <c r="E103" s="551"/>
      <c r="F103" s="551"/>
      <c r="G103" s="549"/>
      <c r="H103" s="549"/>
      <c r="I103" s="549"/>
    </row>
    <row r="104" spans="2:9" ht="15.75">
      <c r="B104" s="548" t="s">
        <v>778</v>
      </c>
      <c r="C104" s="551"/>
      <c r="D104" s="551"/>
      <c r="E104" s="551"/>
      <c r="F104" s="551"/>
      <c r="G104" s="549"/>
      <c r="H104" s="549"/>
      <c r="I104" s="549"/>
    </row>
    <row r="105" spans="2:9" ht="15.75">
      <c r="B105" s="712" t="s">
        <v>884</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7" sqref="P10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Erie Township</v>
      </c>
      <c r="C1" s="3"/>
      <c r="D1" s="3"/>
      <c r="E1" s="4">
        <f>inputPrYr!D5</f>
        <v>2015</v>
      </c>
    </row>
    <row r="2" spans="2:5" ht="15.75">
      <c r="B2" s="6"/>
      <c r="C2" s="3"/>
      <c r="D2" s="3"/>
      <c r="E2" s="7"/>
    </row>
    <row r="3" spans="2:5" ht="15.75">
      <c r="B3" s="507" t="s">
        <v>683</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c r="D6" s="364">
        <f>C51</f>
        <v>0</v>
      </c>
      <c r="E6" s="21">
        <f>D51</f>
        <v>0</v>
      </c>
    </row>
    <row r="7" spans="2:5" ht="15.75">
      <c r="B7" s="16" t="s">
        <v>110</v>
      </c>
      <c r="C7" s="364"/>
      <c r="D7" s="364"/>
      <c r="E7" s="22"/>
    </row>
    <row r="8" spans="2:5" ht="15.75">
      <c r="B8" s="16" t="s">
        <v>16</v>
      </c>
      <c r="C8" s="18"/>
      <c r="D8" s="364">
        <f>IF(inputPrYr!H15&gt;0,inputPrYr!G16,inputPrYr!E16)</f>
        <v>0</v>
      </c>
      <c r="E8" s="22" t="s">
        <v>264</v>
      </c>
    </row>
    <row r="9" spans="2:5" ht="15.75">
      <c r="B9" s="16" t="s">
        <v>17</v>
      </c>
      <c r="C9" s="18"/>
      <c r="D9" s="18"/>
      <c r="E9" s="23"/>
    </row>
    <row r="10" spans="2:5" ht="15.75">
      <c r="B10" s="16" t="s">
        <v>18</v>
      </c>
      <c r="C10" s="18"/>
      <c r="D10" s="18"/>
      <c r="E10" s="21">
        <f>mvalloc!G11</f>
        <v>0</v>
      </c>
    </row>
    <row r="11" spans="2:5" ht="15.75">
      <c r="B11" s="16" t="s">
        <v>19</v>
      </c>
      <c r="C11" s="18"/>
      <c r="D11" s="18"/>
      <c r="E11" s="21">
        <f>mvalloc!I11</f>
        <v>0</v>
      </c>
    </row>
    <row r="12" spans="2:5" ht="15.75">
      <c r="B12" s="24" t="s">
        <v>69</v>
      </c>
      <c r="C12" s="18"/>
      <c r="D12" s="18"/>
      <c r="E12" s="21">
        <f>mvalloc!J11</f>
        <v>0</v>
      </c>
    </row>
    <row r="13" spans="2:5" ht="15.75">
      <c r="B13" s="24" t="s">
        <v>136</v>
      </c>
      <c r="C13" s="18"/>
      <c r="D13" s="18"/>
      <c r="E13" s="21">
        <f>inputOth!E35</f>
        <v>0</v>
      </c>
    </row>
    <row r="14" spans="2:5" ht="15.75">
      <c r="B14" s="16" t="s">
        <v>20</v>
      </c>
      <c r="C14" s="18"/>
      <c r="D14" s="18"/>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187</v>
      </c>
      <c r="C24" s="18"/>
      <c r="D24" s="18"/>
      <c r="E24" s="23"/>
    </row>
    <row r="25" spans="2:5" ht="15.75">
      <c r="B25" s="28" t="s">
        <v>188</v>
      </c>
      <c r="C25" s="361">
        <f>IF(C26*0.1&lt;C24,"Exceed 10% Rule","")</f>
      </c>
      <c r="D25" s="361">
        <f>IF(D26*0.1&lt;D24,"Exceed 10% Rule","")</f>
      </c>
      <c r="E25" s="34">
        <f>IF(E26*0.1+E57&lt;E24,"Exceed 10% Rule","")</f>
      </c>
    </row>
    <row r="26" spans="2:5" ht="15.75">
      <c r="B26" s="30" t="s">
        <v>23</v>
      </c>
      <c r="C26" s="366">
        <f>SUM(C8:C24)</f>
        <v>0</v>
      </c>
      <c r="D26" s="366">
        <f>SUM(D8:D24)</f>
        <v>0</v>
      </c>
      <c r="E26" s="31">
        <f>SUM(E8:E24)</f>
        <v>0</v>
      </c>
    </row>
    <row r="27" spans="2:5" ht="15.75">
      <c r="B27" s="32" t="s">
        <v>24</v>
      </c>
      <c r="C27" s="366">
        <f>C26+C6</f>
        <v>0</v>
      </c>
      <c r="D27" s="366">
        <f>D26+D6</f>
        <v>0</v>
      </c>
      <c r="E27" s="31">
        <f>E26+E6</f>
        <v>0</v>
      </c>
    </row>
    <row r="28" spans="2:5" ht="15.75">
      <c r="B28" s="16" t="s">
        <v>25</v>
      </c>
      <c r="C28" s="364"/>
      <c r="D28" s="364"/>
      <c r="E28" s="21"/>
    </row>
    <row r="29" spans="2:5" ht="15.75">
      <c r="B29" s="26"/>
      <c r="C29" s="18"/>
      <c r="D29" s="18"/>
      <c r="E29" s="23"/>
    </row>
    <row r="30" spans="2:5" ht="15.75">
      <c r="B30" s="27" t="s">
        <v>101</v>
      </c>
      <c r="C30" s="18"/>
      <c r="D30" s="18"/>
      <c r="E30" s="23"/>
    </row>
    <row r="31" spans="2:5" ht="15.75">
      <c r="B31" s="27" t="s">
        <v>115</v>
      </c>
      <c r="C31" s="18"/>
      <c r="D31" s="18"/>
      <c r="E31" s="23"/>
    </row>
    <row r="32" spans="2:5" ht="15.75">
      <c r="B32" s="27" t="s">
        <v>102</v>
      </c>
      <c r="C32" s="18"/>
      <c r="D32" s="18"/>
      <c r="E32" s="23"/>
    </row>
    <row r="33" spans="2:5" ht="15.75">
      <c r="B33" s="27" t="s">
        <v>36</v>
      </c>
      <c r="C33" s="18"/>
      <c r="D33" s="18"/>
      <c r="E33" s="23"/>
    </row>
    <row r="34" spans="2:5" ht="15.75">
      <c r="B34" s="26" t="s">
        <v>103</v>
      </c>
      <c r="C34" s="18"/>
      <c r="D34" s="18"/>
      <c r="E34" s="23"/>
    </row>
    <row r="35" spans="2:5" ht="15.75">
      <c r="B35" s="26" t="s">
        <v>116</v>
      </c>
      <c r="C35" s="18"/>
      <c r="D35" s="18"/>
      <c r="E35" s="23"/>
    </row>
    <row r="36" spans="2:5" ht="15.75">
      <c r="B36" s="27" t="s">
        <v>117</v>
      </c>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6" t="str">
        <f>CONCATENATE("Desired Carryover Into ",E1+1,"")</f>
        <v>Desired Carryover Into 2016</v>
      </c>
      <c r="H41" s="837"/>
      <c r="I41" s="837"/>
      <c r="J41" s="838"/>
    </row>
    <row r="42" spans="2:10" ht="15.75">
      <c r="B42" s="27"/>
      <c r="C42" s="18"/>
      <c r="D42" s="18"/>
      <c r="E42" s="23"/>
      <c r="G42" s="470"/>
      <c r="H42" s="8"/>
      <c r="I42" s="462"/>
      <c r="J42" s="471"/>
    </row>
    <row r="43" spans="2:10" ht="15.75">
      <c r="B43" s="24" t="s">
        <v>242</v>
      </c>
      <c r="C43" s="18"/>
      <c r="D43" s="18"/>
      <c r="E43" s="23"/>
      <c r="G43" s="472" t="s">
        <v>677</v>
      </c>
      <c r="H43" s="462"/>
      <c r="I43" s="462"/>
      <c r="J43" s="473">
        <v>0</v>
      </c>
    </row>
    <row r="44" spans="2:10" ht="15.75">
      <c r="B44" s="24" t="s">
        <v>239</v>
      </c>
      <c r="C44" s="360">
        <f>IF(AND($C$43&gt;0,$C$8&gt;0),"Not Authorized","")</f>
      </c>
      <c r="D44" s="360">
        <f>IF(AND($D$43&gt;0,$D$8&gt;0),"Not Authorized","")</f>
      </c>
      <c r="E44" s="33">
        <f>IF(AND(cert!F21&gt;0,$E$43&gt;0),"Not Authorized","")</f>
      </c>
      <c r="G44" s="470" t="s">
        <v>678</v>
      </c>
      <c r="H44" s="8"/>
      <c r="I44" s="8"/>
      <c r="J44" s="668">
        <f>IF(J43=0,"",ROUND((J43+E57-G56)/inputOth!E7*1000,3)-G61)</f>
      </c>
    </row>
    <row r="45" spans="2:10" ht="15.75">
      <c r="B45" s="16" t="s">
        <v>243</v>
      </c>
      <c r="C45" s="18"/>
      <c r="D45" s="18"/>
      <c r="E45" s="23"/>
      <c r="G45" s="669" t="str">
        <f>CONCATENATE("",E1," Tot Exp/Non-Appr Must Be:")</f>
        <v>2015 Tot Exp/Non-Appr Must Be:</v>
      </c>
      <c r="H45" s="553"/>
      <c r="I45" s="663"/>
      <c r="J45" s="670">
        <f>IF(J43&gt;0,IF(E54&lt;E23,IF(J43=G56,E54,((J43-G56)*(1-D56))+E23),E54+(J43-G56)),0)</f>
        <v>0</v>
      </c>
    </row>
    <row r="46" spans="2:10" ht="15.75">
      <c r="B46" s="16" t="s">
        <v>712</v>
      </c>
      <c r="C46" s="361">
        <f>IF(C27*0.25&lt;C45,"Exceeds 25%","")</f>
      </c>
      <c r="D46" s="361">
        <f>IF(D27*0.25&lt;D45,"Exceeds 25%","")</f>
      </c>
      <c r="E46" s="34">
        <f>IF(E27*0.25+E57&lt;E45,"Exceeds 25%","")</f>
      </c>
      <c r="G46" s="671" t="s">
        <v>782</v>
      </c>
      <c r="H46" s="672"/>
      <c r="I46" s="672"/>
      <c r="J46" s="673">
        <f>IF(J43&gt;0,J45-E54,0)</f>
        <v>0</v>
      </c>
    </row>
    <row r="47" spans="2:5" ht="15.75">
      <c r="B47" s="24" t="s">
        <v>189</v>
      </c>
      <c r="C47" s="18"/>
      <c r="D47" s="18"/>
      <c r="E47" s="35">
        <f>nhood!E6</f>
      </c>
    </row>
    <row r="48" spans="2:10" ht="15.75">
      <c r="B48" s="24" t="s">
        <v>187</v>
      </c>
      <c r="C48" s="18"/>
      <c r="D48" s="18"/>
      <c r="E48" s="23"/>
      <c r="G48" s="836" t="str">
        <f>CONCATENATE("Projected Carryover Into ",E1+1,"")</f>
        <v>Projected Carryover Into 2016</v>
      </c>
      <c r="H48" s="837"/>
      <c r="I48" s="837"/>
      <c r="J48" s="838"/>
    </row>
    <row r="49" spans="2:10" ht="15.75">
      <c r="B49" s="24" t="s">
        <v>584</v>
      </c>
      <c r="C49" s="361">
        <f>IF(C50*0.1&lt;C48,"Exceed 10% Rule","")</f>
      </c>
      <c r="D49" s="361">
        <f>IF(D50*0.1&lt;D48,"Exceed 10% Rule","")</f>
      </c>
      <c r="E49" s="34">
        <f>IF(E50*0.1&lt;E48,"Exceed 10% Rule","")</f>
      </c>
      <c r="G49" s="458"/>
      <c r="H49" s="8"/>
      <c r="I49" s="8"/>
      <c r="J49" s="245"/>
    </row>
    <row r="50" spans="2:10" ht="15.75">
      <c r="B50" s="32" t="s">
        <v>26</v>
      </c>
      <c r="C50" s="358">
        <f>SUM(C29:C48)</f>
        <v>0</v>
      </c>
      <c r="D50" s="358">
        <f>SUM(D29:D48)</f>
        <v>0</v>
      </c>
      <c r="E50" s="36">
        <f>SUM(E29:E43,E45,E47:E48)</f>
        <v>0</v>
      </c>
      <c r="G50" s="459">
        <f>D51</f>
        <v>0</v>
      </c>
      <c r="H50" s="460" t="str">
        <f>CONCATENATE("",E1-1," Ending Cash Balance (est.)")</f>
        <v>2014 Ending Cash Balance (est.)</v>
      </c>
      <c r="I50" s="461"/>
      <c r="J50" s="245"/>
    </row>
    <row r="51" spans="2:10" ht="15.75">
      <c r="B51" s="16" t="s">
        <v>109</v>
      </c>
      <c r="C51" s="359">
        <f>C27-C50</f>
        <v>0</v>
      </c>
      <c r="D51" s="359">
        <f>SUM(D27-D50)</f>
        <v>0</v>
      </c>
      <c r="E51" s="22" t="s">
        <v>264</v>
      </c>
      <c r="G51" s="459">
        <f>E26</f>
        <v>0</v>
      </c>
      <c r="H51" s="462" t="str">
        <f>CONCATENATE("",E1," Non-AV Receipts (est.)")</f>
        <v>2015 Non-AV Receipts (est.)</v>
      </c>
      <c r="I51" s="461"/>
      <c r="J51" s="245"/>
    </row>
    <row r="52" spans="2:11" ht="15.75">
      <c r="B52" s="266" t="str">
        <f>CONCATENATE("",E1-2,"/",E1-1,"/",E1," Budget Authority Amount:")</f>
        <v>2013/2014/2015 Budget Authority Amount:</v>
      </c>
      <c r="C52" s="52">
        <f>inputOth!B46</f>
        <v>0</v>
      </c>
      <c r="D52" s="52">
        <f>inputPrYr!D16</f>
        <v>0</v>
      </c>
      <c r="E52" s="21">
        <f>E50</f>
        <v>0</v>
      </c>
      <c r="F52" s="39"/>
      <c r="G52" s="463">
        <f>IF(D56&gt;0,E55,E57)</f>
        <v>0</v>
      </c>
      <c r="H52" s="462" t="str">
        <f>CONCATENATE("",E1," Ad Valorem Tax (est.)")</f>
        <v>2015 Ad Valorem Tax (est.)</v>
      </c>
      <c r="I52" s="461"/>
      <c r="J52" s="245"/>
      <c r="K52" s="674">
        <f>IF(G52=E57,"","Note: Does not include Delinquent Taxes")</f>
      </c>
    </row>
    <row r="53" spans="2:10" ht="15.75">
      <c r="B53" s="37"/>
      <c r="C53" s="829" t="s">
        <v>585</v>
      </c>
      <c r="D53" s="830"/>
      <c r="E53" s="23"/>
      <c r="F53" s="457">
        <f>IF(E50/0.95-E50&lt;E53,"Exceeds 5%","")</f>
      </c>
      <c r="G53" s="459">
        <f>SUM(G50:G52)</f>
        <v>0</v>
      </c>
      <c r="H53" s="462" t="str">
        <f>CONCATENATE("Total ",E1," Resources Available")</f>
        <v>Total 2015 Resources Available</v>
      </c>
      <c r="I53" s="461"/>
      <c r="J53" s="245"/>
    </row>
    <row r="54" spans="2:10" ht="15.75">
      <c r="B54" s="370" t="str">
        <f>CONCATENATE(C72,"     ",D72)</f>
        <v>     </v>
      </c>
      <c r="C54" s="831" t="s">
        <v>586</v>
      </c>
      <c r="D54" s="832"/>
      <c r="E54" s="21">
        <f>E50+E53</f>
        <v>0</v>
      </c>
      <c r="G54" s="464"/>
      <c r="H54" s="462"/>
      <c r="I54" s="462"/>
      <c r="J54" s="245"/>
    </row>
    <row r="55" spans="2:10" ht="15.75">
      <c r="B55" s="370" t="str">
        <f>CONCATENATE(C73,"     ",D73)</f>
        <v>     </v>
      </c>
      <c r="C55" s="49"/>
      <c r="D55" s="41" t="s">
        <v>28</v>
      </c>
      <c r="E55" s="35">
        <f>IF(E54-E27&gt;0,E54-E27,0)</f>
        <v>0</v>
      </c>
      <c r="G55" s="463">
        <f>ROUND(C50*0.05+C50,0)</f>
        <v>0</v>
      </c>
      <c r="H55" s="462" t="str">
        <f>CONCATENATE("Less ",E1-2," Expenditures + 5%")</f>
        <v>Less 2013 Expenditures + 5%</v>
      </c>
      <c r="I55" s="461"/>
      <c r="J55" s="245"/>
    </row>
    <row r="56" spans="2:10" ht="15.75">
      <c r="B56" s="41"/>
      <c r="C56" s="374" t="s">
        <v>587</v>
      </c>
      <c r="D56" s="662">
        <f>inputOth!$E$40</f>
        <v>0</v>
      </c>
      <c r="E56" s="21">
        <f>ROUND(IF(D56&gt;0,(E55*D56),0),0)</f>
        <v>0</v>
      </c>
      <c r="G56" s="465">
        <f>G53-G55</f>
        <v>0</v>
      </c>
      <c r="H56" s="466" t="str">
        <f>CONCATENATE("Projected ",E1+1," Carryover (est.)")</f>
        <v>Projected 2016 Carryover (est.)</v>
      </c>
      <c r="I56" s="467"/>
      <c r="J56" s="468"/>
    </row>
    <row r="57" spans="2:5" ht="15.75">
      <c r="B57" s="3"/>
      <c r="C57" s="827" t="str">
        <f>CONCATENATE("Amount of  ",$E$1-1," Ad Valorem Tax")</f>
        <v>Amount of  2014 Ad Valorem Tax</v>
      </c>
      <c r="D57" s="828"/>
      <c r="E57" s="35">
        <f>E55+E56</f>
        <v>0</v>
      </c>
    </row>
    <row r="58" spans="2:10" ht="15.75">
      <c r="B58" s="3"/>
      <c r="C58" s="3"/>
      <c r="D58" s="3"/>
      <c r="E58" s="3"/>
      <c r="G58" s="839" t="s">
        <v>783</v>
      </c>
      <c r="H58" s="840"/>
      <c r="I58" s="840"/>
      <c r="J58" s="841"/>
    </row>
    <row r="59" spans="2:11" s="43" customFormat="1" ht="15.75">
      <c r="B59" s="8"/>
      <c r="C59" s="8"/>
      <c r="D59" s="42"/>
      <c r="E59" s="8"/>
      <c r="G59" s="675"/>
      <c r="H59" s="460"/>
      <c r="I59" s="664"/>
      <c r="J59" s="676"/>
      <c r="K59" s="5"/>
    </row>
    <row r="60" spans="2:11" s="45" customFormat="1" ht="15.75">
      <c r="B60" s="3"/>
      <c r="C60" s="3"/>
      <c r="D60" s="44"/>
      <c r="E60" s="3"/>
      <c r="G60" s="677" t="str">
        <f>summ!I18</f>
        <v> </v>
      </c>
      <c r="H60" s="460" t="str">
        <f>CONCATENATE("",E1," Fund Mill Rate")</f>
        <v>2015 Fund Mill Rate</v>
      </c>
      <c r="I60" s="664"/>
      <c r="J60" s="676"/>
      <c r="K60" s="5"/>
    </row>
    <row r="61" spans="2:10" ht="15.75">
      <c r="B61" s="41" t="s">
        <v>9</v>
      </c>
      <c r="C61" s="376">
        <f>IF(inputPrYr!D18&gt;0,7,6)</f>
        <v>6</v>
      </c>
      <c r="D61" s="3"/>
      <c r="E61" s="44"/>
      <c r="G61" s="678" t="str">
        <f>summ!F18</f>
        <v>  </v>
      </c>
      <c r="H61" s="460" t="str">
        <f>CONCATENATE("",E1-1," Fund Mill Rate")</f>
        <v>2014 Fund Mill Rate</v>
      </c>
      <c r="I61" s="664"/>
      <c r="J61" s="676"/>
    </row>
    <row r="62" spans="7:10" ht="15.75">
      <c r="G62" s="679">
        <f>summ!I32</f>
        <v>18.703</v>
      </c>
      <c r="H62" s="460" t="str">
        <f>CONCATENATE("Total ",E1," Mill Rate")</f>
        <v>Total 2015 Mill Rate</v>
      </c>
      <c r="I62" s="664"/>
      <c r="J62" s="676"/>
    </row>
    <row r="63" spans="2:10" ht="15.75">
      <c r="B63" s="1"/>
      <c r="G63" s="678">
        <f>summ!F32</f>
        <v>20.017</v>
      </c>
      <c r="H63" s="680" t="str">
        <f>CONCATENATE("Total ",E1-1," Mill Rate")</f>
        <v>Total 2014 Mill Rate</v>
      </c>
      <c r="I63" s="681"/>
      <c r="J63" s="682"/>
    </row>
    <row r="64" spans="7:10" ht="15.75">
      <c r="G64" s="665"/>
      <c r="H64" s="469"/>
      <c r="I64" s="469"/>
      <c r="J64" s="667"/>
    </row>
    <row r="65" spans="7:10" ht="15.75">
      <c r="G65" s="751" t="s">
        <v>896</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07" sqref="P107"/>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Erie Township</v>
      </c>
      <c r="C1" s="554"/>
      <c r="D1" s="555"/>
      <c r="E1" s="556">
        <f>inputPrYr!D5</f>
        <v>2015</v>
      </c>
    </row>
    <row r="2" spans="2:5" ht="15.75">
      <c r="B2" s="555"/>
      <c r="C2" s="555"/>
      <c r="D2" s="555"/>
      <c r="E2" s="558"/>
    </row>
    <row r="3" spans="2:5" ht="15.75">
      <c r="B3" s="507" t="s">
        <v>683</v>
      </c>
      <c r="C3" s="507"/>
      <c r="D3" s="559"/>
      <c r="E3" s="560"/>
    </row>
    <row r="4" spans="2:5" ht="15.75">
      <c r="B4" s="561" t="s">
        <v>10</v>
      </c>
      <c r="C4" s="562" t="s">
        <v>779</v>
      </c>
      <c r="D4" s="563" t="s">
        <v>780</v>
      </c>
      <c r="E4" s="564" t="s">
        <v>781</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264</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187</v>
      </c>
      <c r="C18" s="582"/>
      <c r="D18" s="576"/>
      <c r="E18" s="577"/>
    </row>
    <row r="19" spans="2:5" ht="15.75">
      <c r="B19" s="569" t="s">
        <v>785</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7" t="str">
        <f>CONCATENATE("Desired Carryover Into ",E1+1,"")</f>
        <v>Desired Carryover Into 2016</v>
      </c>
      <c r="H24" s="848"/>
      <c r="I24" s="848"/>
      <c r="J24" s="849"/>
    </row>
    <row r="25" spans="2:10" ht="15.75">
      <c r="B25" s="579"/>
      <c r="C25" s="576"/>
      <c r="D25" s="576"/>
      <c r="E25" s="577"/>
      <c r="G25" s="588"/>
      <c r="H25" s="589"/>
      <c r="I25" s="590"/>
      <c r="J25" s="591"/>
    </row>
    <row r="26" spans="2:10" ht="15.75">
      <c r="B26" s="579"/>
      <c r="C26" s="574"/>
      <c r="D26" s="576"/>
      <c r="E26" s="577"/>
      <c r="G26" s="592" t="s">
        <v>677</v>
      </c>
      <c r="H26" s="590"/>
      <c r="I26" s="590"/>
      <c r="J26" s="593">
        <v>0</v>
      </c>
    </row>
    <row r="27" spans="2:10" ht="15.75">
      <c r="B27" s="579"/>
      <c r="C27" s="574"/>
      <c r="D27" s="576"/>
      <c r="E27" s="577"/>
      <c r="G27" s="588" t="s">
        <v>678</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782</v>
      </c>
      <c r="H29" s="600"/>
      <c r="I29" s="600"/>
      <c r="J29" s="601">
        <f>IF(J26&gt;0,J28-E37,0)</f>
        <v>0</v>
      </c>
    </row>
    <row r="30" spans="2:5" ht="15.75">
      <c r="B30" s="602" t="s">
        <v>189</v>
      </c>
      <c r="C30" s="574"/>
      <c r="D30" s="576"/>
      <c r="E30" s="572">
        <f>nhood!E7</f>
      </c>
    </row>
    <row r="31" spans="2:10" ht="15.75">
      <c r="B31" s="602" t="s">
        <v>187</v>
      </c>
      <c r="C31" s="582"/>
      <c r="D31" s="576"/>
      <c r="E31" s="577"/>
      <c r="G31" s="847" t="str">
        <f>CONCATENATE("Projected Carryover Into ",E1+1,"")</f>
        <v>Projected Carryover Into 2016</v>
      </c>
      <c r="H31" s="850"/>
      <c r="I31" s="850"/>
      <c r="J31" s="851"/>
    </row>
    <row r="32" spans="2:10" ht="15.75">
      <c r="B32" s="602" t="s">
        <v>584</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264</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29" t="s">
        <v>585</v>
      </c>
      <c r="D36" s="830"/>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1" t="s">
        <v>586</v>
      </c>
      <c r="D37" s="832"/>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52" t="str">
        <f>CONCATENATE("Amount of  ",E1-1," Ad Valorem Tax")</f>
        <v>Amount of  2014 Ad Valorem Tax</v>
      </c>
      <c r="D40" s="853"/>
      <c r="E40" s="626">
        <f>SUM(E38:E39)</f>
        <v>0</v>
      </c>
      <c r="F40" s="610"/>
    </row>
    <row r="41" spans="2:10" ht="16.5" thickTop="1">
      <c r="B41" s="555"/>
      <c r="C41" s="852"/>
      <c r="D41" s="853"/>
      <c r="E41" s="627"/>
      <c r="F41" s="610"/>
      <c r="G41" s="854" t="s">
        <v>783</v>
      </c>
      <c r="H41" s="855"/>
      <c r="I41" s="855"/>
      <c r="J41" s="856"/>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779</v>
      </c>
      <c r="D44" s="563" t="s">
        <v>780</v>
      </c>
      <c r="E44" s="564" t="s">
        <v>781</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18.703</v>
      </c>
      <c r="H45" s="607" t="str">
        <f>CONCATENATE("Total ",E1," Mill Rate")</f>
        <v>Total 2015 Mill Rate</v>
      </c>
      <c r="I45" s="629"/>
      <c r="J45" s="630"/>
    </row>
    <row r="46" spans="2:10" ht="15.75">
      <c r="B46" s="569" t="s">
        <v>121</v>
      </c>
      <c r="C46" s="574">
        <v>0</v>
      </c>
      <c r="D46" s="571">
        <f>C74</f>
        <v>0</v>
      </c>
      <c r="E46" s="572">
        <f>D74</f>
        <v>0</v>
      </c>
      <c r="F46" s="610"/>
      <c r="G46" s="632">
        <f>summ!F32</f>
        <v>20.017</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264</v>
      </c>
      <c r="F48" s="610"/>
      <c r="G48" s="752" t="s">
        <v>896</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187</v>
      </c>
      <c r="C58" s="582"/>
      <c r="D58" s="582"/>
      <c r="E58" s="639"/>
    </row>
    <row r="59" spans="2:5" ht="15.75">
      <c r="B59" s="569" t="s">
        <v>785</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7" t="str">
        <f>CONCATENATE("Desired Carryover Into ",E1+1,"")</f>
        <v>Desired Carryover Into 2016</v>
      </c>
      <c r="H64" s="848"/>
      <c r="I64" s="848"/>
      <c r="J64" s="849"/>
    </row>
    <row r="65" spans="2:10" ht="15.75">
      <c r="B65" s="579"/>
      <c r="C65" s="574"/>
      <c r="D65" s="576"/>
      <c r="E65" s="577"/>
      <c r="G65" s="588"/>
      <c r="H65" s="589"/>
      <c r="I65" s="590"/>
      <c r="J65" s="591"/>
    </row>
    <row r="66" spans="2:10" ht="15.75">
      <c r="B66" s="579"/>
      <c r="C66" s="574"/>
      <c r="D66" s="576"/>
      <c r="E66" s="577"/>
      <c r="G66" s="592" t="s">
        <v>677</v>
      </c>
      <c r="H66" s="590"/>
      <c r="I66" s="590"/>
      <c r="J66" s="593">
        <v>0</v>
      </c>
    </row>
    <row r="67" spans="2:10" ht="15.75">
      <c r="B67" s="579"/>
      <c r="C67" s="574"/>
      <c r="D67" s="576"/>
      <c r="E67" s="577"/>
      <c r="G67" s="588" t="s">
        <v>678</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782</v>
      </c>
      <c r="H69" s="600"/>
      <c r="I69" s="600"/>
      <c r="J69" s="601">
        <f>IF(J66&gt;0,J68-E77,0)</f>
        <v>0</v>
      </c>
    </row>
    <row r="70" spans="2:6" ht="15.75">
      <c r="B70" s="578" t="s">
        <v>189</v>
      </c>
      <c r="C70" s="574"/>
      <c r="D70" s="576"/>
      <c r="E70" s="572">
        <f>nhood!E8</f>
      </c>
      <c r="F70" s="610"/>
    </row>
    <row r="71" spans="2:10" ht="15.75">
      <c r="B71" s="578" t="s">
        <v>187</v>
      </c>
      <c r="C71" s="582"/>
      <c r="D71" s="576"/>
      <c r="E71" s="577"/>
      <c r="F71" s="610"/>
      <c r="G71" s="847" t="str">
        <f>CONCATENATE("Projected Carryover Into ",E1+1,"")</f>
        <v>Projected Carryover Into 2016</v>
      </c>
      <c r="H71" s="857"/>
      <c r="I71" s="857"/>
      <c r="J71" s="851"/>
    </row>
    <row r="72" spans="2:10" ht="15.75">
      <c r="B72" s="578" t="s">
        <v>584</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264</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29" t="s">
        <v>585</v>
      </c>
      <c r="D76" s="830"/>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1" t="s">
        <v>586</v>
      </c>
      <c r="D77" s="832"/>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52" t="str">
        <f>CONCATENATE("Amount of  ",E1-1," Ad Valorem Tax")</f>
        <v>Amount of  2014 Ad Valorem Tax</v>
      </c>
      <c r="D80" s="853"/>
      <c r="E80" s="626">
        <f>E78+E79</f>
        <v>0</v>
      </c>
      <c r="F80" s="649" t="e">
        <f>IF('Library Grant'!F33="","",IF('Library Grant'!F33="Qualify","Qualifies for State Library Grant","See 'Library Grant' tab"))</f>
        <v>#VALUE!</v>
      </c>
    </row>
    <row r="81" spans="2:10" ht="16.5" thickTop="1">
      <c r="B81" s="558"/>
      <c r="C81" s="852"/>
      <c r="D81" s="853"/>
      <c r="E81" s="627"/>
      <c r="F81" s="610"/>
      <c r="G81" s="854" t="s">
        <v>783</v>
      </c>
      <c r="H81" s="855"/>
      <c r="I81" s="855"/>
      <c r="J81" s="856"/>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18.703</v>
      </c>
      <c r="H85" s="607" t="str">
        <f>CONCATENATE("Total ",E1," Mill Rate")</f>
        <v>Total 2015 Mill Rate</v>
      </c>
      <c r="I85" s="629"/>
      <c r="J85" s="630"/>
    </row>
    <row r="86" spans="7:10" ht="15.75">
      <c r="G86" s="632">
        <f>summ!F32</f>
        <v>20.017</v>
      </c>
      <c r="H86" s="635" t="str">
        <f>CONCATENATE("Total ",E1-1," Mill Rate")</f>
        <v>Total 2014 Mill Rate</v>
      </c>
      <c r="I86" s="636"/>
      <c r="J86" s="637"/>
    </row>
    <row r="87" spans="7:10" ht="15.75">
      <c r="G87" s="651"/>
      <c r="H87" s="651"/>
      <c r="I87" s="651"/>
      <c r="J87" s="651"/>
    </row>
    <row r="88" spans="3:9" ht="15.75">
      <c r="C88" s="652" t="s">
        <v>784</v>
      </c>
      <c r="D88" s="652" t="s">
        <v>784</v>
      </c>
      <c r="G88" s="753" t="s">
        <v>896</v>
      </c>
      <c r="H88" s="716"/>
      <c r="I88" s="715" t="str">
        <f>cert!F37</f>
        <v>No</v>
      </c>
    </row>
    <row r="89" spans="3:4" ht="15.75">
      <c r="C89" s="652" t="s">
        <v>784</v>
      </c>
      <c r="D89" s="652" t="s">
        <v>784</v>
      </c>
    </row>
    <row r="91" spans="3:4" ht="15.75">
      <c r="C91" s="652" t="s">
        <v>784</v>
      </c>
      <c r="D91" s="652" t="s">
        <v>784</v>
      </c>
    </row>
    <row r="92" spans="3:4" ht="15.75">
      <c r="C92" s="652" t="s">
        <v>784</v>
      </c>
      <c r="D92" s="652" t="s">
        <v>784</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3">
      <selection activeCell="P107" sqref="P10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7"/>
      <c r="D2" s="807"/>
      <c r="E2" s="807"/>
      <c r="F2" s="807"/>
      <c r="G2" s="807"/>
      <c r="H2" s="807"/>
      <c r="I2" s="807"/>
    </row>
    <row r="3" spans="2:9" ht="15.75">
      <c r="B3" s="3"/>
      <c r="C3" s="3"/>
      <c r="D3" s="3"/>
      <c r="E3" s="3"/>
      <c r="F3" s="3"/>
      <c r="G3" s="11" t="s">
        <v>37</v>
      </c>
      <c r="H3" s="11" t="s">
        <v>38</v>
      </c>
      <c r="I3" s="3"/>
    </row>
    <row r="4" spans="2:9" ht="15.75">
      <c r="B4" s="796" t="s">
        <v>39</v>
      </c>
      <c r="C4" s="796"/>
      <c r="D4" s="796"/>
      <c r="E4" s="796"/>
      <c r="F4" s="796"/>
      <c r="G4" s="796"/>
      <c r="H4" s="796"/>
      <c r="I4" s="796"/>
    </row>
    <row r="5" spans="2:9" ht="15.75">
      <c r="B5" s="805" t="str">
        <f>inputPrYr!D2</f>
        <v>Erie Township</v>
      </c>
      <c r="C5" s="805"/>
      <c r="D5" s="805"/>
      <c r="E5" s="805"/>
      <c r="F5" s="805"/>
      <c r="G5" s="805"/>
      <c r="H5" s="805"/>
      <c r="I5" s="805"/>
    </row>
    <row r="6" spans="2:9" ht="15.75">
      <c r="B6" s="805" t="str">
        <f>inputPrYr!D3</f>
        <v>Sedgwick County</v>
      </c>
      <c r="C6" s="805"/>
      <c r="D6" s="805"/>
      <c r="E6" s="805"/>
      <c r="F6" s="805"/>
      <c r="G6" s="805"/>
      <c r="H6" s="805"/>
      <c r="I6" s="805"/>
    </row>
    <row r="7" spans="2:9" ht="15.75">
      <c r="B7" s="796" t="str">
        <f>CONCATENATE("will meet on ",inputBudSum!B8," at ",inputBudSum!B10," at ",inputBudSum!B12," for the purpose of hearing and")</f>
        <v>will meet on August 8th, 2014 at 7:00 PM at 35626 W 111th St. So, Milton, KS for the purpose of hearing and</v>
      </c>
      <c r="C7" s="796"/>
      <c r="D7" s="796"/>
      <c r="E7" s="796"/>
      <c r="F7" s="796"/>
      <c r="G7" s="796"/>
      <c r="H7" s="796"/>
      <c r="I7" s="796"/>
    </row>
    <row r="8" spans="2:9" ht="15.75">
      <c r="B8" s="136" t="s">
        <v>568</v>
      </c>
      <c r="C8" s="134"/>
      <c r="D8" s="134"/>
      <c r="E8" s="134"/>
      <c r="F8" s="134"/>
      <c r="G8" s="134"/>
      <c r="H8" s="134"/>
      <c r="I8" s="134"/>
    </row>
    <row r="9" spans="2:9" ht="15.75">
      <c r="B9" s="136" t="str">
        <f>CONCATENATE("Detailed budget information is available at ",inputBudSum!B15," and will be available at this hearing.")</f>
        <v>Detailed budget information is available at Sedgwick County Clerk's Office, 525 N Main #211, Wichita, KS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75">
      <c r="B16" s="3"/>
      <c r="C16" s="145"/>
      <c r="D16" s="145" t="s">
        <v>41</v>
      </c>
      <c r="E16" s="145"/>
      <c r="F16" s="145" t="s">
        <v>41</v>
      </c>
      <c r="G16" s="145" t="s">
        <v>183</v>
      </c>
      <c r="H16" s="858"/>
      <c r="I16" s="145" t="s">
        <v>41</v>
      </c>
      <c r="J16" s="138"/>
    </row>
    <row r="17" spans="2:10" ht="15.75">
      <c r="B17" s="14" t="s">
        <v>260</v>
      </c>
      <c r="C17" s="15" t="s">
        <v>42</v>
      </c>
      <c r="D17" s="15" t="s">
        <v>43</v>
      </c>
      <c r="E17" s="15" t="s">
        <v>42</v>
      </c>
      <c r="F17" s="15" t="s">
        <v>43</v>
      </c>
      <c r="G17" s="15" t="s">
        <v>682</v>
      </c>
      <c r="H17" s="859"/>
      <c r="I17" s="15" t="s">
        <v>43</v>
      </c>
      <c r="J17" s="138"/>
    </row>
    <row r="18" spans="2:10" ht="15.75">
      <c r="B18" s="74" t="str">
        <f>inputPrYr!B16</f>
        <v>General</v>
      </c>
      <c r="C18" s="52" t="str">
        <f>IF(gen!$C$50&lt;&gt;0,gen!$C$50,"  ")</f>
        <v>  </v>
      </c>
      <c r="D18" s="499" t="str">
        <f>IF(inputPrYr!D42&gt;0,inputPrYr!D42,"  ")</f>
        <v>  </v>
      </c>
      <c r="E18" s="21" t="str">
        <f>IF(gen!$D$50&lt;&gt;0,gen!$D$50,"  ")</f>
        <v>  </v>
      </c>
      <c r="F18" s="224" t="str">
        <f>IF(inputOth!D17&gt;0,inputOth!D17,"  ")</f>
        <v>  </v>
      </c>
      <c r="G18" s="21" t="str">
        <f>IF(gen!$E$50&lt;&gt;0,gen!$E$50,"  ")</f>
        <v>  </v>
      </c>
      <c r="H18" s="21" t="str">
        <f>IF(gen!$E$57&lt;&gt;0,gen!$E$57," ")</f>
        <v> </v>
      </c>
      <c r="I18" s="501" t="str">
        <f>IF(gen!E57&gt;0,ROUND(H18/$G$37*1000,3)," ")</f>
        <v> </v>
      </c>
      <c r="J18" s="138"/>
    </row>
    <row r="19" spans="2:10" ht="15.7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67116</v>
      </c>
      <c r="D21" s="499">
        <f>IF(inputPrYr!D45&gt;0,inputPrYr!D45,"  ")</f>
        <v>17.288</v>
      </c>
      <c r="E21" s="21">
        <f>IF(road!$D$43&lt;&gt;0,road!$D$43,"  ")</f>
        <v>70328</v>
      </c>
      <c r="F21" s="224">
        <f>IF(inputOth!D20&gt;0,inputOth!D20,"  ")</f>
        <v>20.017</v>
      </c>
      <c r="G21" s="21">
        <f>IF(road!$E$43&lt;&gt;0,road!$E$43,"  ")</f>
        <v>74528</v>
      </c>
      <c r="H21" s="21">
        <f>IF(road!$E$50&lt;&gt;0,road!$E$50,"  ")</f>
        <v>38744.07000000001</v>
      </c>
      <c r="I21" s="501">
        <f>IF(road!E50&gt;0,ROUND(H21/$G$37*1000,3)," ")</f>
        <v>18.703</v>
      </c>
      <c r="K21" s="863" t="str">
        <f>CONCATENATE("Estimated Value Of One Mill For ",I1,"")</f>
        <v>Estimated Value Of One Mill For 2015</v>
      </c>
      <c r="L21" s="868"/>
      <c r="M21" s="868"/>
      <c r="N21" s="869"/>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679</v>
      </c>
      <c r="L23" s="479"/>
      <c r="M23" s="479"/>
      <c r="N23" s="480">
        <f>ROUND(G37/1000,0)</f>
        <v>2072</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3" t="str">
        <f>CONCATENATE("Want The Mill Rate The Same As For ",I1-1,"?")</f>
        <v>Want The Mill Rate The Same As For 2014?</v>
      </c>
      <c r="L25" s="866"/>
      <c r="M25" s="866"/>
      <c r="N25" s="867"/>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20.017</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2721.929999999993</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262</v>
      </c>
      <c r="C31" s="454" t="str">
        <f>IF(road!C64&lt;&gt;0,road!C64,"  ")</f>
        <v>  </v>
      </c>
      <c r="D31" s="455"/>
      <c r="E31" s="500"/>
      <c r="F31" s="455"/>
      <c r="G31" s="500"/>
      <c r="H31" s="500"/>
      <c r="I31" s="455"/>
      <c r="K31" s="489"/>
      <c r="L31" s="489"/>
      <c r="M31" s="489"/>
      <c r="N31" s="489"/>
    </row>
    <row r="32" spans="2:14" ht="15.75">
      <c r="B32" s="61" t="s">
        <v>263</v>
      </c>
      <c r="C32" s="502">
        <f aca="true" t="shared" si="0" ref="C32:I32">SUM(C18:C31)</f>
        <v>67116</v>
      </c>
      <c r="D32" s="453">
        <f t="shared" si="0"/>
        <v>17.288</v>
      </c>
      <c r="E32" s="502">
        <f t="shared" si="0"/>
        <v>70328</v>
      </c>
      <c r="F32" s="453">
        <f t="shared" si="0"/>
        <v>20.017</v>
      </c>
      <c r="G32" s="502">
        <f t="shared" si="0"/>
        <v>74528</v>
      </c>
      <c r="H32" s="502">
        <f t="shared" si="0"/>
        <v>38744.07000000001</v>
      </c>
      <c r="I32" s="505">
        <f t="shared" si="0"/>
        <v>18.703</v>
      </c>
      <c r="K32" s="863" t="str">
        <f>CONCATENATE("Impact On Keeping The Same Mill Rate As For ",I1-1,"")</f>
        <v>Impact On Keeping The Same Mill Rate As For 2014</v>
      </c>
      <c r="L32" s="864"/>
      <c r="M32" s="864"/>
      <c r="N32" s="865"/>
    </row>
    <row r="33" spans="2:14" ht="15.75">
      <c r="B33" s="261" t="s">
        <v>44</v>
      </c>
      <c r="C33" s="21">
        <f>transfer!C29</f>
        <v>2512</v>
      </c>
      <c r="D33" s="3"/>
      <c r="E33" s="21">
        <f>transfer!D29</f>
        <v>0</v>
      </c>
      <c r="F33" s="50"/>
      <c r="G33" s="21">
        <f>transfer!E29</f>
        <v>0</v>
      </c>
      <c r="H33" s="3"/>
      <c r="I33" s="3"/>
      <c r="K33" s="482"/>
      <c r="L33" s="476"/>
      <c r="M33" s="476"/>
      <c r="N33" s="483"/>
    </row>
    <row r="34" spans="2:14" ht="16.5" thickBot="1">
      <c r="B34" s="261" t="s">
        <v>45</v>
      </c>
      <c r="C34" s="503">
        <f>C32-C33</f>
        <v>64604</v>
      </c>
      <c r="D34" s="3"/>
      <c r="E34" s="503">
        <f>E32-E33</f>
        <v>70328</v>
      </c>
      <c r="F34" s="3"/>
      <c r="G34" s="503">
        <f>G32-G33</f>
        <v>74528</v>
      </c>
      <c r="H34" s="3"/>
      <c r="I34" s="3"/>
      <c r="K34" s="482" t="str">
        <f>CONCATENATE("",I1," Ad Valorem Tax Revenue:")</f>
        <v>2015 Ad Valorem Tax Revenue:</v>
      </c>
      <c r="L34" s="476"/>
      <c r="M34" s="476"/>
      <c r="N34" s="477">
        <f>H32</f>
        <v>38744.07000000001</v>
      </c>
    </row>
    <row r="35" spans="2:14" ht="16.5" thickTop="1">
      <c r="B35" s="261" t="s">
        <v>46</v>
      </c>
      <c r="C35" s="504">
        <f>inputPrYr!E54</f>
        <v>31562</v>
      </c>
      <c r="D35" s="50"/>
      <c r="E35" s="504">
        <f>inputPrYr!E26</f>
        <v>36552</v>
      </c>
      <c r="F35" s="3"/>
      <c r="G35" s="495" t="s">
        <v>264</v>
      </c>
      <c r="H35" s="3"/>
      <c r="I35" s="3"/>
      <c r="K35" s="482" t="str">
        <f>CONCATENATE("",I1-1," Ad Valorem Tax Revenue:")</f>
        <v>2014 Ad Valorem Tax Revenue:</v>
      </c>
      <c r="L35" s="476"/>
      <c r="M35" s="476"/>
      <c r="N35" s="490">
        <f>ROUND(G37*N27/1000,0)</f>
        <v>41466</v>
      </c>
    </row>
    <row r="36" spans="2:14" ht="15.75">
      <c r="B36" s="261" t="s">
        <v>47</v>
      </c>
      <c r="C36" s="44"/>
      <c r="D36" s="50"/>
      <c r="E36" s="44"/>
      <c r="F36" s="50"/>
      <c r="G36" s="3"/>
      <c r="H36" s="3"/>
      <c r="I36" s="3"/>
      <c r="K36" s="487" t="s">
        <v>680</v>
      </c>
      <c r="L36" s="488"/>
      <c r="M36" s="488"/>
      <c r="N36" s="480">
        <f>N34-N35</f>
        <v>-2721.929999999993</v>
      </c>
    </row>
    <row r="37" spans="2:14" ht="15.75">
      <c r="B37" s="261" t="s">
        <v>48</v>
      </c>
      <c r="C37" s="21">
        <f>inputPrYr!E55</f>
        <v>1825687</v>
      </c>
      <c r="D37" s="3"/>
      <c r="E37" s="21">
        <f>inputOth!E29</f>
        <v>1826040</v>
      </c>
      <c r="F37" s="3"/>
      <c r="G37" s="21">
        <f>inputOth!E7</f>
        <v>2071536</v>
      </c>
      <c r="H37" s="3"/>
      <c r="I37" s="3"/>
      <c r="K37" s="481"/>
      <c r="L37" s="481"/>
      <c r="M37" s="481"/>
      <c r="N37" s="489"/>
    </row>
    <row r="38" spans="2:14" ht="15.75">
      <c r="B38" s="11" t="s">
        <v>49</v>
      </c>
      <c r="C38" s="3"/>
      <c r="D38" s="3"/>
      <c r="E38" s="3"/>
      <c r="F38" s="3"/>
      <c r="G38" s="3"/>
      <c r="H38" s="3"/>
      <c r="I38" s="3"/>
      <c r="K38" s="863" t="s">
        <v>681</v>
      </c>
      <c r="L38" s="866"/>
      <c r="M38" s="866"/>
      <c r="N38" s="867"/>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18.703</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706</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2" t="str">
        <f>inputBudSum!B4</f>
        <v>Roger Gregory</v>
      </c>
      <c r="C46" s="862"/>
      <c r="D46" s="3"/>
      <c r="E46" s="3"/>
      <c r="F46" s="3"/>
      <c r="G46" s="3"/>
      <c r="H46" s="3"/>
      <c r="I46" s="3"/>
    </row>
    <row r="47" spans="2:9" ht="15.75">
      <c r="B47" s="860" t="str">
        <f>inputBudSum!B6</f>
        <v>Erie Township Treasurer</v>
      </c>
      <c r="C47" s="861"/>
      <c r="D47" s="3"/>
      <c r="E47" s="3"/>
      <c r="F47" s="3"/>
      <c r="G47" s="3"/>
      <c r="H47" s="3"/>
      <c r="I47" s="3"/>
    </row>
    <row r="48" spans="2:9" ht="15.75">
      <c r="B48" s="3"/>
      <c r="C48" s="3"/>
      <c r="D48" s="3"/>
      <c r="E48" s="3"/>
      <c r="F48" s="3"/>
      <c r="G48" s="3"/>
      <c r="H48" s="3"/>
      <c r="I48" s="3"/>
    </row>
    <row r="49" spans="2:9" ht="15.75">
      <c r="B49" s="3"/>
      <c r="C49" s="41" t="s">
        <v>9</v>
      </c>
      <c r="D49" s="70">
        <v>7</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Erie Township</v>
      </c>
      <c r="C1" s="11" t="s">
        <v>35</v>
      </c>
      <c r="D1" s="3"/>
      <c r="E1" s="4">
        <f>inputPrYr!D5</f>
        <v>2015</v>
      </c>
    </row>
    <row r="2" spans="2:5" ht="15.75">
      <c r="B2" s="6"/>
      <c r="C2" s="3"/>
      <c r="D2" s="3"/>
      <c r="E2" s="67"/>
    </row>
    <row r="3" spans="2:5" ht="15.75">
      <c r="B3" s="507" t="s">
        <v>683</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IF(inputPrYr!H15&gt;0,inputPrYr!G20,inputPrYr!E20)</f>
        <v>0</v>
      </c>
      <c r="E8" s="22" t="s">
        <v>264</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7" t="str">
        <f>CONCATENATE("Desired Carryover Into ",E1+1,"")</f>
        <v>Desired Carryover Into 2016</v>
      </c>
      <c r="H24" s="848"/>
      <c r="I24" s="848"/>
      <c r="J24" s="849"/>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nhood!E10</f>
      </c>
      <c r="G30" s="557"/>
      <c r="H30" s="557"/>
      <c r="I30" s="557"/>
      <c r="J30" s="557"/>
      <c r="K30" s="557"/>
    </row>
    <row r="31" spans="2:11" ht="15.75">
      <c r="B31" s="24" t="s">
        <v>187</v>
      </c>
      <c r="C31" s="18"/>
      <c r="D31" s="18"/>
      <c r="E31" s="23"/>
      <c r="G31" s="847" t="str">
        <f>CONCATENATE("Projected Carryover Into ",E1+1,"")</f>
        <v>Projected Carryover Into 2016</v>
      </c>
      <c r="H31" s="850"/>
      <c r="I31" s="850"/>
      <c r="J31" s="851"/>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29" t="s">
        <v>585</v>
      </c>
      <c r="D36" s="830"/>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1" t="s">
        <v>586</v>
      </c>
      <c r="D37" s="832"/>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27" t="str">
        <f>CONCATENATE("Amount of  ",$E$1-1," Ad Valorem Tax")</f>
        <v>Amount of  2014 Ad Valorem Tax</v>
      </c>
      <c r="D40" s="828"/>
      <c r="E40" s="35">
        <f>E38+E39</f>
        <v>0</v>
      </c>
      <c r="G40" s="557"/>
      <c r="H40" s="557"/>
      <c r="I40" s="557"/>
      <c r="J40" s="557"/>
      <c r="K40" s="557"/>
    </row>
    <row r="41" spans="2:11" ht="15.75">
      <c r="B41" s="3"/>
      <c r="C41" s="514"/>
      <c r="D41" s="3"/>
      <c r="E41" s="3"/>
      <c r="G41" s="854" t="s">
        <v>783</v>
      </c>
      <c r="H41" s="855"/>
      <c r="I41" s="855"/>
      <c r="J41" s="856"/>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18.703</v>
      </c>
      <c r="H45" s="607" t="str">
        <f>CONCATENATE("Total ",E1," Mill Rate")</f>
        <v>Total 2015 Mill Rate</v>
      </c>
      <c r="I45" s="629"/>
      <c r="J45" s="630"/>
      <c r="K45" s="557"/>
    </row>
    <row r="46" spans="2:11" ht="15.75">
      <c r="B46" s="16" t="s">
        <v>108</v>
      </c>
      <c r="C46" s="18"/>
      <c r="D46" s="364">
        <f>C74</f>
        <v>0</v>
      </c>
      <c r="E46" s="21">
        <f>D74</f>
        <v>0</v>
      </c>
      <c r="G46" s="632">
        <f>summ!F32</f>
        <v>20.017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IF(inputPrYr!H15&gt;0,inputPrYr!G21,inputPrYr!E21)</f>
        <v>0</v>
      </c>
      <c r="E48" s="22" t="s">
        <v>264</v>
      </c>
      <c r="G48" s="755" t="s">
        <v>896</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7" t="str">
        <f>CONCATENATE("Desired Carryover Into ",E1+1,"")</f>
        <v>Desired Carryover Into 2016</v>
      </c>
      <c r="H64" s="848"/>
      <c r="I64" s="848"/>
      <c r="J64" s="849"/>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nhood!E11</f>
      </c>
      <c r="G70" s="557"/>
      <c r="H70" s="557"/>
      <c r="I70" s="557"/>
      <c r="J70" s="557"/>
      <c r="K70" s="557"/>
    </row>
    <row r="71" spans="2:11" ht="15.75">
      <c r="B71" s="24" t="s">
        <v>187</v>
      </c>
      <c r="C71" s="18"/>
      <c r="D71" s="18"/>
      <c r="E71" s="23"/>
      <c r="G71" s="847" t="str">
        <f>CONCATENATE("Projected Carryover Into ",E1+1,"")</f>
        <v>Projected Carryover Into 2016</v>
      </c>
      <c r="H71" s="857"/>
      <c r="I71" s="857"/>
      <c r="J71" s="851"/>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29" t="s">
        <v>585</v>
      </c>
      <c r="D76" s="830"/>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1" t="s">
        <v>586</v>
      </c>
      <c r="D77" s="832"/>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27" t="str">
        <f>CONCATENATE("Amount of  ",$E$1-1," Ad Valorem Tax")</f>
        <v>Amount of  2014 Ad Valorem Tax</v>
      </c>
      <c r="D80" s="828"/>
      <c r="E80" s="35">
        <f>E78+E79</f>
        <v>0</v>
      </c>
      <c r="G80" s="557"/>
      <c r="H80" s="557"/>
      <c r="I80" s="557"/>
      <c r="J80" s="557"/>
      <c r="K80" s="557"/>
    </row>
    <row r="81" spans="2:11" ht="15.75">
      <c r="B81" s="41" t="s">
        <v>9</v>
      </c>
      <c r="C81" s="54"/>
      <c r="D81" s="3"/>
      <c r="E81" s="3"/>
      <c r="G81" s="854" t="s">
        <v>783</v>
      </c>
      <c r="H81" s="855"/>
      <c r="I81" s="855"/>
      <c r="J81" s="856"/>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18.703</v>
      </c>
      <c r="H85" s="607" t="str">
        <f>CONCATENATE("Total ",E1," Mill Rate")</f>
        <v>Total 2015 Mill Rate</v>
      </c>
      <c r="I85" s="629"/>
      <c r="J85" s="630"/>
      <c r="K85" s="557"/>
    </row>
    <row r="86" spans="7:11" ht="15.75">
      <c r="G86" s="632">
        <f>summ!F32</f>
        <v>20.017</v>
      </c>
      <c r="H86" s="635" t="str">
        <f>CONCATENATE("Total ",E1-1," Mill Rate")</f>
        <v>Total 2014 Mill Rate</v>
      </c>
      <c r="I86" s="636"/>
      <c r="J86" s="637"/>
      <c r="K86" s="557"/>
    </row>
    <row r="88" spans="7:9" ht="15.75">
      <c r="G88" s="756" t="s">
        <v>896</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Erie Township</v>
      </c>
      <c r="C1" s="3"/>
      <c r="D1" s="3"/>
      <c r="E1" s="4">
        <f>inputPrYr!D5</f>
        <v>2015</v>
      </c>
    </row>
    <row r="2" spans="2:5" ht="15.75">
      <c r="B2" s="6"/>
      <c r="C2" s="3"/>
      <c r="D2" s="50"/>
      <c r="E2" s="71"/>
    </row>
    <row r="3" spans="2:5" ht="15.75">
      <c r="B3" s="507" t="s">
        <v>683</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264</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7" t="str">
        <f>CONCATENATE("Desired Carryover Into ",E1+1,"")</f>
        <v>Desired Carryover Into 2016</v>
      </c>
      <c r="H24" s="848"/>
      <c r="I24" s="848"/>
      <c r="J24" s="849"/>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nhood!E12</f>
      </c>
      <c r="G30" s="557"/>
      <c r="H30" s="557"/>
      <c r="I30" s="557"/>
      <c r="J30" s="557"/>
      <c r="K30" s="557"/>
    </row>
    <row r="31" spans="2:11" ht="15.75">
      <c r="B31" s="24" t="s">
        <v>187</v>
      </c>
      <c r="C31" s="18"/>
      <c r="D31" s="18"/>
      <c r="E31" s="23"/>
      <c r="G31" s="847" t="str">
        <f>CONCATENATE("Projected Carryover Into ",E1+1,"")</f>
        <v>Projected Carryover Into 2016</v>
      </c>
      <c r="H31" s="850"/>
      <c r="I31" s="850"/>
      <c r="J31" s="851"/>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29" t="s">
        <v>585</v>
      </c>
      <c r="D36" s="830"/>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1" t="s">
        <v>586</v>
      </c>
      <c r="D37" s="832"/>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27" t="str">
        <f>CONCATENATE("Amount of  ",$E$1-1," Ad Valorem Tax")</f>
        <v>Amount of  2014 Ad Valorem Tax</v>
      </c>
      <c r="D40" s="828"/>
      <c r="E40" s="35">
        <f>E38+E39</f>
        <v>0</v>
      </c>
      <c r="G40" s="557"/>
      <c r="H40" s="557"/>
      <c r="I40" s="557"/>
      <c r="J40" s="557"/>
      <c r="K40" s="557"/>
    </row>
    <row r="41" spans="2:11" ht="15.75">
      <c r="B41" s="3"/>
      <c r="C41" s="514"/>
      <c r="D41" s="3"/>
      <c r="E41" s="3"/>
      <c r="G41" s="854" t="s">
        <v>783</v>
      </c>
      <c r="H41" s="855"/>
      <c r="I41" s="855"/>
      <c r="J41" s="856"/>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18.703</v>
      </c>
      <c r="H45" s="607" t="str">
        <f>CONCATENATE("Total ",E1," Mill Rate")</f>
        <v>Total 2015 Mill Rate</v>
      </c>
      <c r="I45" s="629"/>
      <c r="J45" s="630"/>
      <c r="K45" s="557"/>
    </row>
    <row r="46" spans="2:11" ht="15.75">
      <c r="B46" s="16" t="s">
        <v>108</v>
      </c>
      <c r="C46" s="18"/>
      <c r="D46" s="364">
        <f>C74</f>
        <v>0</v>
      </c>
      <c r="E46" s="21">
        <f>D74</f>
        <v>0</v>
      </c>
      <c r="G46" s="632">
        <f>summ!F32</f>
        <v>20.017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264</v>
      </c>
      <c r="G48" s="757" t="s">
        <v>896</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7" t="str">
        <f>CONCATENATE("Desired Carryover Into ",E1+1,"")</f>
        <v>Desired Carryover Into 2016</v>
      </c>
      <c r="H64" s="848"/>
      <c r="I64" s="848"/>
      <c r="J64" s="849"/>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nhood!E13</f>
      </c>
      <c r="G70" s="557"/>
      <c r="H70" s="557"/>
      <c r="I70" s="557"/>
      <c r="J70" s="557"/>
      <c r="K70" s="557"/>
    </row>
    <row r="71" spans="2:11" ht="15.75">
      <c r="B71" s="24" t="s">
        <v>187</v>
      </c>
      <c r="C71" s="18"/>
      <c r="D71" s="18"/>
      <c r="E71" s="23"/>
      <c r="G71" s="847" t="str">
        <f>CONCATENATE("Projected Carryover Into ",E1+1,"")</f>
        <v>Projected Carryover Into 2016</v>
      </c>
      <c r="H71" s="857"/>
      <c r="I71" s="857"/>
      <c r="J71" s="851"/>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29" t="s">
        <v>585</v>
      </c>
      <c r="D76" s="830"/>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1" t="s">
        <v>586</v>
      </c>
      <c r="D77" s="832"/>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27" t="str">
        <f>CONCATENATE("Amount of  ",$E$1-1," Ad Valorem Tax")</f>
        <v>Amount of  2014 Ad Valorem Tax</v>
      </c>
      <c r="D80" s="828"/>
      <c r="E80" s="35">
        <f>E78+E79</f>
        <v>0</v>
      </c>
      <c r="G80" s="557"/>
      <c r="H80" s="557"/>
      <c r="I80" s="557"/>
      <c r="J80" s="557"/>
      <c r="K80" s="557"/>
    </row>
    <row r="81" spans="2:11" ht="15.75">
      <c r="B81" s="41" t="s">
        <v>9</v>
      </c>
      <c r="C81" s="54"/>
      <c r="D81" s="3"/>
      <c r="E81" s="3"/>
      <c r="G81" s="854" t="s">
        <v>783</v>
      </c>
      <c r="H81" s="855"/>
      <c r="I81" s="855"/>
      <c r="J81" s="856"/>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18.703</v>
      </c>
      <c r="H85" s="607" t="str">
        <f>CONCATENATE("Total ",E1," Mill Rate")</f>
        <v>Total 2015 Mill Rate</v>
      </c>
      <c r="I85" s="629"/>
      <c r="J85" s="630"/>
      <c r="K85" s="557"/>
    </row>
    <row r="86" spans="7:11" ht="15.75">
      <c r="G86" s="632">
        <f>summ!F32</f>
        <v>20.017</v>
      </c>
      <c r="H86" s="635" t="str">
        <f>CONCATENATE("Total ",E1-1," Mill Rate")</f>
        <v>Total 2014 Mill Rate</v>
      </c>
      <c r="I86" s="636"/>
      <c r="J86" s="637"/>
      <c r="K86" s="557"/>
    </row>
    <row r="88" spans="7:9" ht="15.75">
      <c r="G88" s="758" t="s">
        <v>896</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Erie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264</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7" t="str">
        <f>CONCATENATE("Desired Carryover Into ",E1+1,"")</f>
        <v>Desired Carryover Into 2016</v>
      </c>
      <c r="H24" s="848"/>
      <c r="I24" s="848"/>
      <c r="J24" s="849"/>
      <c r="K24" s="557"/>
    </row>
    <row r="25" spans="2:11" ht="15.75">
      <c r="B25" s="27"/>
      <c r="C25" s="18"/>
      <c r="D25" s="18"/>
      <c r="E25" s="23"/>
      <c r="G25" s="588"/>
      <c r="H25" s="589"/>
      <c r="I25" s="590"/>
      <c r="J25" s="591"/>
      <c r="K25" s="557"/>
    </row>
    <row r="26" spans="2:11" ht="15.75">
      <c r="B26" s="18"/>
      <c r="C26" s="18"/>
      <c r="D26" s="18"/>
      <c r="E26" s="23"/>
      <c r="G26" s="592" t="s">
        <v>677</v>
      </c>
      <c r="H26" s="590"/>
      <c r="I26" s="590"/>
      <c r="J26" s="593">
        <v>0</v>
      </c>
      <c r="K26" s="557"/>
    </row>
    <row r="27" spans="2:11" ht="15.75">
      <c r="B27" s="18"/>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nhood!E14</f>
      </c>
      <c r="G30" s="557"/>
      <c r="H30" s="557"/>
      <c r="I30" s="557"/>
      <c r="J30" s="557"/>
      <c r="K30" s="557"/>
    </row>
    <row r="31" spans="2:11" ht="15.75">
      <c r="B31" s="24" t="s">
        <v>187</v>
      </c>
      <c r="C31" s="18"/>
      <c r="D31" s="18"/>
      <c r="E31" s="23"/>
      <c r="G31" s="847" t="str">
        <f>CONCATENATE("Projected Carryover Into ",E1+1,"")</f>
        <v>Projected Carryover Into 2016</v>
      </c>
      <c r="H31" s="850"/>
      <c r="I31" s="850"/>
      <c r="J31" s="851"/>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29" t="s">
        <v>585</v>
      </c>
      <c r="D36" s="830"/>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1" t="s">
        <v>586</v>
      </c>
      <c r="D37" s="832"/>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27" t="str">
        <f>CONCATENATE("Amount of  ",$E$1-1," Ad Valorem Tax")</f>
        <v>Amount of  2014 Ad Valorem Tax</v>
      </c>
      <c r="D40" s="828"/>
      <c r="E40" s="35">
        <f>E38+E39</f>
        <v>0</v>
      </c>
      <c r="G40" s="557"/>
      <c r="H40" s="557"/>
      <c r="I40" s="557"/>
      <c r="J40" s="557"/>
      <c r="K40" s="557"/>
    </row>
    <row r="41" spans="2:11" ht="15.75">
      <c r="B41" s="3"/>
      <c r="C41" s="514"/>
      <c r="D41" s="3"/>
      <c r="E41" s="3"/>
      <c r="G41" s="854" t="s">
        <v>783</v>
      </c>
      <c r="H41" s="855"/>
      <c r="I41" s="855"/>
      <c r="J41" s="856"/>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18.703</v>
      </c>
      <c r="H45" s="607" t="str">
        <f>CONCATENATE("Total ",E1," Mill Rate")</f>
        <v>Total 2015 Mill Rate</v>
      </c>
      <c r="I45" s="629"/>
      <c r="J45" s="630"/>
      <c r="K45" s="557"/>
    </row>
    <row r="46" spans="2:11" ht="15.75">
      <c r="B46" s="16" t="s">
        <v>108</v>
      </c>
      <c r="C46" s="18"/>
      <c r="D46" s="364">
        <f>C74</f>
        <v>0</v>
      </c>
      <c r="E46" s="21">
        <f>D74</f>
        <v>0</v>
      </c>
      <c r="G46" s="632">
        <f>summ!F32</f>
        <v>20.017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264</v>
      </c>
      <c r="G48" s="759" t="s">
        <v>896</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7" t="str">
        <f>CONCATENATE("Desired Carryover Into ",E1+1,"")</f>
        <v>Desired Carryover Into 2016</v>
      </c>
      <c r="H64" s="848"/>
      <c r="I64" s="848"/>
      <c r="J64" s="849"/>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nhood!E15</f>
      </c>
      <c r="G70" s="557"/>
      <c r="H70" s="557"/>
      <c r="I70" s="557"/>
      <c r="J70" s="557"/>
      <c r="K70" s="557"/>
    </row>
    <row r="71" spans="2:11" ht="15.75">
      <c r="B71" s="24" t="s">
        <v>187</v>
      </c>
      <c r="C71" s="18"/>
      <c r="D71" s="18"/>
      <c r="E71" s="23"/>
      <c r="G71" s="847" t="str">
        <f>CONCATENATE("Projected Carryover Into ",E1+1,"")</f>
        <v>Projected Carryover Into 2016</v>
      </c>
      <c r="H71" s="857"/>
      <c r="I71" s="857"/>
      <c r="J71" s="851"/>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29" t="s">
        <v>585</v>
      </c>
      <c r="D76" s="830"/>
      <c r="E76" s="23"/>
      <c r="F76" s="457">
        <f>IF(E73/0.95-E73&lt;E76,"Exceeds 5%","")</f>
      </c>
      <c r="G76" s="643">
        <f>SUM(G73:G75)</f>
        <v>0</v>
      </c>
      <c r="H76" s="590" t="str">
        <f>CONCATENATE("Total ",E1," Resources Available")</f>
        <v>Total 2015 Resources Available</v>
      </c>
      <c r="I76" s="644"/>
      <c r="J76" s="641"/>
      <c r="K76" s="557"/>
    </row>
    <row r="77" spans="2:11" ht="15.75">
      <c r="B77" s="37"/>
      <c r="C77" s="831" t="s">
        <v>586</v>
      </c>
      <c r="D77" s="832"/>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27" t="str">
        <f>CONCATENATE("Amount of  ",$E$1-1," Ad Valorem Tax")</f>
        <v>Amount of  2014 Ad Valorem Tax</v>
      </c>
      <c r="D80" s="828"/>
      <c r="E80" s="35">
        <f>E78+E79</f>
        <v>0</v>
      </c>
      <c r="G80" s="557"/>
      <c r="H80" s="557"/>
      <c r="I80" s="557"/>
      <c r="J80" s="557"/>
      <c r="K80" s="557"/>
    </row>
    <row r="81" spans="2:11" ht="15.75">
      <c r="B81" s="41" t="s">
        <v>9</v>
      </c>
      <c r="C81" s="54"/>
      <c r="D81" s="3"/>
      <c r="E81" s="3"/>
      <c r="G81" s="854" t="s">
        <v>783</v>
      </c>
      <c r="H81" s="855"/>
      <c r="I81" s="855"/>
      <c r="J81" s="856"/>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18.703</v>
      </c>
      <c r="H85" s="607" t="str">
        <f>CONCATENATE("Total ",E1," Mill Rate")</f>
        <v>Total 2015 Mill Rate</v>
      </c>
      <c r="I85" s="629"/>
      <c r="J85" s="630"/>
      <c r="K85" s="557"/>
    </row>
    <row r="86" spans="7:11" ht="15.75">
      <c r="G86" s="632">
        <f>summ!F32</f>
        <v>20.017</v>
      </c>
      <c r="H86" s="635" t="str">
        <f>CONCATENATE("Total ",E1-1," Mill Rate")</f>
        <v>Total 2014 Mill Rate</v>
      </c>
      <c r="I86" s="636"/>
      <c r="J86" s="637"/>
      <c r="K86" s="557"/>
    </row>
    <row r="88" spans="7:9" ht="15.75">
      <c r="G88" s="760" t="s">
        <v>896</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Erie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244</v>
      </c>
      <c r="B1" s="3"/>
      <c r="C1" s="3"/>
      <c r="D1" s="3"/>
      <c r="E1" s="3"/>
    </row>
    <row r="2" spans="1:5" ht="15.75">
      <c r="A2" s="57" t="s">
        <v>201</v>
      </c>
      <c r="B2" s="3"/>
      <c r="C2" s="3"/>
      <c r="D2" s="720" t="s">
        <v>940</v>
      </c>
      <c r="E2" s="8"/>
    </row>
    <row r="3" spans="1:5" ht="15.75">
      <c r="A3" s="57" t="s">
        <v>200</v>
      </c>
      <c r="B3" s="3"/>
      <c r="C3" s="3"/>
      <c r="D3" s="720" t="s">
        <v>941</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4" t="s">
        <v>715</v>
      </c>
      <c r="H7" s="785"/>
    </row>
    <row r="8" spans="1:8" ht="15.75">
      <c r="A8" s="133" t="s">
        <v>175</v>
      </c>
      <c r="B8" s="137"/>
      <c r="C8" s="137"/>
      <c r="D8" s="137"/>
      <c r="E8" s="137"/>
      <c r="F8" s="3"/>
      <c r="G8" s="786"/>
      <c r="H8" s="785"/>
    </row>
    <row r="9" spans="1:8" ht="15.75">
      <c r="A9" s="3"/>
      <c r="B9" s="3"/>
      <c r="C9" s="3"/>
      <c r="D9" s="3"/>
      <c r="E9" s="3"/>
      <c r="F9" s="3"/>
      <c r="G9" s="786"/>
      <c r="H9" s="785"/>
    </row>
    <row r="10" spans="1:8" ht="15.75">
      <c r="A10" s="782" t="s">
        <v>133</v>
      </c>
      <c r="B10" s="783"/>
      <c r="C10" s="783"/>
      <c r="D10" s="783"/>
      <c r="E10" s="783"/>
      <c r="F10" s="3"/>
      <c r="G10" s="786"/>
      <c r="H10" s="785"/>
    </row>
    <row r="11" spans="1:8" ht="15.75">
      <c r="A11" s="57"/>
      <c r="B11" s="3"/>
      <c r="C11" s="3"/>
      <c r="D11" s="3"/>
      <c r="E11" s="3"/>
      <c r="F11" s="3"/>
      <c r="G11" s="786"/>
      <c r="H11" s="785"/>
    </row>
    <row r="12" spans="1:8" ht="15.75">
      <c r="A12" s="289" t="s">
        <v>124</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287</v>
      </c>
      <c r="B14" s="292"/>
      <c r="C14" s="38"/>
      <c r="D14" s="293">
        <f>$D$5-1</f>
        <v>2014</v>
      </c>
      <c r="E14" s="294">
        <f>$D$5-2</f>
        <v>2013</v>
      </c>
      <c r="G14" s="160" t="s">
        <v>716</v>
      </c>
      <c r="H14" s="168" t="s">
        <v>29</v>
      </c>
    </row>
    <row r="15" spans="1:8" ht="15.75">
      <c r="A15" s="11" t="s">
        <v>246</v>
      </c>
      <c r="B15" s="3"/>
      <c r="C15" s="295" t="s">
        <v>245</v>
      </c>
      <c r="D15" s="296" t="s">
        <v>313</v>
      </c>
      <c r="E15" s="297" t="s">
        <v>16</v>
      </c>
      <c r="G15" s="166" t="str">
        <f>CONCATENATE("",E14," Ad Valorem Tax")</f>
        <v>2013 Ad Valorem Tax</v>
      </c>
      <c r="H15" s="704">
        <v>0</v>
      </c>
    </row>
    <row r="16" spans="1:7" ht="15.75">
      <c r="A16" s="3"/>
      <c r="B16" s="61" t="s">
        <v>247</v>
      </c>
      <c r="C16" s="150" t="s">
        <v>248</v>
      </c>
      <c r="D16" s="176"/>
      <c r="E16" s="176"/>
      <c r="G16" s="21">
        <f>IF(H15&gt;0,ROUND(E16-(E16*H15),0),0)</f>
        <v>0</v>
      </c>
    </row>
    <row r="17" spans="1:7" ht="15.75">
      <c r="A17" s="3"/>
      <c r="B17" s="61" t="s">
        <v>274</v>
      </c>
      <c r="C17" s="150" t="s">
        <v>130</v>
      </c>
      <c r="D17" s="176"/>
      <c r="E17" s="176"/>
      <c r="G17" s="21">
        <f>IF(H15&gt;0,ROUND(E17-(E17*H15),0),0)</f>
        <v>0</v>
      </c>
    </row>
    <row r="18" spans="1:7" ht="15.75">
      <c r="A18" s="3"/>
      <c r="B18" s="61" t="s">
        <v>786</v>
      </c>
      <c r="C18" s="655" t="s">
        <v>787</v>
      </c>
      <c r="D18" s="176"/>
      <c r="E18" s="176"/>
      <c r="G18" s="21">
        <f>IF(H15&gt;0,ROUND(E18-(E18*H15),0),0)</f>
        <v>0</v>
      </c>
    </row>
    <row r="19" spans="1:7" ht="15.75">
      <c r="A19" s="3"/>
      <c r="B19" s="61" t="s">
        <v>249</v>
      </c>
      <c r="C19" s="168" t="s">
        <v>286</v>
      </c>
      <c r="D19" s="176">
        <v>71328</v>
      </c>
      <c r="E19" s="176">
        <v>36552</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36552</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71328</v>
      </c>
      <c r="E31" s="3"/>
    </row>
    <row r="32" spans="1:5" ht="15.75">
      <c r="A32" s="3"/>
      <c r="B32" s="3"/>
      <c r="C32" s="3"/>
      <c r="D32" s="3"/>
      <c r="E32" s="3"/>
    </row>
    <row r="33" spans="1:5" ht="15.75">
      <c r="A33" s="261" t="s">
        <v>308</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17.288</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17.288</v>
      </c>
      <c r="E52" s="3"/>
    </row>
    <row r="53" spans="1:5" ht="16.5" thickTop="1">
      <c r="A53" s="3"/>
      <c r="B53" s="3"/>
      <c r="C53" s="3"/>
      <c r="D53" s="3"/>
      <c r="E53" s="3"/>
    </row>
    <row r="54" spans="1:5" ht="15.75">
      <c r="A54" s="307" t="str">
        <f>CONCATENATE("Total Tax Levied (",D5-2," budget column)")</f>
        <v>Total Tax Levied (2013 budget column)</v>
      </c>
      <c r="B54" s="308"/>
      <c r="C54" s="9"/>
      <c r="D54" s="247"/>
      <c r="E54" s="176">
        <v>31562</v>
      </c>
    </row>
    <row r="55" spans="1:5" ht="15.75">
      <c r="A55" s="309" t="str">
        <f>CONCATENATE("Assessed Valuation (",D5-2," budget column)")</f>
        <v>Assessed Valuation (2013 budget column)</v>
      </c>
      <c r="B55" s="310"/>
      <c r="C55" s="255"/>
      <c r="D55" s="17"/>
      <c r="E55" s="176">
        <v>1825687</v>
      </c>
    </row>
    <row r="56" spans="1:5" ht="15.75">
      <c r="A56" s="261"/>
      <c r="B56" s="8"/>
      <c r="C56" s="8"/>
      <c r="D56" s="8"/>
      <c r="E56" s="269"/>
    </row>
    <row r="57" spans="1:5" ht="15.75">
      <c r="A57" s="3"/>
      <c r="B57" s="3"/>
      <c r="C57" s="3"/>
      <c r="D57" s="3"/>
      <c r="E57" s="44"/>
    </row>
    <row r="58" spans="1:5" ht="15.75">
      <c r="A58" s="275" t="s">
        <v>176</v>
      </c>
      <c r="B58" s="275"/>
      <c r="C58" s="118"/>
      <c r="D58" s="311">
        <f>D5-3</f>
        <v>2012</v>
      </c>
      <c r="E58" s="311">
        <f>D5-2</f>
        <v>2013</v>
      </c>
    </row>
    <row r="59" spans="1:5" ht="15.75">
      <c r="A59" s="308" t="s">
        <v>140</v>
      </c>
      <c r="B59" s="308"/>
      <c r="C59" s="312"/>
      <c r="D59" s="25"/>
      <c r="E59" s="25"/>
    </row>
    <row r="60" spans="1:5" ht="15.75">
      <c r="A60" s="310" t="s">
        <v>141</v>
      </c>
      <c r="B60" s="310"/>
      <c r="C60" s="313"/>
      <c r="D60" s="25"/>
      <c r="E60" s="25"/>
    </row>
    <row r="61" spans="1:5" ht="15.75">
      <c r="A61" s="310" t="s">
        <v>142</v>
      </c>
      <c r="B61" s="310"/>
      <c r="C61" s="313"/>
      <c r="D61" s="25"/>
      <c r="E61" s="25"/>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Erie Township</v>
      </c>
      <c r="B1" s="78"/>
      <c r="C1" s="79"/>
      <c r="D1" s="79"/>
      <c r="E1" s="79"/>
      <c r="F1" s="80" t="s">
        <v>296</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297</v>
      </c>
      <c r="B3" s="79"/>
      <c r="C3" s="79"/>
      <c r="D3" s="79"/>
      <c r="E3" s="79"/>
      <c r="F3" s="78"/>
      <c r="G3" s="79"/>
      <c r="H3" s="79"/>
      <c r="I3" s="79"/>
      <c r="J3" s="79"/>
      <c r="K3" s="79"/>
    </row>
    <row r="4" spans="1:11" ht="15.75">
      <c r="A4" s="79" t="s">
        <v>298</v>
      </c>
      <c r="B4" s="79"/>
      <c r="C4" s="79" t="s">
        <v>299</v>
      </c>
      <c r="D4" s="79"/>
      <c r="E4" s="79" t="s">
        <v>300</v>
      </c>
      <c r="F4" s="78"/>
      <c r="G4" s="79" t="s">
        <v>301</v>
      </c>
      <c r="H4" s="79"/>
      <c r="I4" s="79" t="s">
        <v>302</v>
      </c>
      <c r="J4" s="79"/>
      <c r="K4" s="79"/>
    </row>
    <row r="5" spans="1:11" ht="15.75">
      <c r="A5" s="870">
        <f>inputPrYr!B34</f>
        <v>0</v>
      </c>
      <c r="B5" s="871"/>
      <c r="C5" s="870">
        <f>inputPrYr!B35</f>
        <v>0</v>
      </c>
      <c r="D5" s="871"/>
      <c r="E5" s="870">
        <f>inputPrYr!B36</f>
        <v>0</v>
      </c>
      <c r="F5" s="871"/>
      <c r="G5" s="872">
        <f>inputPrYr!B37</f>
        <v>0</v>
      </c>
      <c r="H5" s="871"/>
      <c r="I5" s="872">
        <f>inputPrYr!B38</f>
        <v>0</v>
      </c>
      <c r="J5" s="871"/>
      <c r="K5" s="83"/>
    </row>
    <row r="6" spans="1:11" ht="15.75">
      <c r="A6" s="84" t="s">
        <v>303</v>
      </c>
      <c r="B6" s="85"/>
      <c r="C6" s="86" t="s">
        <v>303</v>
      </c>
      <c r="D6" s="87"/>
      <c r="E6" s="86" t="s">
        <v>303</v>
      </c>
      <c r="F6" s="88"/>
      <c r="G6" s="86" t="s">
        <v>303</v>
      </c>
      <c r="H6" s="82"/>
      <c r="I6" s="86" t="s">
        <v>303</v>
      </c>
      <c r="J6" s="79"/>
      <c r="K6" s="89" t="s">
        <v>250</v>
      </c>
    </row>
    <row r="7" spans="1:11" ht="15.75">
      <c r="A7" s="90" t="s">
        <v>304</v>
      </c>
      <c r="B7" s="91"/>
      <c r="C7" s="92" t="s">
        <v>304</v>
      </c>
      <c r="D7" s="91"/>
      <c r="E7" s="92" t="s">
        <v>304</v>
      </c>
      <c r="F7" s="91"/>
      <c r="G7" s="92" t="s">
        <v>304</v>
      </c>
      <c r="H7" s="91"/>
      <c r="I7" s="92" t="s">
        <v>304</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75">
      <c r="A31" s="79"/>
      <c r="B31" s="109"/>
      <c r="C31" s="79"/>
      <c r="D31" s="78"/>
      <c r="E31" s="79"/>
      <c r="F31" s="79"/>
      <c r="G31" s="110" t="s">
        <v>307</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Erie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2071536</v>
      </c>
      <c r="E19" s="3"/>
      <c r="F19" s="118"/>
    </row>
    <row r="20" spans="1:6" ht="15.75">
      <c r="A20" s="3"/>
      <c r="B20" s="3"/>
      <c r="C20" s="3"/>
      <c r="D20" s="3"/>
      <c r="E20" s="3"/>
      <c r="F20" s="118"/>
    </row>
    <row r="21" spans="1:6" ht="15.75">
      <c r="A21" s="3"/>
      <c r="B21" s="875" t="s">
        <v>336</v>
      </c>
      <c r="C21" s="875"/>
      <c r="D21" s="126">
        <f>IF(D19&gt;0,(D19*0.001),"")</f>
        <v>2071.536</v>
      </c>
      <c r="E21" s="3"/>
      <c r="F21" s="118"/>
    </row>
    <row r="22" spans="1:6" ht="15.75">
      <c r="A22" s="3"/>
      <c r="B22" s="37"/>
      <c r="C22" s="37"/>
      <c r="D22" s="127"/>
      <c r="E22" s="3"/>
      <c r="F22" s="118"/>
    </row>
    <row r="23" spans="1:6" ht="15.75">
      <c r="A23" s="873" t="s">
        <v>338</v>
      </c>
      <c r="B23" s="807"/>
      <c r="C23" s="807"/>
      <c r="D23" s="128">
        <f>inputOth!E13</f>
        <v>0</v>
      </c>
      <c r="E23" s="129"/>
      <c r="F23" s="129"/>
    </row>
    <row r="24" spans="1:6" ht="15.75">
      <c r="A24" s="129"/>
      <c r="B24" s="129"/>
      <c r="C24" s="129"/>
      <c r="D24" s="130"/>
      <c r="E24" s="129"/>
      <c r="F24" s="129"/>
    </row>
    <row r="25" spans="1:6" ht="15.75">
      <c r="A25" s="129"/>
      <c r="B25" s="873" t="s">
        <v>339</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E14" sqref="E14"/>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Erie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45" right="0.45"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D19" sqref="D19"/>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Erie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36552</v>
      </c>
      <c r="F9" s="767"/>
      <c r="G9" s="767"/>
      <c r="H9" s="768"/>
    </row>
    <row r="10" spans="3:8" ht="15.75">
      <c r="C10" s="769" t="str">
        <f>CONCATENATE(H2," Budget")</f>
        <v>2015 Budget</v>
      </c>
      <c r="D10" s="773" t="s">
        <v>2</v>
      </c>
      <c r="E10" s="776">
        <f>cert!F35</f>
        <v>38744.07000000001</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2"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B50" sqref="B5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Erie Township</v>
      </c>
      <c r="B1" s="79"/>
      <c r="C1" s="79"/>
      <c r="D1" s="79"/>
      <c r="E1" s="79">
        <f>inputPrYr!D5</f>
        <v>2015</v>
      </c>
    </row>
    <row r="2" spans="1:5" ht="15.75">
      <c r="A2" s="77" t="str">
        <f>inputPrYr!D3</f>
        <v>Sedgwick County</v>
      </c>
      <c r="B2" s="79"/>
      <c r="C2" s="79"/>
      <c r="D2" s="79"/>
      <c r="E2" s="79"/>
    </row>
    <row r="3" spans="1:5" ht="15.75">
      <c r="A3" s="79"/>
      <c r="B3" s="79"/>
      <c r="C3" s="79"/>
      <c r="D3" s="79"/>
      <c r="E3" s="79"/>
    </row>
    <row r="4" spans="1:5" ht="15.75">
      <c r="A4" s="782" t="s">
        <v>133</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2071536</v>
      </c>
    </row>
    <row r="8" spans="1:5" ht="15.75">
      <c r="A8" s="11" t="str">
        <f>CONCATENATE("New Improvements for ",E1-1,"")</f>
        <v>New Improvements for 2014</v>
      </c>
      <c r="B8" s="8"/>
      <c r="C8" s="8"/>
      <c r="D8" s="8"/>
      <c r="E8" s="721">
        <v>71948</v>
      </c>
    </row>
    <row r="9" spans="1:5" ht="15.75">
      <c r="A9" s="11" t="str">
        <f>CONCATENATE("Personal Property excluding oil, gas, and mobile homes - ",E1-1,"")</f>
        <v>Personal Property excluding oil, gas, and mobile homes - 2014</v>
      </c>
      <c r="B9" s="8"/>
      <c r="C9" s="8"/>
      <c r="D9" s="8"/>
      <c r="E9" s="721">
        <v>84397</v>
      </c>
    </row>
    <row r="10" spans="1:5" ht="15.75">
      <c r="A10" s="11" t="str">
        <f>CONCATENATE("Property that has changed in use for ",E1-1,"")</f>
        <v>Property that has changed in use for 2014</v>
      </c>
      <c r="B10" s="8"/>
      <c r="C10" s="8"/>
      <c r="D10" s="8"/>
      <c r="E10" s="721">
        <v>17225</v>
      </c>
    </row>
    <row r="11" spans="1:5" ht="15.75">
      <c r="A11" s="11" t="str">
        <f>CONCATENATE("Personal Property excluding oil, gas, and mobile homes- ",E1-2,"")</f>
        <v>Personal Property excluding oil, gas, and mobile homes- 2013</v>
      </c>
      <c r="B11" s="8"/>
      <c r="C11" s="8"/>
      <c r="D11" s="8"/>
      <c r="E11" s="721">
        <v>90627</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260</v>
      </c>
      <c r="B16" s="788"/>
      <c r="C16" s="79"/>
      <c r="D16" s="272" t="s">
        <v>3</v>
      </c>
      <c r="E16" s="271"/>
    </row>
    <row r="17" spans="1:5" ht="15.75">
      <c r="A17" s="60" t="str">
        <f>inputPrYr!B16</f>
        <v>General</v>
      </c>
      <c r="B17" s="9"/>
      <c r="C17" s="8"/>
      <c r="D17" s="722"/>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20.017</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250</v>
      </c>
      <c r="C27" s="247"/>
      <c r="D27" s="273">
        <f>SUM(D17:D26)</f>
        <v>20.017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1826040</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134</v>
      </c>
      <c r="B32" s="9"/>
      <c r="C32" s="9"/>
      <c r="D32" s="277"/>
      <c r="E32" s="23">
        <v>2965</v>
      </c>
    </row>
    <row r="33" spans="1:5" ht="15.75">
      <c r="A33" s="278" t="s">
        <v>251</v>
      </c>
      <c r="B33" s="255"/>
      <c r="C33" s="255"/>
      <c r="D33" s="20"/>
      <c r="E33" s="23">
        <v>40</v>
      </c>
    </row>
    <row r="34" spans="1:5" ht="15.75">
      <c r="A34" s="278" t="s">
        <v>135</v>
      </c>
      <c r="B34" s="255"/>
      <c r="C34" s="255"/>
      <c r="D34" s="20"/>
      <c r="E34" s="23">
        <v>204</v>
      </c>
    </row>
    <row r="35" spans="1:5" ht="15.75">
      <c r="A35" s="278" t="s">
        <v>136</v>
      </c>
      <c r="B35" s="255"/>
      <c r="C35" s="255"/>
      <c r="D35" s="20"/>
      <c r="E35" s="23"/>
    </row>
    <row r="36" spans="1:5" ht="15.75">
      <c r="A36" s="278" t="s">
        <v>100</v>
      </c>
      <c r="B36" s="9"/>
      <c r="C36" s="9"/>
      <c r="D36" s="277"/>
      <c r="E36" s="23">
        <v>31498</v>
      </c>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7"/>
      <c r="E39" s="703">
        <v>0.009</v>
      </c>
    </row>
    <row r="40" spans="1:5" ht="15.75">
      <c r="A40" s="278" t="s">
        <v>814</v>
      </c>
      <c r="B40" s="261"/>
      <c r="C40" s="8"/>
      <c r="D40" s="8"/>
      <c r="E40" s="704">
        <v>0</v>
      </c>
    </row>
    <row r="41" spans="1:5" ht="15.7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182</v>
      </c>
      <c r="B45" s="283" t="s">
        <v>183</v>
      </c>
      <c r="C45" s="284" t="s">
        <v>184</v>
      </c>
      <c r="D45" s="285"/>
      <c r="E45" s="285"/>
    </row>
    <row r="46" spans="1:5" ht="15.75">
      <c r="A46" s="286" t="str">
        <f>inputPrYr!B16</f>
        <v>General</v>
      </c>
      <c r="B46" s="25"/>
      <c r="C46" s="284" t="s">
        <v>185</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67065</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589</v>
      </c>
      <c r="C6" s="908"/>
      <c r="D6" s="908"/>
      <c r="E6" s="908"/>
      <c r="F6" s="908"/>
      <c r="G6" s="908"/>
      <c r="H6" s="908"/>
      <c r="I6" s="908"/>
      <c r="J6" s="908"/>
      <c r="K6" s="908"/>
      <c r="L6" s="380"/>
    </row>
    <row r="7" spans="1:12" ht="40.5" customHeight="1">
      <c r="A7" s="377"/>
      <c r="B7" s="920" t="s">
        <v>590</v>
      </c>
      <c r="C7" s="921"/>
      <c r="D7" s="921"/>
      <c r="E7" s="921"/>
      <c r="F7" s="921"/>
      <c r="G7" s="921"/>
      <c r="H7" s="921"/>
      <c r="I7" s="921"/>
      <c r="J7" s="921"/>
      <c r="K7" s="921"/>
      <c r="L7" s="377"/>
    </row>
    <row r="8" spans="1:12" ht="14.25">
      <c r="A8" s="377"/>
      <c r="B8" s="917" t="s">
        <v>591</v>
      </c>
      <c r="C8" s="917"/>
      <c r="D8" s="917"/>
      <c r="E8" s="917"/>
      <c r="F8" s="917"/>
      <c r="G8" s="917"/>
      <c r="H8" s="917"/>
      <c r="I8" s="917"/>
      <c r="J8" s="917"/>
      <c r="K8" s="917"/>
      <c r="L8" s="377"/>
    </row>
    <row r="9" spans="1:12" ht="14.25">
      <c r="A9" s="377"/>
      <c r="L9" s="377"/>
    </row>
    <row r="10" spans="1:12" ht="14.25">
      <c r="A10" s="377"/>
      <c r="B10" s="917" t="s">
        <v>592</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593</v>
      </c>
      <c r="C12" s="901"/>
      <c r="D12" s="901"/>
      <c r="E12" s="901"/>
      <c r="F12" s="901"/>
      <c r="G12" s="901"/>
      <c r="H12" s="901"/>
      <c r="I12" s="901"/>
      <c r="J12" s="901"/>
      <c r="K12" s="901"/>
      <c r="L12" s="377"/>
    </row>
    <row r="13" spans="1:12" ht="14.25">
      <c r="A13" s="377"/>
      <c r="L13" s="377"/>
    </row>
    <row r="14" spans="1:12" ht="14.25">
      <c r="A14" s="377"/>
      <c r="B14" s="381" t="s">
        <v>594</v>
      </c>
      <c r="L14" s="377"/>
    </row>
    <row r="15" spans="1:12" ht="14.25">
      <c r="A15" s="377"/>
      <c r="L15" s="377"/>
    </row>
    <row r="16" spans="1:12" ht="14.25">
      <c r="A16" s="377"/>
      <c r="B16" s="379" t="s">
        <v>595</v>
      </c>
      <c r="L16" s="377"/>
    </row>
    <row r="17" spans="1:12" ht="14.25">
      <c r="A17" s="377"/>
      <c r="B17" s="379" t="s">
        <v>596</v>
      </c>
      <c r="L17" s="377"/>
    </row>
    <row r="18" spans="1:12" ht="14.25">
      <c r="A18" s="377"/>
      <c r="L18" s="377"/>
    </row>
    <row r="19" spans="1:12" ht="14.25">
      <c r="A19" s="377"/>
      <c r="B19" s="381" t="s">
        <v>717</v>
      </c>
      <c r="L19" s="377"/>
    </row>
    <row r="20" spans="1:12" ht="14.25">
      <c r="A20" s="377"/>
      <c r="B20" s="381"/>
      <c r="L20" s="377"/>
    </row>
    <row r="21" spans="1:12" ht="14.25">
      <c r="A21" s="377"/>
      <c r="B21" s="379" t="s">
        <v>718</v>
      </c>
      <c r="L21" s="377"/>
    </row>
    <row r="22" spans="1:12" ht="14.25">
      <c r="A22" s="377"/>
      <c r="L22" s="377"/>
    </row>
    <row r="23" spans="1:12" ht="14.25">
      <c r="A23" s="377"/>
      <c r="B23" s="379" t="s">
        <v>597</v>
      </c>
      <c r="E23" s="379" t="s">
        <v>598</v>
      </c>
      <c r="F23" s="903">
        <v>312000000</v>
      </c>
      <c r="G23" s="903"/>
      <c r="L23" s="377"/>
    </row>
    <row r="24" spans="1:12" ht="14.25">
      <c r="A24" s="377"/>
      <c r="L24" s="377"/>
    </row>
    <row r="25" spans="1:12" ht="14.25">
      <c r="A25" s="377"/>
      <c r="C25" s="918">
        <f>F23</f>
        <v>312000000</v>
      </c>
      <c r="D25" s="918"/>
      <c r="E25" s="379" t="s">
        <v>599</v>
      </c>
      <c r="F25" s="382">
        <v>1000</v>
      </c>
      <c r="G25" s="382" t="s">
        <v>598</v>
      </c>
      <c r="H25" s="518">
        <f>F23/F25</f>
        <v>312000</v>
      </c>
      <c r="L25" s="377"/>
    </row>
    <row r="26" spans="1:12" ht="15" thickBot="1">
      <c r="A26" s="377"/>
      <c r="L26" s="377"/>
    </row>
    <row r="27" spans="1:12" ht="14.25">
      <c r="A27" s="377"/>
      <c r="B27" s="383" t="s">
        <v>594</v>
      </c>
      <c r="C27" s="384"/>
      <c r="D27" s="384"/>
      <c r="E27" s="384"/>
      <c r="F27" s="384"/>
      <c r="G27" s="384"/>
      <c r="H27" s="384"/>
      <c r="I27" s="384"/>
      <c r="J27" s="384"/>
      <c r="K27" s="385"/>
      <c r="L27" s="377"/>
    </row>
    <row r="28" spans="1:12" ht="14.25">
      <c r="A28" s="377"/>
      <c r="B28" s="386">
        <f>F23</f>
        <v>312000000</v>
      </c>
      <c r="C28" s="387" t="s">
        <v>600</v>
      </c>
      <c r="D28" s="387"/>
      <c r="E28" s="387" t="s">
        <v>599</v>
      </c>
      <c r="F28" s="521">
        <v>1000</v>
      </c>
      <c r="G28" s="521" t="s">
        <v>598</v>
      </c>
      <c r="H28" s="388">
        <f>B28/F28</f>
        <v>312000</v>
      </c>
      <c r="I28" s="387" t="s">
        <v>601</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590</v>
      </c>
      <c r="C30" s="905"/>
      <c r="D30" s="905"/>
      <c r="E30" s="905"/>
      <c r="F30" s="905"/>
      <c r="G30" s="905"/>
      <c r="H30" s="905"/>
      <c r="I30" s="905"/>
      <c r="J30" s="905"/>
      <c r="K30" s="905"/>
      <c r="L30" s="377"/>
    </row>
    <row r="31" spans="1:12" ht="14.25">
      <c r="A31" s="377"/>
      <c r="B31" s="917" t="s">
        <v>602</v>
      </c>
      <c r="C31" s="917"/>
      <c r="D31" s="917"/>
      <c r="E31" s="917"/>
      <c r="F31" s="917"/>
      <c r="G31" s="917"/>
      <c r="H31" s="917"/>
      <c r="I31" s="917"/>
      <c r="J31" s="917"/>
      <c r="K31" s="917"/>
      <c r="L31" s="377"/>
    </row>
    <row r="32" spans="1:12" ht="14.25">
      <c r="A32" s="377"/>
      <c r="L32" s="377"/>
    </row>
    <row r="33" spans="1:12" ht="14.25">
      <c r="A33" s="377"/>
      <c r="B33" s="917" t="s">
        <v>603</v>
      </c>
      <c r="C33" s="917"/>
      <c r="D33" s="917"/>
      <c r="E33" s="917"/>
      <c r="F33" s="917"/>
      <c r="G33" s="917"/>
      <c r="H33" s="917"/>
      <c r="I33" s="917"/>
      <c r="J33" s="917"/>
      <c r="K33" s="917"/>
      <c r="L33" s="377"/>
    </row>
    <row r="34" spans="1:12" ht="14.25">
      <c r="A34" s="377"/>
      <c r="L34" s="377"/>
    </row>
    <row r="35" spans="1:12" ht="89.25" customHeight="1">
      <c r="A35" s="377"/>
      <c r="B35" s="901" t="s">
        <v>604</v>
      </c>
      <c r="C35" s="911"/>
      <c r="D35" s="911"/>
      <c r="E35" s="911"/>
      <c r="F35" s="911"/>
      <c r="G35" s="911"/>
      <c r="H35" s="911"/>
      <c r="I35" s="911"/>
      <c r="J35" s="911"/>
      <c r="K35" s="911"/>
      <c r="L35" s="377"/>
    </row>
    <row r="36" spans="1:12" ht="14.25">
      <c r="A36" s="377"/>
      <c r="L36" s="377"/>
    </row>
    <row r="37" spans="1:12" ht="14.25">
      <c r="A37" s="377"/>
      <c r="B37" s="381" t="s">
        <v>605</v>
      </c>
      <c r="L37" s="377"/>
    </row>
    <row r="38" spans="1:12" ht="14.25">
      <c r="A38" s="377"/>
      <c r="L38" s="377"/>
    </row>
    <row r="39" spans="1:12" ht="14.25">
      <c r="A39" s="377"/>
      <c r="B39" s="379" t="s">
        <v>606</v>
      </c>
      <c r="L39" s="377"/>
    </row>
    <row r="40" spans="1:12" ht="14.25">
      <c r="A40" s="377"/>
      <c r="L40" s="377"/>
    </row>
    <row r="41" spans="1:12" ht="14.25">
      <c r="A41" s="377"/>
      <c r="C41" s="919">
        <v>312000000</v>
      </c>
      <c r="D41" s="919"/>
      <c r="E41" s="379" t="s">
        <v>599</v>
      </c>
      <c r="F41" s="382">
        <v>1000</v>
      </c>
      <c r="G41" s="382" t="s">
        <v>598</v>
      </c>
      <c r="H41" s="393">
        <f>C41/F41</f>
        <v>312000</v>
      </c>
      <c r="L41" s="377"/>
    </row>
    <row r="42" spans="1:12" ht="14.25">
      <c r="A42" s="377"/>
      <c r="L42" s="377"/>
    </row>
    <row r="43" spans="1:12" ht="14.25">
      <c r="A43" s="377"/>
      <c r="B43" s="379" t="s">
        <v>607</v>
      </c>
      <c r="L43" s="377"/>
    </row>
    <row r="44" spans="1:12" ht="14.25">
      <c r="A44" s="377"/>
      <c r="L44" s="377"/>
    </row>
    <row r="45" spans="1:12" ht="14.25">
      <c r="A45" s="377"/>
      <c r="B45" s="379" t="s">
        <v>608</v>
      </c>
      <c r="L45" s="377"/>
    </row>
    <row r="46" spans="1:12" ht="15" thickBot="1">
      <c r="A46" s="377"/>
      <c r="L46" s="377"/>
    </row>
    <row r="47" spans="1:12" ht="14.25">
      <c r="A47" s="377"/>
      <c r="B47" s="394" t="s">
        <v>594</v>
      </c>
      <c r="C47" s="384"/>
      <c r="D47" s="384"/>
      <c r="E47" s="384"/>
      <c r="F47" s="384"/>
      <c r="G47" s="384"/>
      <c r="H47" s="384"/>
      <c r="I47" s="384"/>
      <c r="J47" s="384"/>
      <c r="K47" s="385"/>
      <c r="L47" s="377"/>
    </row>
    <row r="48" spans="1:12" ht="14.25">
      <c r="A48" s="377"/>
      <c r="B48" s="912">
        <v>312000000</v>
      </c>
      <c r="C48" s="903"/>
      <c r="D48" s="387" t="s">
        <v>609</v>
      </c>
      <c r="E48" s="387" t="s">
        <v>599</v>
      </c>
      <c r="F48" s="521">
        <v>1000</v>
      </c>
      <c r="G48" s="521" t="s">
        <v>598</v>
      </c>
      <c r="H48" s="388">
        <f>B48/F48</f>
        <v>312000</v>
      </c>
      <c r="I48" s="387" t="s">
        <v>610</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611</v>
      </c>
      <c r="D50" s="387"/>
      <c r="E50" s="387" t="s">
        <v>599</v>
      </c>
      <c r="F50" s="388">
        <f>H48</f>
        <v>312000</v>
      </c>
      <c r="G50" s="913" t="s">
        <v>612</v>
      </c>
      <c r="H50" s="914"/>
      <c r="I50" s="521" t="s">
        <v>598</v>
      </c>
      <c r="J50" s="397">
        <f>B50/F50</f>
        <v>0.16025641025641027</v>
      </c>
      <c r="K50" s="389"/>
      <c r="L50" s="377"/>
    </row>
    <row r="51" spans="1:15" ht="15" thickBot="1">
      <c r="A51" s="377"/>
      <c r="B51" s="390"/>
      <c r="C51" s="391"/>
      <c r="D51" s="391"/>
      <c r="E51" s="391"/>
      <c r="F51" s="391"/>
      <c r="G51" s="391"/>
      <c r="H51" s="391"/>
      <c r="I51" s="915" t="s">
        <v>613</v>
      </c>
      <c r="J51" s="915"/>
      <c r="K51" s="916"/>
      <c r="L51" s="377"/>
      <c r="O51" s="398"/>
    </row>
    <row r="52" spans="1:12" ht="40.5" customHeight="1">
      <c r="A52" s="377"/>
      <c r="B52" s="905" t="s">
        <v>590</v>
      </c>
      <c r="C52" s="905"/>
      <c r="D52" s="905"/>
      <c r="E52" s="905"/>
      <c r="F52" s="905"/>
      <c r="G52" s="905"/>
      <c r="H52" s="905"/>
      <c r="I52" s="905"/>
      <c r="J52" s="905"/>
      <c r="K52" s="905"/>
      <c r="L52" s="377"/>
    </row>
    <row r="53" spans="1:12" ht="14.25">
      <c r="A53" s="377"/>
      <c r="B53" s="917" t="s">
        <v>614</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615</v>
      </c>
      <c r="C55" s="900"/>
      <c r="D55" s="900"/>
      <c r="E55" s="900"/>
      <c r="F55" s="900"/>
      <c r="G55" s="900"/>
      <c r="H55" s="900"/>
      <c r="I55" s="900"/>
      <c r="J55" s="900"/>
      <c r="K55" s="900"/>
      <c r="L55" s="377"/>
    </row>
    <row r="56" spans="1:12" ht="15" customHeight="1">
      <c r="A56" s="377"/>
      <c r="L56" s="377"/>
    </row>
    <row r="57" spans="1:24" ht="74.25" customHeight="1">
      <c r="A57" s="377"/>
      <c r="B57" s="901" t="s">
        <v>616</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605</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617</v>
      </c>
      <c r="L61" s="377"/>
      <c r="M61" s="400"/>
      <c r="N61" s="400"/>
      <c r="O61" s="400"/>
      <c r="P61" s="400"/>
      <c r="Q61" s="400"/>
      <c r="R61" s="400"/>
      <c r="S61" s="400"/>
      <c r="T61" s="400"/>
      <c r="U61" s="400"/>
      <c r="V61" s="400"/>
      <c r="W61" s="400"/>
      <c r="X61" s="400"/>
    </row>
    <row r="62" spans="1:24" ht="14.25">
      <c r="A62" s="377"/>
      <c r="B62" s="379" t="s">
        <v>719</v>
      </c>
      <c r="L62" s="377"/>
      <c r="M62" s="400"/>
      <c r="N62" s="400"/>
      <c r="O62" s="400"/>
      <c r="P62" s="400"/>
      <c r="Q62" s="400"/>
      <c r="R62" s="400"/>
      <c r="S62" s="400"/>
      <c r="T62" s="400"/>
      <c r="U62" s="400"/>
      <c r="V62" s="400"/>
      <c r="W62" s="400"/>
      <c r="X62" s="400"/>
    </row>
    <row r="63" spans="1:24" ht="14.25">
      <c r="A63" s="377"/>
      <c r="B63" s="379" t="s">
        <v>720</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618</v>
      </c>
      <c r="L65" s="377"/>
      <c r="M65" s="400"/>
      <c r="N65" s="400"/>
      <c r="O65" s="400"/>
      <c r="P65" s="400"/>
      <c r="Q65" s="400"/>
      <c r="R65" s="400"/>
      <c r="S65" s="400"/>
      <c r="T65" s="400"/>
      <c r="U65" s="400"/>
      <c r="V65" s="400"/>
      <c r="W65" s="400"/>
      <c r="X65" s="400"/>
    </row>
    <row r="66" spans="1:24" ht="14.25">
      <c r="A66" s="377"/>
      <c r="B66" s="379" t="s">
        <v>619</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620</v>
      </c>
      <c r="L68" s="377"/>
      <c r="M68" s="401"/>
      <c r="N68" s="402"/>
      <c r="O68" s="402"/>
      <c r="P68" s="402"/>
      <c r="Q68" s="402"/>
      <c r="R68" s="402"/>
      <c r="S68" s="402"/>
      <c r="T68" s="402"/>
      <c r="U68" s="402"/>
      <c r="V68" s="402"/>
      <c r="W68" s="402"/>
      <c r="X68" s="400"/>
    </row>
    <row r="69" spans="1:24" ht="14.25">
      <c r="A69" s="377"/>
      <c r="B69" s="379" t="s">
        <v>721</v>
      </c>
      <c r="L69" s="377"/>
      <c r="M69" s="400"/>
      <c r="N69" s="400"/>
      <c r="O69" s="400"/>
      <c r="P69" s="400"/>
      <c r="Q69" s="400"/>
      <c r="R69" s="400"/>
      <c r="S69" s="400"/>
      <c r="T69" s="400"/>
      <c r="U69" s="400"/>
      <c r="V69" s="400"/>
      <c r="W69" s="400"/>
      <c r="X69" s="400"/>
    </row>
    <row r="70" spans="1:24" ht="14.25">
      <c r="A70" s="377"/>
      <c r="B70" s="379" t="s">
        <v>722</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594</v>
      </c>
      <c r="C72" s="384"/>
      <c r="D72" s="384"/>
      <c r="E72" s="384"/>
      <c r="F72" s="384"/>
      <c r="G72" s="384"/>
      <c r="H72" s="384"/>
      <c r="I72" s="384"/>
      <c r="J72" s="384"/>
      <c r="K72" s="385"/>
      <c r="L72" s="403"/>
    </row>
    <row r="73" spans="1:12" ht="14.25">
      <c r="A73" s="377"/>
      <c r="B73" s="395"/>
      <c r="C73" s="387" t="s">
        <v>600</v>
      </c>
      <c r="D73" s="387"/>
      <c r="E73" s="387"/>
      <c r="F73" s="387"/>
      <c r="G73" s="387"/>
      <c r="H73" s="387"/>
      <c r="I73" s="387"/>
      <c r="J73" s="387"/>
      <c r="K73" s="389"/>
      <c r="L73" s="403"/>
    </row>
    <row r="74" spans="1:12" ht="14.25">
      <c r="A74" s="377"/>
      <c r="B74" s="395" t="s">
        <v>621</v>
      </c>
      <c r="C74" s="903">
        <v>312000000</v>
      </c>
      <c r="D74" s="903"/>
      <c r="E74" s="521" t="s">
        <v>599</v>
      </c>
      <c r="F74" s="521">
        <v>1000</v>
      </c>
      <c r="G74" s="521" t="s">
        <v>598</v>
      </c>
      <c r="H74" s="522">
        <f>C74/F74</f>
        <v>312000</v>
      </c>
      <c r="I74" s="387" t="s">
        <v>622</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623</v>
      </c>
      <c r="D76" s="387"/>
      <c r="E76" s="521"/>
      <c r="F76" s="387" t="s">
        <v>622</v>
      </c>
      <c r="G76" s="387"/>
      <c r="H76" s="387"/>
      <c r="I76" s="387"/>
      <c r="J76" s="387"/>
      <c r="K76" s="389"/>
      <c r="L76" s="403"/>
    </row>
    <row r="77" spans="1:12" ht="14.25">
      <c r="A77" s="377"/>
      <c r="B77" s="395" t="s">
        <v>624</v>
      </c>
      <c r="C77" s="903">
        <v>50000</v>
      </c>
      <c r="D77" s="903"/>
      <c r="E77" s="521" t="s">
        <v>599</v>
      </c>
      <c r="F77" s="522">
        <f>H74</f>
        <v>312000</v>
      </c>
      <c r="G77" s="521" t="s">
        <v>598</v>
      </c>
      <c r="H77" s="397">
        <f>C77/F77</f>
        <v>0.16025641025641027</v>
      </c>
      <c r="I77" s="387" t="s">
        <v>625</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626</v>
      </c>
      <c r="D79" s="405"/>
      <c r="E79" s="523"/>
      <c r="F79" s="405"/>
      <c r="G79" s="405"/>
      <c r="H79" s="405"/>
      <c r="I79" s="405"/>
      <c r="J79" s="405"/>
      <c r="K79" s="406"/>
      <c r="L79" s="403"/>
    </row>
    <row r="80" spans="1:12" ht="14.25">
      <c r="A80" s="377"/>
      <c r="B80" s="395" t="s">
        <v>627</v>
      </c>
      <c r="C80" s="903">
        <v>100000</v>
      </c>
      <c r="D80" s="903"/>
      <c r="E80" s="521" t="s">
        <v>264</v>
      </c>
      <c r="F80" s="521">
        <v>0.115</v>
      </c>
      <c r="G80" s="521" t="s">
        <v>598</v>
      </c>
      <c r="H80" s="522">
        <f>C80*F80</f>
        <v>11500</v>
      </c>
      <c r="I80" s="387" t="s">
        <v>628</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629</v>
      </c>
      <c r="D82" s="405"/>
      <c r="E82" s="523"/>
      <c r="F82" s="405" t="s">
        <v>625</v>
      </c>
      <c r="G82" s="405"/>
      <c r="H82" s="405"/>
      <c r="I82" s="405"/>
      <c r="J82" s="405" t="s">
        <v>630</v>
      </c>
      <c r="K82" s="406"/>
      <c r="L82" s="403"/>
    </row>
    <row r="83" spans="1:12" ht="14.25">
      <c r="A83" s="377"/>
      <c r="B83" s="395" t="s">
        <v>631</v>
      </c>
      <c r="C83" s="904">
        <f>H80</f>
        <v>11500</v>
      </c>
      <c r="D83" s="904"/>
      <c r="E83" s="521" t="s">
        <v>264</v>
      </c>
      <c r="F83" s="397">
        <f>H77</f>
        <v>0.16025641025641027</v>
      </c>
      <c r="G83" s="521" t="s">
        <v>599</v>
      </c>
      <c r="H83" s="521">
        <v>1000</v>
      </c>
      <c r="I83" s="521" t="s">
        <v>598</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590</v>
      </c>
      <c r="C85" s="905"/>
      <c r="D85" s="905"/>
      <c r="E85" s="905"/>
      <c r="F85" s="905"/>
      <c r="G85" s="905"/>
      <c r="H85" s="905"/>
      <c r="I85" s="905"/>
      <c r="J85" s="905"/>
      <c r="K85" s="905"/>
      <c r="L85" s="377"/>
    </row>
    <row r="86" spans="1:12" ht="14.25">
      <c r="A86" s="377"/>
      <c r="B86" s="900" t="s">
        <v>632</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633</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634</v>
      </c>
      <c r="C90" s="901"/>
      <c r="D90" s="901"/>
      <c r="E90" s="901"/>
      <c r="F90" s="901"/>
      <c r="G90" s="901"/>
      <c r="H90" s="901"/>
      <c r="I90" s="901"/>
      <c r="J90" s="901"/>
      <c r="K90" s="901"/>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903">
        <v>312000000</v>
      </c>
      <c r="D94" s="903"/>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903">
        <v>50000</v>
      </c>
      <c r="D97" s="903"/>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903">
        <v>2500000</v>
      </c>
      <c r="D100" s="903"/>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4">
        <f>H100</f>
        <v>750000</v>
      </c>
      <c r="D103" s="904"/>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590</v>
      </c>
      <c r="C105" s="906"/>
      <c r="D105" s="906"/>
      <c r="E105" s="906"/>
      <c r="F105" s="906"/>
      <c r="G105" s="906"/>
      <c r="H105" s="906"/>
      <c r="I105" s="906"/>
      <c r="J105" s="906"/>
      <c r="K105" s="906"/>
      <c r="L105" s="377"/>
    </row>
    <row r="106" spans="1:12" ht="15" customHeight="1">
      <c r="A106" s="377"/>
      <c r="B106" s="907" t="s">
        <v>636</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637</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638</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594</v>
      </c>
      <c r="C112" s="384"/>
      <c r="D112" s="384"/>
      <c r="E112" s="384"/>
      <c r="F112" s="384"/>
      <c r="G112" s="384"/>
      <c r="H112" s="384"/>
      <c r="I112" s="384"/>
      <c r="J112" s="384"/>
      <c r="K112" s="385"/>
      <c r="L112" s="377"/>
    </row>
    <row r="113" spans="1:12" ht="14.25">
      <c r="A113" s="377"/>
      <c r="B113" s="395"/>
      <c r="C113" s="387" t="s">
        <v>600</v>
      </c>
      <c r="D113" s="387"/>
      <c r="E113" s="387"/>
      <c r="F113" s="387"/>
      <c r="G113" s="387"/>
      <c r="H113" s="387"/>
      <c r="I113" s="387"/>
      <c r="J113" s="387"/>
      <c r="K113" s="389"/>
      <c r="L113" s="377"/>
    </row>
    <row r="114" spans="1:12" ht="14.25">
      <c r="A114" s="377"/>
      <c r="B114" s="395" t="s">
        <v>621</v>
      </c>
      <c r="C114" s="903">
        <v>312000000</v>
      </c>
      <c r="D114" s="903"/>
      <c r="E114" s="521" t="s">
        <v>599</v>
      </c>
      <c r="F114" s="521">
        <v>1000</v>
      </c>
      <c r="G114" s="521" t="s">
        <v>598</v>
      </c>
      <c r="H114" s="522">
        <f>C114/F114</f>
        <v>312000</v>
      </c>
      <c r="I114" s="387" t="s">
        <v>622</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623</v>
      </c>
      <c r="D116" s="387"/>
      <c r="E116" s="521"/>
      <c r="F116" s="387" t="s">
        <v>622</v>
      </c>
      <c r="G116" s="387"/>
      <c r="H116" s="387"/>
      <c r="I116" s="387"/>
      <c r="J116" s="387"/>
      <c r="K116" s="389"/>
      <c r="L116" s="377"/>
    </row>
    <row r="117" spans="1:12" ht="14.25">
      <c r="A117" s="377"/>
      <c r="B117" s="395" t="s">
        <v>624</v>
      </c>
      <c r="C117" s="903">
        <v>50000</v>
      </c>
      <c r="D117" s="903"/>
      <c r="E117" s="521" t="s">
        <v>599</v>
      </c>
      <c r="F117" s="522">
        <f>H114</f>
        <v>312000</v>
      </c>
      <c r="G117" s="521" t="s">
        <v>598</v>
      </c>
      <c r="H117" s="397">
        <f>C117/F117</f>
        <v>0.16025641025641027</v>
      </c>
      <c r="I117" s="387" t="s">
        <v>625</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635</v>
      </c>
      <c r="D119" s="405"/>
      <c r="E119" s="523"/>
      <c r="F119" s="405"/>
      <c r="G119" s="405"/>
      <c r="H119" s="405"/>
      <c r="I119" s="405"/>
      <c r="J119" s="405"/>
      <c r="K119" s="406"/>
      <c r="L119" s="377"/>
    </row>
    <row r="120" spans="1:12" ht="14.25">
      <c r="A120" s="377"/>
      <c r="B120" s="395" t="s">
        <v>627</v>
      </c>
      <c r="C120" s="903">
        <v>2500000</v>
      </c>
      <c r="D120" s="903"/>
      <c r="E120" s="521" t="s">
        <v>264</v>
      </c>
      <c r="F120" s="420">
        <v>0.25</v>
      </c>
      <c r="G120" s="521" t="s">
        <v>598</v>
      </c>
      <c r="H120" s="522">
        <f>C120*F120</f>
        <v>625000</v>
      </c>
      <c r="I120" s="387" t="s">
        <v>628</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629</v>
      </c>
      <c r="D122" s="405"/>
      <c r="E122" s="523"/>
      <c r="F122" s="405" t="s">
        <v>625</v>
      </c>
      <c r="G122" s="405"/>
      <c r="H122" s="405"/>
      <c r="I122" s="405"/>
      <c r="J122" s="405" t="s">
        <v>630</v>
      </c>
      <c r="K122" s="406"/>
      <c r="L122" s="377"/>
    </row>
    <row r="123" spans="1:12" ht="14.25">
      <c r="A123" s="377"/>
      <c r="B123" s="395" t="s">
        <v>631</v>
      </c>
      <c r="C123" s="904">
        <f>H120</f>
        <v>625000</v>
      </c>
      <c r="D123" s="904"/>
      <c r="E123" s="521" t="s">
        <v>264</v>
      </c>
      <c r="F123" s="397">
        <f>H117</f>
        <v>0.16025641025641027</v>
      </c>
      <c r="G123" s="521" t="s">
        <v>599</v>
      </c>
      <c r="H123" s="521">
        <v>1000</v>
      </c>
      <c r="I123" s="521" t="s">
        <v>598</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590</v>
      </c>
      <c r="C125" s="905"/>
      <c r="D125" s="905"/>
      <c r="E125" s="905"/>
      <c r="F125" s="905"/>
      <c r="G125" s="905"/>
      <c r="H125" s="905"/>
      <c r="I125" s="905"/>
      <c r="J125" s="905"/>
      <c r="K125" s="905"/>
      <c r="L125" s="423"/>
    </row>
    <row r="126" spans="1:12" ht="14.25">
      <c r="A126" s="377"/>
      <c r="B126" s="900" t="s">
        <v>639</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640</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641</v>
      </c>
      <c r="C130" s="901"/>
      <c r="D130" s="901"/>
      <c r="E130" s="901"/>
      <c r="F130" s="901"/>
      <c r="G130" s="901"/>
      <c r="H130" s="901"/>
      <c r="I130" s="901"/>
      <c r="J130" s="901"/>
      <c r="K130" s="901"/>
      <c r="L130" s="423"/>
    </row>
    <row r="131" spans="1:12" ht="15" thickBot="1">
      <c r="A131" s="377"/>
      <c r="L131" s="377"/>
    </row>
    <row r="132" spans="1:12" ht="14.25">
      <c r="A132" s="377"/>
      <c r="B132" s="383" t="s">
        <v>594</v>
      </c>
      <c r="C132" s="384"/>
      <c r="D132" s="384"/>
      <c r="E132" s="384"/>
      <c r="F132" s="384"/>
      <c r="G132" s="384"/>
      <c r="H132" s="384"/>
      <c r="I132" s="384"/>
      <c r="J132" s="384"/>
      <c r="K132" s="385"/>
      <c r="L132" s="377"/>
    </row>
    <row r="133" spans="1:12" ht="14.25">
      <c r="A133" s="377"/>
      <c r="B133" s="395"/>
      <c r="C133" s="902" t="s">
        <v>642</v>
      </c>
      <c r="D133" s="902"/>
      <c r="E133" s="387"/>
      <c r="F133" s="521" t="s">
        <v>643</v>
      </c>
      <c r="G133" s="387"/>
      <c r="H133" s="902" t="s">
        <v>628</v>
      </c>
      <c r="I133" s="902"/>
      <c r="J133" s="387"/>
      <c r="K133" s="389"/>
      <c r="L133" s="377"/>
    </row>
    <row r="134" spans="1:12" ht="14.25">
      <c r="A134" s="377"/>
      <c r="B134" s="395" t="s">
        <v>621</v>
      </c>
      <c r="C134" s="903">
        <v>100000</v>
      </c>
      <c r="D134" s="903"/>
      <c r="E134" s="521" t="s">
        <v>264</v>
      </c>
      <c r="F134" s="521">
        <v>0.115</v>
      </c>
      <c r="G134" s="521" t="s">
        <v>598</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628</v>
      </c>
      <c r="D136" s="891"/>
      <c r="E136" s="405"/>
      <c r="F136" s="523" t="s">
        <v>644</v>
      </c>
      <c r="G136" s="523"/>
      <c r="H136" s="405"/>
      <c r="I136" s="405"/>
      <c r="J136" s="405" t="s">
        <v>645</v>
      </c>
      <c r="K136" s="406"/>
      <c r="L136" s="377"/>
    </row>
    <row r="137" spans="1:12" ht="14.25">
      <c r="A137" s="377"/>
      <c r="B137" s="395" t="s">
        <v>624</v>
      </c>
      <c r="C137" s="892">
        <f>H134</f>
        <v>11500</v>
      </c>
      <c r="D137" s="892"/>
      <c r="E137" s="521" t="s">
        <v>264</v>
      </c>
      <c r="F137" s="424">
        <v>52.869</v>
      </c>
      <c r="G137" s="521" t="s">
        <v>599</v>
      </c>
      <c r="H137" s="521">
        <v>1000</v>
      </c>
      <c r="I137" s="521" t="s">
        <v>598</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4.25">
      <c r="A140" s="377"/>
      <c r="B140" s="435" t="s">
        <v>646</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647</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648</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594</v>
      </c>
      <c r="C146" s="442"/>
      <c r="D146" s="442"/>
      <c r="E146" s="443"/>
      <c r="F146" s="444"/>
      <c r="G146" s="443"/>
      <c r="H146" s="443"/>
      <c r="I146" s="443"/>
      <c r="J146" s="445"/>
      <c r="K146" s="385"/>
      <c r="L146" s="377"/>
    </row>
    <row r="147" spans="1:12" ht="14.25">
      <c r="A147" s="377"/>
      <c r="B147" s="395"/>
      <c r="C147" s="892" t="s">
        <v>649</v>
      </c>
      <c r="D147" s="892"/>
      <c r="E147" s="521"/>
      <c r="F147" s="441" t="s">
        <v>650</v>
      </c>
      <c r="G147" s="521"/>
      <c r="H147" s="521"/>
      <c r="I147" s="521"/>
      <c r="J147" s="896" t="s">
        <v>651</v>
      </c>
      <c r="K147" s="897"/>
      <c r="L147" s="377"/>
    </row>
    <row r="148" spans="1:12" ht="14.25">
      <c r="A148" s="377"/>
      <c r="B148" s="395"/>
      <c r="C148" s="898">
        <v>52.869</v>
      </c>
      <c r="D148" s="898"/>
      <c r="E148" s="521" t="s">
        <v>264</v>
      </c>
      <c r="F148" s="517">
        <v>312000000</v>
      </c>
      <c r="G148" s="446" t="s">
        <v>599</v>
      </c>
      <c r="H148" s="521">
        <v>1000</v>
      </c>
      <c r="I148" s="521" t="s">
        <v>598</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652</v>
      </c>
    </row>
    <row r="3" ht="31.5">
      <c r="A3" s="450" t="s">
        <v>653</v>
      </c>
    </row>
    <row r="4" ht="15.75">
      <c r="A4" s="451" t="s">
        <v>654</v>
      </c>
    </row>
    <row r="7" ht="31.5">
      <c r="A7" s="450" t="s">
        <v>655</v>
      </c>
    </row>
    <row r="8" ht="15.75">
      <c r="A8" s="451" t="s">
        <v>656</v>
      </c>
    </row>
    <row r="11" ht="15.75">
      <c r="A11" s="449" t="s">
        <v>657</v>
      </c>
    </row>
    <row r="12" ht="15.75">
      <c r="A12" s="451" t="s">
        <v>658</v>
      </c>
    </row>
    <row r="15" ht="15.75">
      <c r="A15" s="449" t="s">
        <v>659</v>
      </c>
    </row>
    <row r="16" ht="15.75">
      <c r="A16" s="451" t="s">
        <v>660</v>
      </c>
    </row>
    <row r="19" ht="15.75">
      <c r="A19" s="449" t="s">
        <v>661</v>
      </c>
    </row>
    <row r="20" ht="15.75">
      <c r="A20" s="451" t="s">
        <v>662</v>
      </c>
    </row>
    <row r="23" ht="15.75">
      <c r="A23" s="449" t="s">
        <v>663</v>
      </c>
    </row>
    <row r="24" ht="15.75">
      <c r="A24" s="451" t="s">
        <v>664</v>
      </c>
    </row>
    <row r="27" ht="15.75">
      <c r="A27" s="449" t="s">
        <v>665</v>
      </c>
    </row>
    <row r="28" ht="15.75">
      <c r="A28" s="451" t="s">
        <v>666</v>
      </c>
    </row>
    <row r="31" ht="15.75">
      <c r="A31" s="449" t="s">
        <v>667</v>
      </c>
    </row>
    <row r="32" ht="15.75">
      <c r="A32" s="451" t="s">
        <v>668</v>
      </c>
    </row>
    <row r="35" ht="15.75">
      <c r="A35" s="449" t="s">
        <v>669</v>
      </c>
    </row>
    <row r="36" ht="15.75">
      <c r="A36" s="451" t="s">
        <v>670</v>
      </c>
    </row>
    <row r="39" ht="15.75">
      <c r="A39" s="449" t="s">
        <v>671</v>
      </c>
    </row>
    <row r="40" ht="15.7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918</v>
      </c>
    </row>
    <row r="2" ht="15.75">
      <c r="A2" s="779" t="s">
        <v>917</v>
      </c>
    </row>
    <row r="4" ht="15.75">
      <c r="A4" s="349" t="s">
        <v>919</v>
      </c>
    </row>
    <row r="5" ht="15.75">
      <c r="A5" s="734" t="s">
        <v>891</v>
      </c>
    </row>
    <row r="7" ht="15.75">
      <c r="A7" s="349" t="s">
        <v>920</v>
      </c>
    </row>
    <row r="8" ht="15.75">
      <c r="A8" s="719" t="s">
        <v>890</v>
      </c>
    </row>
    <row r="10" ht="15.75">
      <c r="A10" s="349" t="s">
        <v>921</v>
      </c>
    </row>
    <row r="11" ht="15.75">
      <c r="A11" s="714" t="s">
        <v>887</v>
      </c>
    </row>
    <row r="13" ht="15.75">
      <c r="A13" s="349" t="s">
        <v>922</v>
      </c>
    </row>
    <row r="14" ht="15.75">
      <c r="A14" s="717" t="s">
        <v>888</v>
      </c>
    </row>
    <row r="16" ht="15.75">
      <c r="A16" s="349" t="s">
        <v>923</v>
      </c>
    </row>
    <row r="17" ht="15.75">
      <c r="A17" s="69" t="s">
        <v>886</v>
      </c>
    </row>
    <row r="19" ht="15.75">
      <c r="A19" s="349" t="s">
        <v>924</v>
      </c>
    </row>
    <row r="20" ht="15.75">
      <c r="A20" s="714" t="s">
        <v>885</v>
      </c>
    </row>
    <row r="22" ht="15.75">
      <c r="A22" s="349" t="s">
        <v>925</v>
      </c>
    </row>
    <row r="23" ht="15.75">
      <c r="A23" s="69" t="s">
        <v>852</v>
      </c>
    </row>
    <row r="24" ht="15.75">
      <c r="A24" s="69" t="s">
        <v>853</v>
      </c>
    </row>
    <row r="25" ht="15.75">
      <c r="A25" s="69" t="s">
        <v>854</v>
      </c>
    </row>
    <row r="26" ht="15.75">
      <c r="A26" s="69" t="s">
        <v>855</v>
      </c>
    </row>
    <row r="27" ht="15.75">
      <c r="A27" s="69" t="s">
        <v>856</v>
      </c>
    </row>
    <row r="28" ht="15.75">
      <c r="A28" s="69" t="s">
        <v>857</v>
      </c>
    </row>
    <row r="29" ht="15.75">
      <c r="A29" s="69" t="s">
        <v>858</v>
      </c>
    </row>
    <row r="30" ht="15.75">
      <c r="A30" s="69" t="s">
        <v>859</v>
      </c>
    </row>
    <row r="31" ht="15.75">
      <c r="A31" s="69" t="s">
        <v>860</v>
      </c>
    </row>
    <row r="32" ht="15.75">
      <c r="A32" s="69" t="s">
        <v>861</v>
      </c>
    </row>
    <row r="33" ht="15.75">
      <c r="A33" s="69" t="s">
        <v>862</v>
      </c>
    </row>
    <row r="34" ht="15.75">
      <c r="A34" s="69" t="s">
        <v>863</v>
      </c>
    </row>
    <row r="35" ht="15.75">
      <c r="A35" s="69" t="s">
        <v>864</v>
      </c>
    </row>
    <row r="36" ht="15.75">
      <c r="A36" s="69" t="s">
        <v>865</v>
      </c>
    </row>
    <row r="37" ht="15.75">
      <c r="A37" s="69" t="s">
        <v>866</v>
      </c>
    </row>
    <row r="38" ht="15.75">
      <c r="A38" s="69" t="s">
        <v>867</v>
      </c>
    </row>
    <row r="39" ht="15.75">
      <c r="A39" s="69" t="s">
        <v>868</v>
      </c>
    </row>
    <row r="40" ht="15.75">
      <c r="A40" s="69" t="s">
        <v>869</v>
      </c>
    </row>
    <row r="41" ht="15.75">
      <c r="A41" s="69" t="s">
        <v>870</v>
      </c>
    </row>
    <row r="42" ht="15.75">
      <c r="A42" s="69" t="s">
        <v>871</v>
      </c>
    </row>
    <row r="43" ht="15.75">
      <c r="A43" s="69" t="s">
        <v>872</v>
      </c>
    </row>
    <row r="44" ht="15.75">
      <c r="A44" s="69" t="s">
        <v>873</v>
      </c>
    </row>
    <row r="45" ht="15.75">
      <c r="A45" s="69" t="s">
        <v>874</v>
      </c>
    </row>
    <row r="46" ht="15.75">
      <c r="A46" s="69" t="s">
        <v>875</v>
      </c>
    </row>
    <row r="47" ht="15.75">
      <c r="A47" s="69" t="s">
        <v>876</v>
      </c>
    </row>
    <row r="48" ht="15.75">
      <c r="A48" s="69" t="s">
        <v>877</v>
      </c>
    </row>
    <row r="49" ht="15.75">
      <c r="A49" s="69" t="s">
        <v>878</v>
      </c>
    </row>
    <row r="50" ht="15.75">
      <c r="A50" s="69" t="s">
        <v>880</v>
      </c>
    </row>
    <row r="51" ht="15.75">
      <c r="A51" s="69" t="s">
        <v>879</v>
      </c>
    </row>
    <row r="53" ht="15.75">
      <c r="A53" s="349" t="s">
        <v>926</v>
      </c>
    </row>
    <row r="54" ht="15.75">
      <c r="A54" s="69" t="s">
        <v>714</v>
      </c>
    </row>
    <row r="56" ht="15.75">
      <c r="A56" s="349" t="s">
        <v>927</v>
      </c>
    </row>
    <row r="57" ht="15.75">
      <c r="A57" s="69" t="s">
        <v>713</v>
      </c>
    </row>
    <row r="59" ht="15.75">
      <c r="A59" s="349" t="s">
        <v>928</v>
      </c>
    </row>
    <row r="60" ht="15.75">
      <c r="A60" s="509" t="s">
        <v>711</v>
      </c>
    </row>
    <row r="62" ht="15.75">
      <c r="A62" s="349" t="s">
        <v>929</v>
      </c>
    </row>
    <row r="63" ht="15.75">
      <c r="A63" s="69" t="s">
        <v>709</v>
      </c>
    </row>
    <row r="64" ht="15.75">
      <c r="A64" s="69" t="s">
        <v>710</v>
      </c>
    </row>
    <row r="66" ht="15.75">
      <c r="A66" s="349" t="s">
        <v>930</v>
      </c>
    </row>
    <row r="67" ht="15.75">
      <c r="A67" s="509" t="s">
        <v>685</v>
      </c>
    </row>
    <row r="68" ht="15.75">
      <c r="A68" s="509" t="s">
        <v>686</v>
      </c>
    </row>
    <row r="69" ht="31.5">
      <c r="A69" s="508" t="s">
        <v>687</v>
      </c>
    </row>
    <row r="70" ht="15.75">
      <c r="A70" s="509" t="s">
        <v>688</v>
      </c>
    </row>
    <row r="71" ht="15.75">
      <c r="A71" s="509" t="s">
        <v>689</v>
      </c>
    </row>
    <row r="72" ht="15.75">
      <c r="A72" s="509" t="s">
        <v>690</v>
      </c>
    </row>
    <row r="73" ht="15.75">
      <c r="A73" s="509" t="s">
        <v>691</v>
      </c>
    </row>
    <row r="74" ht="15.75">
      <c r="A74" s="509" t="s">
        <v>692</v>
      </c>
    </row>
    <row r="75" ht="15.75">
      <c r="A75" s="509" t="s">
        <v>693</v>
      </c>
    </row>
    <row r="76" ht="15.75">
      <c r="A76" s="509" t="s">
        <v>694</v>
      </c>
    </row>
    <row r="77" ht="15.75">
      <c r="A77" s="509" t="s">
        <v>695</v>
      </c>
    </row>
    <row r="78" ht="15.75">
      <c r="A78" s="509" t="s">
        <v>696</v>
      </c>
    </row>
    <row r="79" ht="15.75">
      <c r="A79" s="509" t="s">
        <v>707</v>
      </c>
    </row>
    <row r="80" ht="15.75">
      <c r="A80" s="509" t="s">
        <v>697</v>
      </c>
    </row>
    <row r="81" ht="15.75">
      <c r="A81" s="509" t="s">
        <v>698</v>
      </c>
    </row>
    <row r="82" ht="15.75">
      <c r="A82" s="509" t="s">
        <v>699</v>
      </c>
    </row>
    <row r="83" ht="15.75">
      <c r="A83" s="509" t="s">
        <v>700</v>
      </c>
    </row>
    <row r="84" ht="15.75">
      <c r="A84" s="509" t="s">
        <v>701</v>
      </c>
    </row>
    <row r="85" ht="15.75">
      <c r="A85" s="509" t="s">
        <v>702</v>
      </c>
    </row>
    <row r="86" ht="15.75">
      <c r="A86" s="509" t="s">
        <v>703</v>
      </c>
    </row>
    <row r="87" ht="15.75">
      <c r="A87" s="509" t="s">
        <v>704</v>
      </c>
    </row>
    <row r="88" ht="15.75">
      <c r="A88" s="509" t="s">
        <v>705</v>
      </c>
    </row>
    <row r="89" ht="15.75">
      <c r="A89" s="509" t="s">
        <v>708</v>
      </c>
    </row>
    <row r="91" ht="15.75">
      <c r="A91" s="349" t="s">
        <v>931</v>
      </c>
    </row>
    <row r="92" ht="37.5" customHeight="1">
      <c r="A92" s="316" t="s">
        <v>583</v>
      </c>
    </row>
    <row r="93" ht="15.75" customHeight="1"/>
    <row r="94" ht="15.75">
      <c r="A94" s="349" t="s">
        <v>932</v>
      </c>
    </row>
    <row r="95" ht="15.75">
      <c r="A95" s="69" t="s">
        <v>580</v>
      </c>
    </row>
    <row r="96" ht="15.75">
      <c r="A96" s="69" t="s">
        <v>581</v>
      </c>
    </row>
    <row r="97" ht="15.75">
      <c r="A97" s="69" t="s">
        <v>582</v>
      </c>
    </row>
    <row r="99" ht="15.75">
      <c r="A99" s="352" t="s">
        <v>933</v>
      </c>
    </row>
    <row r="100" ht="15.75">
      <c r="A100" s="69" t="s">
        <v>579</v>
      </c>
    </row>
    <row r="102" ht="15.75">
      <c r="A102" s="349" t="s">
        <v>934</v>
      </c>
    </row>
    <row r="103" ht="15.75">
      <c r="A103" s="350" t="s">
        <v>559</v>
      </c>
    </row>
    <row r="104" ht="15.75">
      <c r="A104" s="350" t="s">
        <v>560</v>
      </c>
    </row>
    <row r="105" ht="15.75">
      <c r="A105" s="350" t="s">
        <v>561</v>
      </c>
    </row>
    <row r="106" ht="15.75">
      <c r="A106" s="348" t="s">
        <v>562</v>
      </c>
    </row>
    <row r="108" ht="15.75">
      <c r="A108" s="327" t="s">
        <v>935</v>
      </c>
    </row>
    <row r="109" ht="15.75">
      <c r="A109" s="69" t="s">
        <v>289</v>
      </c>
    </row>
    <row r="110" ht="15.75">
      <c r="A110" s="69" t="s">
        <v>290</v>
      </c>
    </row>
    <row r="111" ht="15.75">
      <c r="A111" s="69" t="s">
        <v>291</v>
      </c>
    </row>
    <row r="112" ht="15.75">
      <c r="A112" s="69" t="s">
        <v>292</v>
      </c>
    </row>
    <row r="113" ht="15.75">
      <c r="A113" s="69" t="s">
        <v>293</v>
      </c>
    </row>
    <row r="114" ht="15.75">
      <c r="A114" s="69" t="s">
        <v>294</v>
      </c>
    </row>
    <row r="115" ht="15.75">
      <c r="A115" s="69" t="s">
        <v>309</v>
      </c>
    </row>
    <row r="116" ht="15.75">
      <c r="A116" s="69" t="s">
        <v>310</v>
      </c>
    </row>
    <row r="117" ht="15.75">
      <c r="A117" s="69" t="s">
        <v>311</v>
      </c>
    </row>
    <row r="118" ht="15.75">
      <c r="A118" s="69" t="s">
        <v>312</v>
      </c>
    </row>
    <row r="119" ht="15.75">
      <c r="A119" s="69" t="s">
        <v>327</v>
      </c>
    </row>
    <row r="120" ht="31.5">
      <c r="A120" s="316" t="s">
        <v>328</v>
      </c>
    </row>
    <row r="121" ht="15.75">
      <c r="A121" s="316" t="s">
        <v>337</v>
      </c>
    </row>
    <row r="122" ht="15.75">
      <c r="A122" s="329" t="s">
        <v>340</v>
      </c>
    </row>
    <row r="123" ht="15.75">
      <c r="A123" s="330" t="s">
        <v>341</v>
      </c>
    </row>
    <row r="125" ht="15.75">
      <c r="A125" s="327" t="s">
        <v>936</v>
      </c>
    </row>
    <row r="126" ht="15.75">
      <c r="A126" s="69" t="s">
        <v>284</v>
      </c>
    </row>
    <row r="127" ht="15.75">
      <c r="A127" s="69" t="s">
        <v>285</v>
      </c>
    </row>
    <row r="129" ht="15.75">
      <c r="A129" s="327" t="s">
        <v>937</v>
      </c>
    </row>
    <row r="130" ht="15.75">
      <c r="A130" s="69" t="s">
        <v>283</v>
      </c>
    </row>
    <row r="132" ht="15.75">
      <c r="A132" s="327" t="s">
        <v>938</v>
      </c>
    </row>
    <row r="133" ht="15.75">
      <c r="A133" s="69" t="s">
        <v>282</v>
      </c>
    </row>
    <row r="135" ht="15.75">
      <c r="A135" s="327" t="s">
        <v>279</v>
      </c>
    </row>
    <row r="136" ht="15.75">
      <c r="A136" s="69" t="s">
        <v>280</v>
      </c>
    </row>
    <row r="137" ht="15.75">
      <c r="A137" s="69" t="s">
        <v>281</v>
      </c>
    </row>
    <row r="139" ht="15.75">
      <c r="A139" s="69" t="s">
        <v>275</v>
      </c>
    </row>
    <row r="140" ht="15.75">
      <c r="A140" s="69" t="s">
        <v>276</v>
      </c>
    </row>
    <row r="141" ht="15.75">
      <c r="A141" s="69" t="s">
        <v>277</v>
      </c>
    </row>
    <row r="142" ht="15.75">
      <c r="A142" s="69" t="s">
        <v>278</v>
      </c>
    </row>
    <row r="144" ht="15.75">
      <c r="A144" s="69" t="s">
        <v>271</v>
      </c>
    </row>
    <row r="145" ht="15.75">
      <c r="A145" s="69" t="s">
        <v>272</v>
      </c>
    </row>
    <row r="146" ht="15.75">
      <c r="A146" s="69" t="s">
        <v>273</v>
      </c>
    </row>
    <row r="148" ht="15.75">
      <c r="A148" s="69" t="s">
        <v>269</v>
      </c>
    </row>
    <row r="149" ht="34.5" customHeight="1">
      <c r="A149" s="69" t="s">
        <v>270</v>
      </c>
    </row>
    <row r="151" ht="15.75">
      <c r="A151" s="69" t="s">
        <v>224</v>
      </c>
    </row>
    <row r="152" ht="15.75">
      <c r="A152" s="69" t="s">
        <v>225</v>
      </c>
    </row>
    <row r="153" ht="31.5">
      <c r="A153" s="316" t="s">
        <v>241</v>
      </c>
    </row>
    <row r="154" ht="15.75">
      <c r="A154" s="69" t="s">
        <v>226</v>
      </c>
    </row>
    <row r="155" ht="15.75">
      <c r="A155" s="69" t="s">
        <v>227</v>
      </c>
    </row>
    <row r="156" ht="15.75">
      <c r="A156" s="69" t="s">
        <v>228</v>
      </c>
    </row>
    <row r="157" ht="15.75">
      <c r="A157" s="69" t="s">
        <v>229</v>
      </c>
    </row>
    <row r="158" ht="31.5">
      <c r="A158" s="316" t="s">
        <v>209</v>
      </c>
    </row>
    <row r="159" ht="31.5">
      <c r="A159" s="316" t="s">
        <v>237</v>
      </c>
    </row>
    <row r="160" ht="31.5">
      <c r="A160" s="316" t="s">
        <v>230</v>
      </c>
    </row>
    <row r="161" ht="15.75">
      <c r="A161" s="316" t="s">
        <v>231</v>
      </c>
    </row>
    <row r="162" ht="31.5">
      <c r="A162" s="316" t="s">
        <v>232</v>
      </c>
    </row>
    <row r="163" ht="33.75" customHeight="1">
      <c r="A163" s="69" t="s">
        <v>233</v>
      </c>
    </row>
    <row r="164" ht="26.25" customHeight="1">
      <c r="A164" s="69" t="s">
        <v>234</v>
      </c>
    </row>
    <row r="165" ht="33.75" customHeight="1">
      <c r="A165" s="69" t="s">
        <v>235</v>
      </c>
    </row>
    <row r="166" ht="30.75" customHeight="1">
      <c r="A166" s="69" t="s">
        <v>240</v>
      </c>
    </row>
    <row r="167" ht="21" customHeight="1">
      <c r="A167" s="316" t="s">
        <v>238</v>
      </c>
    </row>
    <row r="168" ht="38.25" customHeight="1">
      <c r="A168" s="316" t="s">
        <v>203</v>
      </c>
    </row>
    <row r="169" ht="33.75" customHeight="1">
      <c r="A169" s="316" t="s">
        <v>210</v>
      </c>
    </row>
    <row r="170" ht="33.75" customHeight="1">
      <c r="A170" s="316" t="s">
        <v>204</v>
      </c>
    </row>
    <row r="171" ht="33.75" customHeight="1">
      <c r="A171" s="316" t="s">
        <v>205</v>
      </c>
    </row>
    <row r="172" ht="33.75" customHeight="1">
      <c r="A172" s="316" t="s">
        <v>206</v>
      </c>
    </row>
    <row r="173" ht="31.5">
      <c r="A173" s="316" t="s">
        <v>207</v>
      </c>
    </row>
    <row r="174" ht="31.5">
      <c r="A174" s="316" t="s">
        <v>211</v>
      </c>
    </row>
    <row r="175" ht="31.5">
      <c r="A175" s="316" t="s">
        <v>208</v>
      </c>
    </row>
    <row r="176" ht="31.5">
      <c r="A176" s="316" t="s">
        <v>212</v>
      </c>
    </row>
    <row r="177" ht="15.75">
      <c r="A177" s="316" t="s">
        <v>218</v>
      </c>
    </row>
    <row r="179" ht="15.75">
      <c r="A179" s="69" t="s">
        <v>162</v>
      </c>
    </row>
    <row r="180" ht="47.25">
      <c r="A180" s="316" t="s">
        <v>213</v>
      </c>
    </row>
    <row r="181" ht="15.75">
      <c r="A181" s="69" t="s">
        <v>163</v>
      </c>
    </row>
    <row r="182" ht="15.75">
      <c r="A182" s="69" t="s">
        <v>167</v>
      </c>
    </row>
    <row r="183" ht="15.75">
      <c r="A183" s="69" t="s">
        <v>168</v>
      </c>
    </row>
    <row r="184" ht="15.75">
      <c r="A184" s="69" t="s">
        <v>164</v>
      </c>
    </row>
    <row r="185" ht="15.75">
      <c r="A185" s="69" t="s">
        <v>165</v>
      </c>
    </row>
    <row r="186" ht="15.75">
      <c r="A186" s="69" t="s">
        <v>166</v>
      </c>
    </row>
    <row r="187" ht="15.75">
      <c r="A187" s="316" t="s">
        <v>169</v>
      </c>
    </row>
    <row r="188" ht="15.75">
      <c r="A188" s="69" t="s">
        <v>170</v>
      </c>
    </row>
    <row r="189" ht="15.75">
      <c r="A189" s="69" t="s">
        <v>171</v>
      </c>
    </row>
    <row r="190" ht="15.75">
      <c r="A190" s="69" t="s">
        <v>214</v>
      </c>
    </row>
    <row r="191" ht="15.75">
      <c r="A191" s="69" t="s">
        <v>172</v>
      </c>
    </row>
    <row r="192" ht="15.75">
      <c r="A192" s="69" t="s">
        <v>215</v>
      </c>
    </row>
    <row r="193" ht="15.75">
      <c r="A193" s="69" t="s">
        <v>173</v>
      </c>
    </row>
    <row r="194" ht="15.75">
      <c r="A194" s="69" t="s">
        <v>216</v>
      </c>
    </row>
    <row r="195" ht="15.75">
      <c r="A195" s="69" t="s">
        <v>174</v>
      </c>
    </row>
    <row r="196" ht="15.75">
      <c r="A196" s="69" t="s">
        <v>178</v>
      </c>
    </row>
    <row r="197" ht="15.75">
      <c r="A197" s="69" t="s">
        <v>217</v>
      </c>
    </row>
    <row r="198" ht="15.75">
      <c r="A198" s="69" t="s">
        <v>193</v>
      </c>
    </row>
    <row r="199" ht="15.75">
      <c r="A199" s="69" t="s">
        <v>194</v>
      </c>
    </row>
    <row r="200" ht="15.75">
      <c r="A200" s="69" t="s">
        <v>195</v>
      </c>
    </row>
    <row r="201" ht="15.75">
      <c r="A201" s="69" t="s">
        <v>179</v>
      </c>
    </row>
    <row r="202" ht="15.75">
      <c r="A202" s="69" t="s">
        <v>180</v>
      </c>
    </row>
    <row r="203" ht="15.75">
      <c r="A203" s="69" t="s">
        <v>181</v>
      </c>
    </row>
    <row r="204" ht="15.75">
      <c r="A204" s="69" t="s">
        <v>190</v>
      </c>
    </row>
    <row r="205" ht="15.75">
      <c r="A205" s="69" t="s">
        <v>191</v>
      </c>
    </row>
    <row r="206" ht="15.75">
      <c r="A206" s="69" t="s">
        <v>192</v>
      </c>
    </row>
    <row r="207" ht="15.75">
      <c r="A207" s="69" t="s">
        <v>202</v>
      </c>
    </row>
    <row r="208" ht="15.75">
      <c r="A208"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946</v>
      </c>
      <c r="C4" s="683"/>
      <c r="J4" s="684" t="s">
        <v>801</v>
      </c>
    </row>
    <row r="5" spans="1:10" ht="15.75">
      <c r="A5" s="449"/>
      <c r="B5" s="683"/>
      <c r="J5" s="684" t="s">
        <v>802</v>
      </c>
    </row>
    <row r="6" spans="1:10" ht="15.75">
      <c r="A6" s="449" t="s">
        <v>797</v>
      </c>
      <c r="B6" s="724" t="s">
        <v>947</v>
      </c>
      <c r="J6" s="684" t="s">
        <v>803</v>
      </c>
    </row>
    <row r="7" spans="1:10" ht="15.75">
      <c r="A7" s="335"/>
      <c r="B7" s="335"/>
      <c r="C7" s="335"/>
      <c r="D7" s="337"/>
      <c r="E7" s="335"/>
      <c r="F7" s="335"/>
      <c r="J7" s="684" t="s">
        <v>804</v>
      </c>
    </row>
    <row r="8" spans="1:10" ht="15.75">
      <c r="A8" s="336" t="s">
        <v>343</v>
      </c>
      <c r="B8" s="724" t="s">
        <v>949</v>
      </c>
      <c r="C8" s="338"/>
      <c r="D8" s="336" t="s">
        <v>795</v>
      </c>
      <c r="E8" s="335"/>
      <c r="F8" s="335"/>
      <c r="J8" s="684" t="s">
        <v>805</v>
      </c>
    </row>
    <row r="9" spans="1:10" ht="15.75">
      <c r="A9" s="336"/>
      <c r="B9" s="339"/>
      <c r="C9" s="340"/>
      <c r="D9" s="336" t="e">
        <f>IF(B8="","",CONCATENATE("Latest date for notice to be published in your newspaper: ",G19," ",G23,", ",G24))</f>
        <v>#VALUE!</v>
      </c>
      <c r="E9" s="335"/>
      <c r="F9" s="335"/>
      <c r="J9" s="684" t="s">
        <v>806</v>
      </c>
    </row>
    <row r="10" spans="1:10" ht="15.75">
      <c r="A10" s="336" t="s">
        <v>344</v>
      </c>
      <c r="B10" s="724" t="s">
        <v>948</v>
      </c>
      <c r="C10" s="341"/>
      <c r="D10" s="336"/>
      <c r="E10" s="335"/>
      <c r="F10" s="335"/>
      <c r="J10" s="684" t="s">
        <v>807</v>
      </c>
    </row>
    <row r="11" spans="1:10" ht="15.75">
      <c r="A11" s="336"/>
      <c r="B11" s="336"/>
      <c r="C11" s="336"/>
      <c r="D11" s="336"/>
      <c r="E11" s="335"/>
      <c r="F11" s="335"/>
      <c r="J11" s="684" t="s">
        <v>808</v>
      </c>
    </row>
    <row r="12" spans="1:10" ht="15.75">
      <c r="A12" s="336" t="s">
        <v>345</v>
      </c>
      <c r="B12" s="725" t="s">
        <v>950</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951</v>
      </c>
      <c r="C15" s="726"/>
      <c r="D15" s="726"/>
      <c r="E15" s="727"/>
      <c r="F15" s="335"/>
    </row>
    <row r="18" spans="1:6" ht="15.75">
      <c r="A18" s="795" t="s">
        <v>347</v>
      </c>
      <c r="B18" s="795"/>
      <c r="C18" s="336"/>
      <c r="D18" s="336"/>
      <c r="E18" s="336"/>
      <c r="F18" s="335"/>
    </row>
    <row r="19" spans="1:7" ht="15.75">
      <c r="A19" s="336"/>
      <c r="B19" s="336"/>
      <c r="C19" s="336"/>
      <c r="D19" s="336"/>
      <c r="E19" s="336"/>
      <c r="F19" s="335"/>
      <c r="G19" s="684" t="e">
        <f ca="1">IF(B8="","",INDIRECT(G20))</f>
        <v>#VALUE!</v>
      </c>
    </row>
    <row r="20" spans="1:7" ht="15.75">
      <c r="A20" s="336" t="s">
        <v>343</v>
      </c>
      <c r="B20" s="339" t="s">
        <v>348</v>
      </c>
      <c r="C20" s="336"/>
      <c r="D20" s="336"/>
      <c r="E20" s="336"/>
      <c r="G20" s="685" t="e">
        <f>IF(B8="","",CONCATENATE("J",G22))</f>
        <v>#VALUE!</v>
      </c>
    </row>
    <row r="21" spans="1:7" ht="15.75">
      <c r="A21" s="336"/>
      <c r="B21" s="336"/>
      <c r="C21" s="336"/>
      <c r="D21" s="336"/>
      <c r="E21" s="336"/>
      <c r="G21" s="686" t="e">
        <f>B8-10</f>
        <v>#VALUE!</v>
      </c>
    </row>
    <row r="22" spans="1:7" ht="15.75">
      <c r="A22" s="336" t="s">
        <v>344</v>
      </c>
      <c r="B22" s="336" t="s">
        <v>349</v>
      </c>
      <c r="C22" s="336"/>
      <c r="D22" s="336"/>
      <c r="E22" s="336"/>
      <c r="G22" s="687" t="e">
        <f>IF(B8="","",MONTH(G21))</f>
        <v>#VALUE!</v>
      </c>
    </row>
    <row r="23" spans="1:7" ht="15.75">
      <c r="A23" s="336"/>
      <c r="B23" s="336"/>
      <c r="C23" s="336"/>
      <c r="D23" s="336"/>
      <c r="E23" s="336"/>
      <c r="G23" s="688" t="e">
        <f>IF(B8="","",DAY(G21))</f>
        <v>#VALUE!</v>
      </c>
    </row>
    <row r="24" spans="1:7" ht="15.75">
      <c r="A24" s="336" t="s">
        <v>345</v>
      </c>
      <c r="B24" s="336" t="s">
        <v>351</v>
      </c>
      <c r="C24" s="336"/>
      <c r="D24" s="336"/>
      <c r="E24" s="336"/>
      <c r="G24" s="689" t="e">
        <f>IF(B8="","",YEAR(G21))</f>
        <v>#VALUE!</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E39" sqref="E3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70</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Sedgwick County, State of Kansas</v>
      </c>
      <c r="C3" s="797"/>
      <c r="D3" s="797"/>
      <c r="E3" s="797"/>
      <c r="F3" s="797"/>
      <c r="G3" s="797"/>
      <c r="H3" s="797"/>
    </row>
    <row r="4" spans="2:7" s="3" customFormat="1" ht="15.75">
      <c r="B4" s="796" t="s">
        <v>129</v>
      </c>
      <c r="C4" s="804"/>
      <c r="D4" s="804"/>
      <c r="E4" s="804"/>
      <c r="F4" s="804"/>
      <c r="G4" s="804"/>
    </row>
    <row r="5" spans="2:7" s="3" customFormat="1" ht="15.75">
      <c r="B5" s="805" t="str">
        <f>inputPrYr!D2</f>
        <v>Erie Township</v>
      </c>
      <c r="C5" s="804"/>
      <c r="D5" s="804"/>
      <c r="E5" s="804"/>
      <c r="F5" s="804"/>
      <c r="G5" s="804"/>
    </row>
    <row r="6" spans="2:7" s="3" customFormat="1" ht="15.75">
      <c r="B6" s="815" t="s">
        <v>127</v>
      </c>
      <c r="C6" s="797"/>
      <c r="D6" s="797"/>
      <c r="E6" s="797"/>
      <c r="F6" s="797"/>
      <c r="G6" s="797"/>
    </row>
    <row r="7" spans="2:7" s="3" customFormat="1" ht="15.75" customHeight="1">
      <c r="B7" s="796" t="s">
        <v>128</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252</v>
      </c>
      <c r="F12" s="809" t="str">
        <f>CONCATENATE("Amount of ",H1-1," Ad Valorem Tax")</f>
        <v>Amount of 2014 Ad Valorem Tax</v>
      </c>
      <c r="G12" s="12" t="s">
        <v>253</v>
      </c>
    </row>
    <row r="13" spans="4:7" s="3" customFormat="1" ht="15.75">
      <c r="D13" s="12" t="s">
        <v>254</v>
      </c>
      <c r="E13" s="497" t="s">
        <v>183</v>
      </c>
      <c r="F13" s="810"/>
      <c r="G13" s="145" t="s">
        <v>255</v>
      </c>
    </row>
    <row r="14" spans="2:7" s="3" customFormat="1" ht="15.75">
      <c r="B14" s="60" t="s">
        <v>256</v>
      </c>
      <c r="C14" s="9"/>
      <c r="D14" s="15" t="s">
        <v>257</v>
      </c>
      <c r="E14" s="498" t="s">
        <v>682</v>
      </c>
      <c r="F14" s="811"/>
      <c r="G14" s="15" t="s">
        <v>259</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793</v>
      </c>
      <c r="C16" s="17"/>
      <c r="D16" s="150">
        <v>3</v>
      </c>
      <c r="E16" s="8"/>
      <c r="F16" s="8"/>
      <c r="G16" s="245"/>
    </row>
    <row r="17" spans="2:7" s="3" customFormat="1" ht="15.75">
      <c r="B17" s="53" t="s">
        <v>144</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260</v>
      </c>
      <c r="C20" s="135" t="s">
        <v>261</v>
      </c>
      <c r="D20" s="168"/>
      <c r="G20" s="247"/>
    </row>
    <row r="21" spans="2:7" s="3" customFormat="1" ht="15.75">
      <c r="B21" s="74" t="str">
        <f>inputPrYr!B16</f>
        <v>General</v>
      </c>
      <c r="C21" s="248" t="str">
        <f>inputPrYr!C16</f>
        <v>79-1962</v>
      </c>
      <c r="D21" s="249">
        <f>IF(gen!C61&gt;0,gen!C61,"  ")</f>
        <v>6</v>
      </c>
      <c r="E21" s="695" t="str">
        <f>IF(gen!$E$50&lt;&gt;0,gen!$E$50,"  ")</f>
        <v>  </v>
      </c>
      <c r="F21" s="695">
        <f>IF(gen!$E$57&lt;&gt;0,gen!$E$57,0)</f>
        <v>0</v>
      </c>
      <c r="G21" s="696" t="str">
        <f>IF(AND(gen!E57=0,$C$40&gt;=0)," ",IF(AND(F21&gt;0,$C$40=0)," ",IF(AND(F21&gt;0,$C$40&gt;0),ROUND(F21/$C$40*1000,3))))</f>
        <v> </v>
      </c>
    </row>
    <row r="22" spans="2:7" s="3" customFormat="1" ht="15.7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6</v>
      </c>
      <c r="E24" s="695">
        <f>IF(road!$E$43&lt;&gt;0,road!$E$43,"  ")</f>
        <v>74528</v>
      </c>
      <c r="F24" s="695">
        <f>IF(road!$E$50&lt;&gt;0,road!$E$50,"  ")</f>
        <v>38744.07000000001</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262</v>
      </c>
      <c r="C34" s="251"/>
      <c r="D34" s="252">
        <f>IF(road!C67&gt;0,road!C67,"  ")</f>
        <v>6</v>
      </c>
      <c r="E34" s="225"/>
      <c r="F34" s="225"/>
      <c r="G34" s="696"/>
    </row>
    <row r="35" spans="2:7" s="3" customFormat="1" ht="16.5" thickBot="1">
      <c r="B35" s="254" t="s">
        <v>263</v>
      </c>
      <c r="C35" s="255"/>
      <c r="D35" s="148" t="s">
        <v>264</v>
      </c>
      <c r="E35" s="697">
        <f>SUM(E21:E30)</f>
        <v>74528</v>
      </c>
      <c r="F35" s="697">
        <f>SUM(F21:F30)</f>
        <v>38744.07000000001</v>
      </c>
      <c r="G35" s="698">
        <f>IF(SUM(G21:G30)&gt;0,SUM(G21:G30),"")</f>
      </c>
    </row>
    <row r="36" spans="2:4" s="3" customFormat="1" ht="16.5" thickTop="1">
      <c r="B36" s="16" t="s">
        <v>143</v>
      </c>
      <c r="C36" s="247"/>
      <c r="D36" s="252">
        <f>summ!D49</f>
        <v>7</v>
      </c>
    </row>
    <row r="37" spans="2:6" s="3" customFormat="1" ht="15.75">
      <c r="B37" s="737" t="s">
        <v>189</v>
      </c>
      <c r="C37" s="244"/>
      <c r="D37" s="736">
        <f>IF(nhood!C38&gt;0,nhood!C38,"")</f>
      </c>
      <c r="E37" s="738" t="s">
        <v>896</v>
      </c>
      <c r="F37" s="256" t="str">
        <f>IF(F35&gt;1000,IF(F35&gt;computation!J41,"Yes","No"),"No")</f>
        <v>No</v>
      </c>
    </row>
    <row r="38" spans="2:6" s="3" customFormat="1" ht="15.75">
      <c r="B38" s="278"/>
      <c r="C38" s="255"/>
      <c r="D38" s="735"/>
      <c r="E38" s="257"/>
      <c r="F38" s="258"/>
    </row>
    <row r="39" spans="2:7" s="3" customFormat="1" ht="15.75">
      <c r="B39" s="53" t="s">
        <v>97</v>
      </c>
      <c r="C39" s="798" t="s">
        <v>114</v>
      </c>
      <c r="D39" s="799"/>
      <c r="E39" s="259"/>
      <c r="G39" s="11" t="s">
        <v>265</v>
      </c>
    </row>
    <row r="40" spans="2:7" s="3" customFormat="1" ht="15.75">
      <c r="B40" s="16" t="s">
        <v>98</v>
      </c>
      <c r="C40" s="800"/>
      <c r="D40" s="801"/>
      <c r="E40" s="260"/>
      <c r="G40" s="11"/>
    </row>
    <row r="41" spans="2:7" s="3" customFormat="1" ht="15.75">
      <c r="B41" s="261"/>
      <c r="C41" s="802" t="str">
        <f>CONCATENATE("Nov. 1, ",H1-1," Valuation")</f>
        <v>Nov. 1, 2014 Valuation</v>
      </c>
      <c r="D41" s="803"/>
      <c r="E41" s="259"/>
      <c r="G41" s="11"/>
    </row>
    <row r="42" spans="2:7" s="3" customFormat="1" ht="15.75">
      <c r="B42" s="261" t="s">
        <v>266</v>
      </c>
      <c r="E42" s="8"/>
      <c r="G42" s="11"/>
    </row>
    <row r="43" spans="2:7" s="3" customFormat="1" ht="15.75">
      <c r="B43" s="262"/>
      <c r="C43" s="262"/>
      <c r="E43" s="699" t="s">
        <v>810</v>
      </c>
      <c r="F43" s="699"/>
      <c r="G43" s="699"/>
    </row>
    <row r="44" spans="2:7" s="3" customFormat="1" ht="15.75">
      <c r="B44" s="263"/>
      <c r="C44" s="263"/>
      <c r="E44" s="700"/>
      <c r="F44" s="700"/>
      <c r="G44" s="700"/>
    </row>
    <row r="45" spans="2:7" s="3" customFormat="1" ht="15.75">
      <c r="B45" s="261" t="s">
        <v>122</v>
      </c>
      <c r="E45" s="699" t="s">
        <v>810</v>
      </c>
      <c r="F45" s="699"/>
      <c r="G45" s="699"/>
    </row>
    <row r="46" spans="2:7" s="3" customFormat="1" ht="15.75">
      <c r="B46" s="262"/>
      <c r="C46" s="262"/>
      <c r="D46" s="11"/>
      <c r="E46" s="699"/>
      <c r="F46" s="699"/>
      <c r="G46" s="699"/>
    </row>
    <row r="47" spans="2:7" s="3" customFormat="1" ht="15.75">
      <c r="B47" s="263"/>
      <c r="C47" s="263"/>
      <c r="D47" s="11"/>
      <c r="E47" s="699" t="s">
        <v>810</v>
      </c>
      <c r="F47" s="701"/>
      <c r="G47" s="701"/>
    </row>
    <row r="48" spans="2:8" ht="15.75">
      <c r="B48" s="261" t="s">
        <v>794</v>
      </c>
      <c r="C48" s="3"/>
      <c r="D48" s="11"/>
      <c r="E48" s="702"/>
      <c r="F48" s="699"/>
      <c r="G48" s="699"/>
      <c r="H48" s="79"/>
    </row>
    <row r="49" spans="2:8" ht="15.75">
      <c r="B49" s="262"/>
      <c r="C49" s="262"/>
      <c r="D49" s="11"/>
      <c r="E49" s="699" t="s">
        <v>810</v>
      </c>
      <c r="F49" s="701"/>
      <c r="G49" s="701"/>
      <c r="H49" s="79"/>
    </row>
    <row r="50" spans="2:8" ht="15.75">
      <c r="B50" s="55"/>
      <c r="C50" s="3"/>
      <c r="D50" s="11"/>
      <c r="E50" s="702"/>
      <c r="F50" s="699"/>
      <c r="G50" s="699"/>
      <c r="H50" s="79"/>
    </row>
    <row r="51" spans="2:8" ht="15.75">
      <c r="B51" s="506" t="s">
        <v>126</v>
      </c>
      <c r="C51" s="266">
        <f>H1-1</f>
        <v>2014</v>
      </c>
      <c r="D51" s="11"/>
      <c r="E51" s="699" t="s">
        <v>810</v>
      </c>
      <c r="F51" s="701"/>
      <c r="G51" s="701"/>
      <c r="H51" s="79"/>
    </row>
    <row r="52" spans="2:8" ht="15.75">
      <c r="B52" s="3"/>
      <c r="C52" s="3"/>
      <c r="D52" s="3"/>
      <c r="E52" s="699"/>
      <c r="F52" s="702"/>
      <c r="G52" s="699"/>
      <c r="H52" s="79"/>
    </row>
    <row r="53" spans="2:8" ht="15.75">
      <c r="B53" s="496"/>
      <c r="C53" s="3"/>
      <c r="D53" s="3"/>
      <c r="E53" s="699" t="s">
        <v>810</v>
      </c>
      <c r="F53" s="699"/>
      <c r="G53" s="699"/>
      <c r="H53" s="79"/>
    </row>
    <row r="54" spans="2:7" ht="15.75">
      <c r="B54" s="38" t="s">
        <v>268</v>
      </c>
      <c r="C54" s="3"/>
      <c r="D54" s="3"/>
      <c r="E54" s="806" t="s">
        <v>267</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2">
      <selection activeCell="P107" sqref="P107"/>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Erie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36552</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905</v>
      </c>
      <c r="C7" s="3"/>
      <c r="D7" s="3"/>
      <c r="E7" s="44"/>
      <c r="F7" s="44"/>
      <c r="G7" s="44"/>
      <c r="H7" s="44"/>
      <c r="I7" s="44" t="s">
        <v>2</v>
      </c>
      <c r="J7" s="238">
        <f>J5-J6</f>
        <v>36552</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71948</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84397</v>
      </c>
      <c r="F14" s="235"/>
      <c r="G14" s="44"/>
      <c r="H14" s="44"/>
      <c r="I14" s="42"/>
      <c r="J14" s="44"/>
    </row>
    <row r="15" spans="1:10" ht="15.75">
      <c r="A15" s="234"/>
      <c r="B15" s="3" t="s">
        <v>87</v>
      </c>
      <c r="C15" s="3" t="str">
        <f>CONCATENATE("Personal property ",J1-2,"")</f>
        <v>Personal property 2013</v>
      </c>
      <c r="D15" s="234" t="s">
        <v>82</v>
      </c>
      <c r="E15" s="238">
        <f>inputOth!E11</f>
        <v>90627</v>
      </c>
      <c r="F15" s="235"/>
      <c r="G15" s="42"/>
      <c r="H15" s="42"/>
      <c r="I15" s="44"/>
      <c r="J15" s="44"/>
    </row>
    <row r="16" spans="1:10" ht="15.75">
      <c r="A16" s="234"/>
      <c r="B16" s="3" t="s">
        <v>88</v>
      </c>
      <c r="C16" s="3" t="s">
        <v>906</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17225</v>
      </c>
      <c r="H18" s="44"/>
      <c r="I18" s="44"/>
      <c r="J18" s="44"/>
    </row>
    <row r="19" spans="1:10" ht="15.75">
      <c r="A19" s="3" t="s">
        <v>252</v>
      </c>
      <c r="B19" s="3"/>
      <c r="C19" s="3"/>
      <c r="D19" s="234"/>
      <c r="E19" s="42"/>
      <c r="F19" s="42"/>
      <c r="G19" s="42"/>
      <c r="H19" s="44"/>
      <c r="I19" s="44"/>
      <c r="J19" s="44"/>
    </row>
    <row r="20" spans="1:10" ht="15.75">
      <c r="A20" s="234" t="s">
        <v>90</v>
      </c>
      <c r="B20" s="3" t="s">
        <v>907</v>
      </c>
      <c r="C20" s="3"/>
      <c r="D20" s="3"/>
      <c r="E20" s="44"/>
      <c r="F20" s="44"/>
      <c r="G20" s="236">
        <f>G11+G16+G18</f>
        <v>89173</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2071536</v>
      </c>
      <c r="F22" s="44"/>
      <c r="G22" s="44"/>
      <c r="H22" s="44"/>
      <c r="I22" s="235"/>
      <c r="J22" s="44"/>
    </row>
    <row r="23" spans="1:10" ht="15.75">
      <c r="A23" s="234"/>
      <c r="B23" s="234"/>
      <c r="C23" s="3"/>
      <c r="D23" s="3"/>
      <c r="E23" s="42"/>
      <c r="F23" s="44"/>
      <c r="G23" s="44"/>
      <c r="H23" s="44"/>
      <c r="I23" s="235"/>
      <c r="J23" s="44"/>
    </row>
    <row r="24" spans="1:10" ht="15.75">
      <c r="A24" s="234" t="s">
        <v>92</v>
      </c>
      <c r="B24" s="3" t="s">
        <v>908</v>
      </c>
      <c r="C24" s="3"/>
      <c r="D24" s="3"/>
      <c r="E24" s="44"/>
      <c r="F24" s="44"/>
      <c r="G24" s="236">
        <f>E22-G20</f>
        <v>1982363</v>
      </c>
      <c r="H24" s="42"/>
      <c r="I24" s="235"/>
      <c r="J24" s="44"/>
    </row>
    <row r="25" spans="1:10" ht="15.75">
      <c r="A25" s="234"/>
      <c r="B25" s="234"/>
      <c r="C25" s="3"/>
      <c r="D25" s="3"/>
      <c r="E25" s="3"/>
      <c r="F25" s="3"/>
      <c r="G25" s="239"/>
      <c r="H25" s="8"/>
      <c r="I25" s="234"/>
      <c r="J25" s="3"/>
    </row>
    <row r="26" spans="1:10" ht="15.75">
      <c r="A26" s="234" t="s">
        <v>93</v>
      </c>
      <c r="B26" s="3" t="s">
        <v>909</v>
      </c>
      <c r="C26" s="3"/>
      <c r="D26" s="3"/>
      <c r="E26" s="3"/>
      <c r="F26" s="3"/>
      <c r="G26" s="240">
        <f>IF(G20&gt;0,G20/G24,0)</f>
        <v>0.04498318420995549</v>
      </c>
      <c r="H26" s="8"/>
      <c r="I26" s="3"/>
      <c r="J26" s="3"/>
    </row>
    <row r="27" spans="1:10" ht="15.75">
      <c r="A27" s="234"/>
      <c r="B27" s="234"/>
      <c r="C27" s="3"/>
      <c r="D27" s="3"/>
      <c r="E27" s="3"/>
      <c r="F27" s="3"/>
      <c r="G27" s="8"/>
      <c r="H27" s="8"/>
      <c r="I27" s="3"/>
      <c r="J27" s="3"/>
    </row>
    <row r="28" spans="1:10" ht="15.75">
      <c r="A28" s="234" t="s">
        <v>94</v>
      </c>
      <c r="B28" s="3" t="s">
        <v>910</v>
      </c>
      <c r="C28" s="3"/>
      <c r="D28" s="3"/>
      <c r="E28" s="3"/>
      <c r="F28" s="3"/>
      <c r="G28" s="8"/>
      <c r="H28" s="241" t="s">
        <v>15</v>
      </c>
      <c r="I28" s="3" t="s">
        <v>2</v>
      </c>
      <c r="J28" s="236">
        <f>ROUND(G26*J7,0)</f>
        <v>1644</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38196</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38196</v>
      </c>
    </row>
    <row r="35" spans="1:10" ht="16.5" thickTop="1">
      <c r="A35" s="745"/>
      <c r="B35" s="744"/>
      <c r="C35" s="744"/>
      <c r="D35" s="744"/>
      <c r="E35" s="744"/>
      <c r="F35" s="744"/>
      <c r="G35" s="744"/>
      <c r="H35" s="744"/>
      <c r="I35" s="744"/>
      <c r="J35" s="742"/>
    </row>
    <row r="36" spans="1:10" ht="15.7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898</v>
      </c>
      <c r="B38" s="744" t="s">
        <v>899</v>
      </c>
      <c r="C38" s="744"/>
      <c r="D38" s="744"/>
      <c r="E38" s="744"/>
      <c r="F38" s="744"/>
      <c r="G38" s="744"/>
      <c r="H38" s="744"/>
      <c r="I38" s="743" t="s">
        <v>2</v>
      </c>
      <c r="J38" s="741">
        <f>J7*J36</f>
        <v>548.28</v>
      </c>
    </row>
    <row r="39" spans="1:10" ht="15.75">
      <c r="A39" s="745"/>
      <c r="B39" s="744"/>
      <c r="C39" s="744"/>
      <c r="D39" s="744"/>
      <c r="E39" s="744"/>
      <c r="F39" s="744"/>
      <c r="G39" s="744"/>
      <c r="H39" s="744"/>
      <c r="I39" s="744"/>
      <c r="J39" s="742"/>
    </row>
    <row r="40" spans="1:10" ht="15.7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901</v>
      </c>
      <c r="C41" s="739"/>
      <c r="D41" s="739"/>
      <c r="E41" s="739"/>
      <c r="F41" s="739"/>
      <c r="G41" s="739"/>
      <c r="H41" s="739"/>
      <c r="I41" s="743" t="s">
        <v>2</v>
      </c>
      <c r="J41" s="746">
        <f>J34+J38</f>
        <v>38744.28</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902</v>
      </c>
      <c r="B45" s="819"/>
      <c r="C45" s="819"/>
      <c r="D45" s="819"/>
      <c r="E45" s="819"/>
      <c r="F45" s="819"/>
      <c r="G45" s="819"/>
      <c r="H45" s="819"/>
      <c r="I45" s="819"/>
      <c r="J45" s="819"/>
    </row>
    <row r="46" spans="1:10" ht="15.75">
      <c r="A46" s="818" t="s">
        <v>903</v>
      </c>
      <c r="B46" s="818"/>
      <c r="C46" s="818"/>
      <c r="D46" s="818"/>
      <c r="E46" s="818"/>
      <c r="F46" s="818"/>
      <c r="G46" s="818"/>
      <c r="H46" s="818"/>
      <c r="I46" s="818"/>
      <c r="J46" s="818"/>
    </row>
    <row r="47" spans="1:10" ht="15.7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P107" sqref="P10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Erie Township</v>
      </c>
      <c r="C1" s="3"/>
      <c r="D1" s="3"/>
      <c r="E1" s="3"/>
      <c r="F1" s="3"/>
      <c r="G1" s="3"/>
      <c r="H1" s="3"/>
      <c r="I1" s="3"/>
      <c r="J1" s="4">
        <f>inputPrYr!D5</f>
        <v>2015</v>
      </c>
      <c r="K1" s="4"/>
      <c r="L1" s="79"/>
    </row>
    <row r="2" spans="2:12" ht="15.75">
      <c r="B2" s="2" t="str">
        <f>inputPrYr!D3</f>
        <v>Sedgwick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726</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111</v>
      </c>
      <c r="K10" s="79"/>
      <c r="L10" s="79"/>
      <c r="M10" s="525"/>
    </row>
    <row r="11" spans="2:13" ht="15.75">
      <c r="B11" s="74" t="str">
        <f>inputPrYr!B16</f>
        <v>General</v>
      </c>
      <c r="C11" s="223"/>
      <c r="D11" s="150" t="str">
        <f>IF(inputPrYr!E16&gt;0,inputPrYr!E16,"  ")</f>
        <v>  </v>
      </c>
      <c r="E11" s="120" t="str">
        <f>IF(inputOth!D17&gt;0,inputOth!D17,"  ")</f>
        <v>  </v>
      </c>
      <c r="F11" s="690"/>
      <c r="G11" s="150">
        <f>IF(inputPrYr!E16=0,0,G23-SUM(G12:G20))</f>
        <v>0</v>
      </c>
      <c r="H11" s="691"/>
      <c r="I11" s="150">
        <f>IF(inputPrYr!E16=0,0,I25-SUM(I12:I20))</f>
        <v>0</v>
      </c>
      <c r="J11" s="150">
        <f>IF(inputPrYr!E16=0,0,J27-SUM(J12:J20))</f>
        <v>0</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36552</v>
      </c>
      <c r="E14" s="120">
        <f>IF(inputOth!D20&gt;0,inputOth!D20,"  ")</f>
        <v>20.017</v>
      </c>
      <c r="F14" s="690"/>
      <c r="G14" s="150">
        <f>IF(inputPrYr!E19=0,0,ROUND(D14*$G$30,0))</f>
        <v>2965</v>
      </c>
      <c r="H14" s="691"/>
      <c r="I14" s="150">
        <f>IF(inputPrYr!$E$19=0,0,ROUND($D$14*$I$32,0))</f>
        <v>40</v>
      </c>
      <c r="J14" s="150">
        <f>IF(inputPrYr!E19=0,0,ROUND($D14*$J$34,0))</f>
        <v>204</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250</v>
      </c>
      <c r="C21" s="226"/>
      <c r="D21" s="692">
        <f>SUM(D11:D20)</f>
        <v>36552</v>
      </c>
      <c r="E21" s="693">
        <f>SUM(E11:E20)</f>
        <v>20.017</v>
      </c>
      <c r="F21" s="694"/>
      <c r="G21" s="692">
        <f>SUM(G11:G20)</f>
        <v>2965</v>
      </c>
      <c r="H21" s="692"/>
      <c r="I21" s="692">
        <f>SUM(I11:I20)</f>
        <v>40</v>
      </c>
      <c r="J21" s="692">
        <f>SUM(J11:J20)</f>
        <v>204</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2965</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40</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204</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0.08111731232217115</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0.001094331363536879</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0.005581089954038083</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107" sqref="P107"/>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Erie Township</v>
      </c>
      <c r="B2" s="77"/>
      <c r="C2" s="3"/>
      <c r="D2" s="3"/>
      <c r="E2" s="41"/>
      <c r="F2" s="3"/>
    </row>
    <row r="3" spans="1:6" ht="15.75">
      <c r="A3" s="2"/>
      <c r="B3" s="77"/>
      <c r="C3" s="3"/>
      <c r="D3" s="3"/>
      <c r="E3" s="41"/>
      <c r="F3" s="3"/>
    </row>
    <row r="4" spans="1:6" ht="15.75">
      <c r="A4" s="2"/>
      <c r="B4" s="3"/>
      <c r="C4" s="3"/>
      <c r="D4" s="3"/>
      <c r="E4" s="41"/>
      <c r="F4" s="3"/>
    </row>
    <row r="5" spans="1:6" ht="15" customHeight="1">
      <c r="A5" s="808" t="s">
        <v>144</v>
      </c>
      <c r="B5" s="808"/>
      <c r="C5" s="808"/>
      <c r="D5" s="808"/>
      <c r="E5" s="808"/>
      <c r="F5" s="808"/>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c r="B10" s="210"/>
      <c r="C10" s="211"/>
      <c r="D10" s="211"/>
      <c r="E10" s="211"/>
      <c r="F10" s="210"/>
    </row>
    <row r="11" spans="1:6" ht="15" customHeight="1">
      <c r="A11" s="62" t="s">
        <v>223</v>
      </c>
      <c r="B11" s="62" t="s">
        <v>262</v>
      </c>
      <c r="C11" s="212">
        <f>gen!$C$43</f>
        <v>0</v>
      </c>
      <c r="D11" s="212">
        <f>gen!$D$43</f>
        <v>0</v>
      </c>
      <c r="E11" s="212">
        <f>gen!$E$43</f>
        <v>0</v>
      </c>
      <c r="F11" s="62">
        <f>IF(C11+D11+E11&gt;0,"80-1406b","")</f>
      </c>
    </row>
    <row r="12" spans="1:6" ht="15" customHeight="1">
      <c r="A12" s="62" t="s">
        <v>223</v>
      </c>
      <c r="B12" s="62" t="s">
        <v>262</v>
      </c>
      <c r="C12" s="212">
        <f>gen!$C$45</f>
        <v>0</v>
      </c>
      <c r="D12" s="212">
        <f>gen!$D$45</f>
        <v>0</v>
      </c>
      <c r="E12" s="212">
        <f>gen!$E$45</f>
        <v>0</v>
      </c>
      <c r="F12" s="62">
        <f>IF(C12+D12+E12&gt;0,"80-122","")</f>
      </c>
    </row>
    <row r="13" spans="1:6" ht="15" customHeight="1">
      <c r="A13" s="62" t="s">
        <v>249</v>
      </c>
      <c r="B13" s="62" t="s">
        <v>262</v>
      </c>
      <c r="C13" s="212">
        <f>road!$C$38</f>
        <v>2512</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250</v>
      </c>
      <c r="C27" s="217">
        <f>SUM(C10:C26)</f>
        <v>2512</v>
      </c>
      <c r="D27" s="217">
        <f>SUM(D10:D26)</f>
        <v>0</v>
      </c>
      <c r="E27" s="217">
        <f>SUM(E10:E26)</f>
        <v>0</v>
      </c>
      <c r="F27" s="118"/>
    </row>
    <row r="28" spans="1:6" ht="15.75">
      <c r="A28" s="118"/>
      <c r="B28" s="216" t="s">
        <v>574</v>
      </c>
      <c r="C28" s="118"/>
      <c r="D28" s="213"/>
      <c r="E28" s="213"/>
      <c r="F28" s="118"/>
    </row>
    <row r="29" spans="1:6" ht="15.75">
      <c r="A29" s="118"/>
      <c r="B29" s="168" t="s">
        <v>152</v>
      </c>
      <c r="C29" s="218">
        <f>C27</f>
        <v>2512</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P107" sqref="P107"/>
    </sheetView>
  </sheetViews>
  <sheetFormatPr defaultColWidth="62.3984375" defaultRowHeight="15.75"/>
  <cols>
    <col min="1" max="16384" width="62.3984375" style="1" customWidth="1"/>
  </cols>
  <sheetData>
    <row r="1" ht="18.7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3">
      <c r="A12" s="456" t="s">
        <v>674</v>
      </c>
    </row>
    <row r="13" ht="15.75">
      <c r="A13" s="154"/>
    </row>
    <row r="14" ht="15.75">
      <c r="A14" s="154"/>
    </row>
    <row r="15" ht="63">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cp:lastModifiedBy>
  <cp:lastPrinted>2014-07-16T16:13:53Z</cp:lastPrinted>
  <dcterms:created xsi:type="dcterms:W3CDTF">1998-08-26T16:30:41Z</dcterms:created>
  <dcterms:modified xsi:type="dcterms:W3CDTF">2014-07-16T16:16:16Z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