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84" windowWidth="12972" windowHeight="8052" tabRatio="843" firstSheet="2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<sst xmlns="http://schemas.openxmlformats.org/spreadsheetml/2006/main" count="1705" uniqueCount="971">
  <si>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</si>
  <si>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</si>
  <si>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</si>
  <si>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</si>
  <si>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</si>
  <si>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</si>
  <si>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</si>
  <si>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</si>
  <si>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</si>
  <si>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</si>
  <si>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</si>
  <si>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</si>
  <si>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</si>
  <si>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</si>
  <si>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</si>
  <si>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</si>
  <si>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</si>
  <si>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</si>
  <si>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</si>
  <si>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</si>
  <si>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</si>
  <si>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</si>
  <si>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</si>
  <si>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</si>
  <si>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</si>
  <si>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</si>
  <si>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</si>
  <si>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</si>
  <si>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</si>
  <si>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</si>
  <si>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</si>
  <si>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</si>
  <si>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</si>
  <si>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</si>
  <si>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</si>
  <si>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</si>
  <si>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</si>
  <si>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</si>
  <si>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</si>
  <si>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</si>
  <si>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</si>
  <si>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</si>
  <si>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</si>
  <si>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</si>
  <si>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</si>
  <si>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</si>
  <si>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</si>
  <si>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</si>
  <si>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</si>
  <si>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</si>
  <si>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</si>
  <si>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</si>
  <si>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</si>
  <si>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</si>
  <si>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</si>
  <si>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</si>
  <si>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</si>
  <si>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</si>
  <si>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</si>
  <si>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</si>
  <si>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</si>
  <si>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</si>
  <si>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</si>
  <si>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</si>
  <si>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</si>
  <si>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</si>
  <si>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</si>
  <si>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</si>
  <si>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</si>
  <si>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</si>
  <si>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</si>
  <si>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</si>
  <si>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</si>
  <si>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</si>
  <si>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</si>
  <si>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</si>
  <si>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</si>
  <si>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</si>
  <si>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</si>
  <si>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</si>
  <si>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</si>
  <si>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</si>
  <si>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</si>
  <si>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</si>
  <si>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</si>
  <si>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</si>
  <si>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</si>
  <si>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</si>
  <si>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</si>
  <si>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</si>
  <si>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</si>
  <si>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</si>
  <si>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</si>
  <si>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</si>
  <si>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</si>
  <si>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</si>
  <si>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</si>
  <si>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</si>
  <si>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</si>
  <si>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</si>
  <si>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</si>
  <si>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</si>
  <si>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</si>
  <si>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</si>
  <si>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</si>
  <si>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</si>
  <si>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</si>
  <si>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</si>
  <si>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</si>
  <si>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</si>
  <si>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</si>
  <si>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</si>
  <si>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</si>
  <si>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</si>
  <si>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</si>
  <si>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</si>
  <si>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</si>
  <si>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</si>
  <si>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</si>
  <si>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</si>
  <si>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</si>
  <si>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</si>
  <si>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</si>
  <si>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</si>
  <si>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</si>
  <si>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</si>
  <si>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</si>
  <si>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</si>
  <si>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</si>
  <si>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</si>
  <si>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</si>
  <si>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</si>
  <si>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</si>
  <si>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</si>
  <si>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</si>
  <si>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</si>
  <si>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</si>
  <si>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</si>
  <si>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</si>
  <si>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</si>
  <si>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</si>
  <si>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</si>
  <si>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</si>
  <si>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</si>
  <si>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</si>
  <si>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</si>
  <si>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</si>
  <si>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</si>
  <si>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</si>
  <si>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</si>
  <si>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</si>
  <si>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</si>
  <si>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</si>
  <si>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</si>
  <si>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</si>
  <si>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</si>
  <si>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</si>
  <si>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</si>
  <si>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</si>
  <si>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</si>
  <si>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</si>
  <si>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</si>
  <si>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</si>
  <si>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</si>
  <si>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</si>
  <si>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</si>
  <si>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</si>
  <si>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</si>
  <si>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</si>
  <si>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</si>
  <si>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</si>
  <si>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</si>
  <si>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</si>
  <si>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</si>
  <si>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</si>
  <si>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</si>
  <si>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</si>
  <si>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</si>
  <si>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</si>
  <si>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</si>
  <si>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</si>
  <si>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</si>
  <si>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</si>
  <si>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</si>
  <si>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</si>
  <si>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</si>
  <si>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</si>
  <si>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</si>
  <si>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</si>
  <si>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</si>
  <si>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</si>
  <si>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</si>
  <si>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</si>
  <si>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</si>
  <si>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</si>
  <si>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</si>
  <si>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</si>
  <si>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</si>
  <si>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</si>
  <si>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</si>
  <si>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</si>
  <si>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</si>
  <si>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</si>
  <si>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</si>
  <si>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</si>
  <si>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</si>
  <si>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</si>
  <si>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</si>
  <si>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</si>
  <si>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</si>
  <si>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</si>
  <si>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</si>
  <si>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</si>
  <si>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</si>
  <si>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</si>
  <si>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</si>
  <si>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</si>
  <si>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</si>
  <si>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</si>
  <si>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</si>
  <si>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</si>
  <si>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</si>
  <si>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</si>
  <si>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</si>
  <si>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</si>
  <si>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</si>
  <si>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</si>
  <si>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</si>
  <si>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</si>
  <si>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</si>
  <si>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</si>
  <si>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</si>
  <si>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</si>
  <si>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</si>
  <si>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</si>
  <si>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</si>
  <si>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</si>
  <si>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</si>
  <si>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</si>
  <si>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</si>
  <si>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</si>
  <si>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</si>
  <si>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</si>
  <si>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</si>
  <si>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</si>
  <si>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</si>
  <si>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</si>
  <si>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</si>
  <si>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</si>
  <si>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</si>
  <si>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</si>
  <si>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</si>
  <si>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</si>
  <si>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</si>
  <si>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</si>
  <si>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</si>
  <si>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</si>
  <si>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</si>
  <si>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</si>
  <si>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</si>
  <si>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</si>
  <si>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</si>
  <si>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</si>
  <si>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</si>
  <si>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</si>
  <si>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</si>
  <si>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</si>
  <si>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</si>
  <si>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</si>
  <si>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</si>
  <si>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</si>
  <si>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</si>
  <si>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</si>
  <si>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</si>
  <si>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</si>
  <si>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</si>
  <si>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</si>
  <si>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</si>
  <si>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</si>
  <si>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</si>
  <si>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</si>
  <si>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</si>
  <si>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</si>
  <si>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</si>
  <si>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</si>
  <si>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</si>
  <si>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</si>
  <si>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</si>
  <si>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</si>
  <si>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</si>
  <si>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</si>
  <si>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</si>
  <si>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</si>
  <si>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</si>
  <si>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</si>
  <si>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</si>
  <si>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</si>
  <si>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</si>
  <si>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</si>
  <si>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</si>
  <si>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</si>
  <si>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</si>
  <si>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</si>
  <si>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</si>
  <si>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</si>
  <si>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</si>
  <si>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</si>
  <si>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</si>
  <si>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</si>
  <si>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</si>
  <si>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</si>
  <si>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</si>
  <si>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</si>
  <si>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</si>
  <si>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</si>
  <si>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</si>
  <si>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</si>
  <si>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</si>
  <si>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</si>
  <si>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</si>
  <si>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</si>
  <si>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</si>
  <si>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</si>
  <si>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</si>
  <si>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</si>
  <si>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</si>
  <si>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</si>
  <si>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</si>
  <si>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</si>
  <si>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</si>
  <si>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</si>
  <si>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</si>
  <si>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</si>
  <si>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</si>
  <si>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</si>
  <si>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</si>
  <si>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</si>
  <si>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</si>
  <si>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</si>
  <si>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</si>
  <si>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</si>
  <si>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</si>
  <si>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</si>
  <si>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</si>
  <si>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</si>
  <si>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</si>
  <si>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</si>
  <si>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</si>
  <si>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</si>
  <si>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</si>
  <si>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</si>
  <si>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</si>
  <si>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</si>
  <si>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</si>
  <si>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</si>
  <si>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</si>
  <si>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</si>
  <si>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</si>
  <si>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</si>
  <si>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</si>
  <si>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</si>
  <si>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</si>
  <si>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</si>
  <si>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</si>
  <si>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</si>
  <si>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</si>
  <si>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</si>
  <si>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</si>
  <si>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</si>
  <si>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</si>
  <si>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</si>
  <si>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</si>
  <si>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</si>
  <si>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</si>
  <si>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</si>
  <si>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</si>
  <si>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</si>
  <si>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</si>
  <si>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</si>
  <si>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</si>
  <si>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</si>
  <si>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</si>
  <si>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</si>
  <si>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</si>
  <si>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</si>
  <si>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</si>
  <si>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</si>
  <si>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</si>
  <si>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</si>
  <si>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</si>
  <si>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</si>
  <si>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</si>
  <si>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</si>
  <si>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</si>
  <si>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</si>
  <si>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</si>
  <si>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</si>
  <si>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</si>
  <si>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</si>
  <si>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</si>
  <si>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</si>
  <si>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</si>
  <si>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</si>
  <si>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</si>
  <si>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</si>
  <si>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</si>
  <si>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</si>
  <si>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</si>
  <si>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</si>
  <si>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</si>
  <si>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</si>
  <si>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</si>
  <si>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</si>
  <si>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</si>
  <si>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</si>
  <si>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</si>
  <si>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</si>
  <si>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</si>
  <si>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</si>
  <si>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</si>
  <si>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</si>
  <si>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</si>
  <si>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</si>
  <si>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</si>
  <si>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</si>
  <si>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</si>
  <si>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</si>
  <si>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</si>
  <si>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</si>
  <si>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</si>
  <si>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</si>
  <si>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</si>
  <si>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</si>
  <si>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</si>
  <si>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</si>
  <si>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</si>
  <si>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</si>
  <si>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</si>
  <si>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</si>
  <si>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</si>
  <si>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</si>
  <si>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</si>
  <si>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</si>
  <si>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</si>
  <si>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</si>
  <si>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</si>
  <si>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</si>
  <si>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</si>
  <si>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</si>
  <si>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</si>
  <si>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</si>
  <si>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</si>
  <si>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</si>
  <si>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</si>
  <si>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</si>
  <si>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</si>
  <si>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</si>
  <si>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</si>
  <si>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</si>
  <si>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</si>
  <si>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</si>
  <si>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</si>
  <si>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</si>
  <si>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</si>
  <si>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</si>
  <si>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</si>
  <si>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</si>
  <si>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</si>
  <si>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</si>
  <si>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</si>
  <si>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</si>
  <si>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</si>
  <si>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</si>
  <si>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</si>
  <si>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</si>
  <si>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</si>
  <si>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</si>
  <si>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</si>
  <si>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</si>
  <si>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</si>
  <si>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</si>
  <si>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</si>
  <si>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</si>
  <si>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</si>
  <si>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</si>
  <si>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</si>
  <si>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</si>
  <si>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</si>
  <si>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</si>
  <si>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</si>
  <si>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</si>
  <si>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</si>
  <si>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</si>
  <si>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</si>
  <si>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</si>
  <si>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</si>
  <si>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</si>
  <si>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</si>
  <si>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</si>
  <si>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</si>
  <si>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</si>
  <si>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</si>
  <si>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</si>
  <si>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</si>
  <si>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</si>
  <si>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</si>
  <si>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</si>
  <si>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</si>
  <si>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</si>
  <si>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</si>
  <si>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</si>
  <si>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</si>
  <si>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</si>
  <si>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</si>
  <si>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</si>
  <si>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</si>
  <si>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</si>
  <si>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</si>
  <si>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</si>
  <si>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</si>
  <si>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</si>
  <si>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</si>
  <si>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</si>
  <si>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</si>
  <si>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</si>
  <si>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</si>
  <si>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</si>
  <si>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</si>
  <si>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</si>
  <si>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</si>
  <si>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</si>
  <si>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</si>
  <si>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</si>
  <si>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</si>
  <si>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</si>
  <si>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</si>
  <si>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</si>
  <si>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</si>
  <si>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</si>
  <si>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</si>
  <si>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</si>
  <si>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</si>
  <si>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</si>
  <si>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</si>
  <si>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</si>
  <si>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</si>
  <si>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</si>
  <si>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</si>
  <si>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</si>
  <si>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</si>
  <si>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</si>
  <si>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</si>
  <si>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</si>
  <si>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</si>
  <si>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</si>
  <si>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</si>
  <si>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</si>
  <si>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</si>
  <si>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</si>
  <si>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</si>
  <si>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</si>
  <si>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</si>
  <si>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</si>
  <si>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</si>
  <si>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</si>
  <si>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</si>
  <si>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</si>
  <si>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</si>
  <si>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</si>
  <si>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</si>
  <si>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</si>
  <si>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</si>
  <si>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</si>
  <si>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</si>
  <si>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</si>
  <si>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</si>
  <si>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</si>
  <si>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</si>
  <si>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</si>
  <si>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</si>
  <si>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</si>
  <si>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</si>
  <si>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</si>
  <si>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</si>
  <si>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</si>
  <si>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</si>
  <si>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</si>
  <si>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</si>
  <si>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</si>
  <si>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</si>
  <si>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</si>
  <si>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</si>
  <si>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</si>
  <si>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</si>
  <si>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</si>
  <si>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</si>
  <si>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</si>
  <si>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</si>
  <si>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</si>
  <si>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</si>
  <si>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</si>
  <si>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</si>
  <si>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</si>
  <si>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</si>
  <si>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</si>
  <si>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</si>
  <si>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</si>
  <si>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</si>
  <si>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</si>
  <si>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</si>
  <si>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</si>
  <si>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</si>
  <si>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</si>
  <si>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</si>
  <si>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</si>
  <si>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</si>
  <si>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</si>
  <si>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</si>
  <si>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</si>
  <si>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</si>
  <si>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</si>
  <si>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</si>
  <si>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</si>
  <si>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</si>
  <si>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</si>
  <si>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</si>
  <si>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</si>
  <si>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</si>
  <si>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</si>
  <si>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</si>
  <si>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</si>
  <si>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</si>
  <si>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</si>
  <si>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</si>
  <si>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</si>
  <si>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</si>
  <si>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</si>
  <si>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</si>
  <si>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</si>
  <si>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</si>
  <si>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</si>
  <si>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</si>
  <si>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</si>
  <si>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</si>
  <si>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</si>
  <si>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</si>
  <si>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</si>
  <si>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</si>
  <si>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</si>
  <si>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</si>
  <si>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</si>
  <si>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</si>
  <si>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</si>
  <si>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</si>
  <si>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</si>
  <si>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</si>
  <si>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</si>
  <si>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</si>
  <si>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</si>
  <si>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</si>
  <si>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</si>
  <si>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</si>
  <si>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</si>
  <si>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</si>
  <si>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</si>
  <si>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</si>
  <si>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</si>
  <si>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</si>
  <si>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</si>
  <si>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</si>
  <si>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</si>
  <si>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</si>
  <si>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</si>
  <si>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</si>
  <si>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</si>
  <si>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</si>
  <si>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</si>
  <si>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</si>
  <si>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</si>
  <si>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</si>
  <si>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</si>
  <si>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</si>
  <si>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</si>
  <si>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</si>
  <si>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</si>
  <si>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</si>
  <si>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</si>
  <si>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</si>
  <si>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</si>
  <si>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</si>
  <si>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</si>
  <si>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</si>
  <si>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</si>
  <si>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</si>
  <si>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</si>
  <si>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</si>
  <si>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</si>
  <si>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</si>
  <si>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</si>
  <si>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</si>
  <si>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</si>
  <si>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</si>
  <si>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</si>
  <si>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</si>
  <si>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</si>
  <si>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</si>
  <si>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</si>
  <si>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</si>
  <si>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</si>
  <si>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</si>
  <si>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</si>
  <si>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</si>
  <si>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</si>
  <si>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</si>
  <si>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</si>
  <si>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</si>
  <si>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</si>
  <si>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</si>
  <si>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</si>
  <si>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</si>
  <si>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</si>
  <si>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</si>
  <si>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</si>
  <si>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</si>
  <si>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</si>
  <si>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</si>
  <si>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</si>
  <si>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</si>
  <si>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</si>
  <si>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</si>
  <si>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</si>
  <si>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</si>
  <si>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</si>
  <si>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</si>
  <si>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</si>
  <si>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</si>
  <si>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</si>
  <si>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</si>
  <si>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</si>
  <si>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</si>
  <si>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</si>
  <si>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</si>
  <si>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</si>
  <si>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</si>
  <si>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</si>
  <si>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</si>
  <si>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</si>
  <si>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</si>
  <si>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</si>
  <si>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</si>
  <si>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</si>
  <si>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</si>
  <si>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</si>
  <si>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</si>
  <si>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</si>
  <si>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</si>
  <si>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</si>
  <si>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</si>
  <si>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</si>
  <si>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</si>
  <si>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</si>
  <si>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</si>
  <si>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</si>
  <si>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</si>
  <si>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</si>
  <si>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</si>
  <si>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</si>
  <si>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</si>
  <si>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</si>
  <si>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</si>
  <si>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</si>
  <si>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</si>
  <si>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</si>
  <si>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</si>
  <si>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</si>
  <si>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</si>
  <si>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</si>
  <si>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</si>
  <si>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</si>
  <si>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</si>
  <si>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</si>
  <si>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</si>
  <si>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</si>
  <si>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</si>
  <si>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</si>
  <si>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</si>
  <si>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</si>
  <si>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</si>
  <si>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</si>
  <si>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</si>
  <si>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</si>
  <si>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</si>
  <si>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</si>
  <si>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</si>
  <si>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</si>
  <si>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</si>
  <si>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</si>
  <si>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</si>
  <si>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</si>
  <si>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</si>
  <si>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</si>
  <si>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</si>
  <si>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</si>
  <si>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</si>
  <si>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</si>
  <si>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</si>
  <si>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</si>
  <si>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</si>
  <si>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</si>
  <si>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</si>
  <si>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</si>
  <si>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</si>
  <si>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</si>
  <si>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</si>
  <si>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</si>
  <si>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</si>
  <si>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</si>
  <si>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</si>
  <si>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</si>
  <si>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</si>
  <si>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</si>
  <si>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</si>
  <si>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</si>
  <si>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</si>
  <si>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</si>
  <si>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</si>
  <si>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</si>
  <si>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</si>
  <si>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</si>
  <si>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</si>
  <si>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</si>
  <si>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</si>
  <si>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</si>
  <si>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</si>
  <si>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</si>
  <si>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</si>
  <si>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</si>
  <si>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</si>
  <si>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</si>
  <si>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</si>
  <si>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</si>
  <si>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</si>
  <si>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</si>
  <si>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</si>
  <si>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</si>
  <si>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</si>
  <si>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</si>
  <si>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</si>
  <si>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</si>
  <si>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</si>
  <si>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</si>
  <si>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</si>
  <si>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</si>
  <si>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</si>
  <si>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</si>
  <si>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</si>
  <si>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</si>
  <si>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</si>
  <si>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</si>
  <si>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</si>
  <si>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</si>
  <si>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</si>
  <si>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</si>
  <si>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</si>
  <si>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</si>
  <si>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</si>
  <si>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</si>
  <si>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</si>
  <si>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</si>
  <si>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</si>
  <si>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</si>
  <si>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</si>
  <si>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</si>
  <si>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</si>
  <si>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</si>
  <si>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</si>
  <si>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</si>
  <si>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</si>
  <si>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</si>
  <si>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</si>
  <si>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</si>
  <si>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</si>
  <si>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</si>
  <si>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</si>
  <si>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</si>
  <si>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</si>
  <si>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</si>
  <si>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</si>
  <si>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</si>
  <si>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</si>
  <si>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</si>
  <si>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</si>
  <si>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</si>
  <si>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</si>
  <si>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</si>
  <si>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</si>
  <si>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</si>
  <si>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</si>
  <si>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</si>
  <si>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</si>
  <si>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</si>
  <si>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</si>
  <si>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</si>
  <si>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</si>
  <si>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</si>
  <si>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</si>
  <si>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</si>
  <si>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</si>
  <si>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</si>
  <si>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</si>
  <si>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</si>
  <si>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</si>
  <si>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</si>
  <si>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</si>
  <si>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</si>
  <si>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</si>
  <si>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</si>
  <si>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</si>
  <si>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</si>
  <si>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</si>
  <si>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</si>
  <si>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</si>
  <si>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</si>
  <si>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</si>
  <si>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</si>
  <si>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</si>
  <si>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</si>
  <si>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</si>
  <si>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</si>
  <si>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</si>
  <si>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</si>
  <si>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</si>
  <si>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</si>
  <si>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</si>
  <si>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</si>
  <si>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</si>
  <si>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</si>
  <si>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</si>
  <si>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</si>
  <si>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</si>
  <si>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</si>
  <si>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</si>
  <si>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</si>
  <si>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</si>
  <si>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</si>
  <si>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</si>
  <si>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</si>
  <si>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</si>
  <si>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</si>
  <si>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</si>
  <si>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</si>
  <si>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</si>
  <si>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</si>
  <si>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</si>
  <si>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</si>
  <si>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</si>
  <si>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</si>
  <si>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</si>
  <si>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</si>
  <si>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Ellsworth Township</t>
  </si>
  <si>
    <t>Ellsworth County</t>
  </si>
  <si>
    <t>Ellsworth</t>
  </si>
  <si>
    <t>Kanopolis</t>
  </si>
  <si>
    <t>Needed</t>
  </si>
  <si>
    <t>Government Lease</t>
  </si>
  <si>
    <t>Mowing</t>
  </si>
  <si>
    <t>David Hand, Treasurer</t>
  </si>
  <si>
    <t>August 16, 2014</t>
  </si>
  <si>
    <t>7:30 p.m.</t>
  </si>
  <si>
    <t>David Hand Office, Kanopolis, KS</t>
  </si>
  <si>
    <t>County Clerk's Office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</si>
</sst>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3">
      <selection activeCell="L95" sqref="L95"/>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1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Ellsworth Township</v>
      </c>
      <c r="C1" s="248"/>
      <c r="D1" s="248"/>
      <c r="E1" s="248"/>
      <c r="F1" s="248"/>
      <c r="G1" s="248"/>
      <c r="H1" s="248"/>
      <c r="I1" s="248"/>
      <c r="J1" s="48"/>
      <c r="K1" s="48"/>
      <c r="L1" s="204">
        <f>inputPrYr!D9</f>
        <v>2015</v>
      </c>
    </row>
    <row r="2" spans="1:12" ht="15">
      <c r="A2" s="272"/>
      <c r="B2" s="247" t="str">
        <f>inputPrYr!$D$4</f>
        <v>Ellsworth County</v>
      </c>
      <c r="C2" s="248"/>
      <c r="D2" s="248"/>
      <c r="E2" s="248"/>
      <c r="F2" s="248"/>
      <c r="G2" s="248"/>
      <c r="H2" s="248"/>
      <c r="I2" s="248"/>
      <c r="J2" s="48"/>
      <c r="K2" s="48"/>
      <c r="L2" s="190"/>
    </row>
    <row r="3" spans="1:12" ht="1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3" t="s">
        <v>776</v>
      </c>
      <c r="C2" s="843"/>
      <c r="D2" s="843"/>
      <c r="E2" s="843"/>
      <c r="F2" s="843"/>
      <c r="G2" s="843"/>
      <c r="H2" s="843"/>
      <c r="I2" s="843"/>
    </row>
    <row r="3" spans="2:9" ht="15">
      <c r="B3" s="843" t="s">
        <v>777</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Ellsworth Township</v>
      </c>
      <c r="C7" s="557"/>
      <c r="D7" s="557"/>
      <c r="E7" s="557"/>
      <c r="F7" s="557"/>
      <c r="G7" s="557"/>
      <c r="H7" s="557"/>
      <c r="I7" s="557"/>
    </row>
    <row r="8" spans="2:9" ht="15">
      <c r="B8" s="558" t="str">
        <f>inputPrYr!D4</f>
        <v>Ellsworth County</v>
      </c>
      <c r="C8" s="557"/>
      <c r="D8" s="557"/>
      <c r="E8" s="557"/>
      <c r="F8" s="557"/>
      <c r="G8" s="557"/>
      <c r="H8" s="557"/>
      <c r="I8" s="557"/>
    </row>
    <row r="9" spans="2:9" ht="15">
      <c r="B9" s="557"/>
      <c r="C9" s="557"/>
      <c r="D9" s="557"/>
      <c r="E9" s="557"/>
      <c r="F9" s="557"/>
      <c r="G9" s="557"/>
      <c r="H9" s="557"/>
      <c r="I9" s="557"/>
    </row>
    <row r="10" spans="2:9" ht="39" customHeight="1">
      <c r="B10" s="845" t="s">
        <v>778</v>
      </c>
      <c r="C10" s="845"/>
      <c r="D10" s="845"/>
      <c r="E10" s="845"/>
      <c r="F10" s="845"/>
      <c r="G10" s="845"/>
      <c r="H10" s="845"/>
      <c r="I10" s="845"/>
    </row>
    <row r="11" spans="2:9" ht="15">
      <c r="B11" s="557"/>
      <c r="C11" s="557"/>
      <c r="D11" s="557"/>
      <c r="E11" s="557"/>
      <c r="F11" s="557"/>
      <c r="G11" s="557"/>
      <c r="H11" s="557"/>
      <c r="I11" s="557"/>
    </row>
    <row r="12" spans="2:9" ht="15">
      <c r="B12" s="559" t="s">
        <v>779</v>
      </c>
      <c r="C12" s="557"/>
      <c r="D12" s="557"/>
      <c r="E12" s="557"/>
      <c r="F12" s="557"/>
      <c r="G12" s="557"/>
      <c r="H12" s="557"/>
      <c r="I12" s="557"/>
    </row>
    <row r="13" spans="2:9" ht="15">
      <c r="B13" s="557"/>
      <c r="C13" s="557"/>
      <c r="D13" s="557"/>
      <c r="E13" s="560" t="s">
        <v>252</v>
      </c>
      <c r="F13" s="557"/>
      <c r="G13" s="560" t="s">
        <v>780</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781</v>
      </c>
      <c r="C22" s="557"/>
      <c r="D22" s="557"/>
      <c r="E22" s="563">
        <f>SUM(E15:E21)</f>
        <v>0</v>
      </c>
      <c r="F22" s="557"/>
      <c r="G22" s="563">
        <f>SUM(G15:G21)</f>
        <v>0</v>
      </c>
      <c r="H22" s="557"/>
      <c r="I22" s="557"/>
    </row>
    <row r="23" spans="2:9" ht="15">
      <c r="B23" s="557" t="s">
        <v>782</v>
      </c>
      <c r="C23" s="557"/>
      <c r="D23" s="557"/>
      <c r="E23" s="564">
        <f>G22-E22</f>
        <v>0</v>
      </c>
      <c r="F23" s="557"/>
      <c r="G23" s="565"/>
      <c r="H23" s="557"/>
      <c r="I23" s="557"/>
    </row>
    <row r="24" spans="2:9" ht="15">
      <c r="B24" s="557" t="s">
        <v>783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784</v>
      </c>
      <c r="C26" s="557"/>
      <c r="D26" s="557"/>
      <c r="E26" s="557"/>
      <c r="F26" s="557"/>
      <c r="G26" s="557"/>
      <c r="H26" s="557"/>
      <c r="I26" s="557"/>
    </row>
    <row r="27" spans="2:9" ht="15">
      <c r="B27" s="557" t="s">
        <v>785</v>
      </c>
      <c r="C27" s="557"/>
      <c r="D27" s="557"/>
      <c r="E27" s="562">
        <f>summ!D40</f>
        <v>19207152</v>
      </c>
      <c r="F27" s="557"/>
      <c r="G27" s="562">
        <f>summ!F40</f>
        <v>19971623</v>
      </c>
      <c r="H27" s="557"/>
      <c r="I27" s="557"/>
    </row>
    <row r="28" spans="2:9" ht="15">
      <c r="B28" s="557" t="s">
        <v>786</v>
      </c>
      <c r="C28" s="557"/>
      <c r="D28" s="557"/>
      <c r="E28" s="567" t="str">
        <f>IF(G27-E27&gt;=0,"No","Yes")</f>
        <v>No</v>
      </c>
      <c r="F28" s="557"/>
      <c r="G28" s="557"/>
      <c r="H28" s="557"/>
      <c r="I28" s="557"/>
    </row>
    <row r="29" spans="2:9" ht="15">
      <c r="B29" s="557" t="s">
        <v>787</v>
      </c>
      <c r="C29" s="557"/>
      <c r="D29" s="557"/>
      <c r="E29" s="568" t="str">
        <f>summ!E20</f>
        <v>  </v>
      </c>
      <c r="F29" s="557"/>
      <c r="G29" s="568">
        <f>summ!H36</f>
        <v>5.839</v>
      </c>
      <c r="H29" s="557"/>
      <c r="I29" s="557"/>
    </row>
    <row r="30" spans="2:9" ht="15">
      <c r="B30" s="557" t="s">
        <v>788</v>
      </c>
      <c r="C30" s="557"/>
      <c r="D30" s="557"/>
      <c r="E30" s="569" t="e">
        <f>G29-E29</f>
        <v>#VALUE!</v>
      </c>
      <c r="F30" s="557"/>
      <c r="G30" s="557"/>
      <c r="H30" s="557"/>
      <c r="I30" s="557"/>
    </row>
    <row r="31" spans="2:9" ht="15">
      <c r="B31" s="557" t="s">
        <v>783</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789</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790</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792</v>
      </c>
      <c r="C43" s="847"/>
      <c r="D43" s="847"/>
      <c r="E43" s="847"/>
      <c r="F43" s="847"/>
      <c r="G43" s="847"/>
      <c r="H43" s="847"/>
      <c r="I43" s="847"/>
    </row>
    <row r="44" spans="2:9" ht="15">
      <c r="B44" s="557"/>
      <c r="C44" s="557"/>
      <c r="D44" s="557"/>
      <c r="E44" s="557"/>
      <c r="F44" s="557"/>
      <c r="G44" s="557"/>
      <c r="H44" s="557"/>
      <c r="I44" s="557"/>
    </row>
    <row r="45" spans="2:9" ht="15">
      <c r="B45" s="574" t="s">
        <v>793</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794</v>
      </c>
      <c r="C49" s="574"/>
      <c r="D49" s="575"/>
      <c r="E49" s="575"/>
      <c r="F49" s="575"/>
      <c r="G49" s="575"/>
      <c r="H49" s="575"/>
      <c r="I49" s="575"/>
    </row>
    <row r="50" spans="2:9" ht="15">
      <c r="B50" s="574" t="s">
        <v>795</v>
      </c>
      <c r="C50" s="574"/>
      <c r="D50" s="575"/>
      <c r="E50" s="575"/>
      <c r="F50" s="575"/>
      <c r="G50" s="575"/>
      <c r="H50" s="575"/>
      <c r="I50" s="575"/>
    </row>
    <row r="51" spans="2:9" ht="15">
      <c r="B51" s="574" t="s">
        <v>796</v>
      </c>
      <c r="C51" s="574"/>
      <c r="D51" s="575"/>
      <c r="E51" s="575"/>
      <c r="F51" s="575"/>
      <c r="G51" s="575"/>
      <c r="H51" s="575"/>
      <c r="I51" s="575"/>
    </row>
    <row r="52" spans="2:9" ht="15">
      <c r="B52" s="575"/>
      <c r="C52" s="575"/>
      <c r="D52" s="575"/>
      <c r="E52" s="575"/>
      <c r="F52" s="575"/>
      <c r="G52" s="575"/>
      <c r="H52" s="575"/>
      <c r="I52" s="575"/>
    </row>
    <row r="53" spans="2:9" ht="15">
      <c r="B53" s="576" t="s">
        <v>797</v>
      </c>
      <c r="C53" s="575"/>
      <c r="D53" s="575"/>
      <c r="E53" s="575"/>
      <c r="F53" s="575"/>
      <c r="G53" s="575"/>
      <c r="H53" s="575"/>
      <c r="I53" s="575"/>
    </row>
    <row r="54" spans="2:9" ht="15">
      <c r="B54" s="575"/>
      <c r="C54" s="575"/>
      <c r="D54" s="575"/>
      <c r="E54" s="575"/>
      <c r="F54" s="575"/>
      <c r="G54" s="575"/>
      <c r="H54" s="575"/>
      <c r="I54" s="575"/>
    </row>
    <row r="55" spans="2:9" ht="15">
      <c r="B55" s="574" t="s">
        <v>798</v>
      </c>
      <c r="C55" s="575"/>
      <c r="D55" s="575"/>
      <c r="E55" s="575"/>
      <c r="F55" s="575"/>
      <c r="G55" s="575"/>
      <c r="H55" s="575"/>
      <c r="I55" s="575"/>
    </row>
    <row r="56" spans="2:9" ht="15">
      <c r="B56" s="574" t="s">
        <v>799</v>
      </c>
      <c r="C56" s="575"/>
      <c r="D56" s="575"/>
      <c r="E56" s="575"/>
      <c r="F56" s="575"/>
      <c r="G56" s="575"/>
      <c r="H56" s="575"/>
      <c r="I56" s="575"/>
    </row>
    <row r="57" spans="2:9" ht="15">
      <c r="B57" s="575"/>
      <c r="C57" s="575"/>
      <c r="D57" s="575"/>
      <c r="E57" s="575"/>
      <c r="F57" s="575"/>
      <c r="G57" s="575"/>
      <c r="H57" s="575"/>
      <c r="I57" s="575"/>
    </row>
    <row r="58" spans="2:9" ht="15">
      <c r="B58" s="576" t="s">
        <v>800</v>
      </c>
      <c r="C58" s="574"/>
      <c r="D58" s="574"/>
      <c r="E58" s="574"/>
      <c r="F58" s="574"/>
      <c r="G58" s="575"/>
      <c r="H58" s="575"/>
      <c r="I58" s="575"/>
    </row>
    <row r="59" spans="2:9" ht="15">
      <c r="B59" s="574"/>
      <c r="C59" s="574"/>
      <c r="D59" s="574"/>
      <c r="E59" s="574"/>
      <c r="F59" s="574"/>
      <c r="G59" s="575"/>
      <c r="H59" s="575"/>
      <c r="I59" s="575"/>
    </row>
    <row r="60" spans="2:9" ht="15">
      <c r="B60" s="574" t="s">
        <v>801</v>
      </c>
      <c r="C60" s="574"/>
      <c r="D60" s="574"/>
      <c r="E60" s="574"/>
      <c r="F60" s="574"/>
      <c r="G60" s="575"/>
      <c r="H60" s="575"/>
      <c r="I60" s="575"/>
    </row>
    <row r="61" spans="2:9" ht="15">
      <c r="B61" s="574" t="s">
        <v>802</v>
      </c>
      <c r="C61" s="574"/>
      <c r="D61" s="574"/>
      <c r="E61" s="574"/>
      <c r="F61" s="574"/>
      <c r="G61" s="575"/>
      <c r="H61" s="575"/>
      <c r="I61" s="575"/>
    </row>
    <row r="62" spans="2:9" ht="15">
      <c r="B62" s="574" t="s">
        <v>803</v>
      </c>
      <c r="C62" s="574"/>
      <c r="D62" s="574"/>
      <c r="E62" s="574"/>
      <c r="F62" s="574"/>
      <c r="G62" s="575"/>
      <c r="H62" s="575"/>
      <c r="I62" s="575"/>
    </row>
    <row r="63" spans="2:9" ht="15">
      <c r="B63" s="574" t="s">
        <v>804</v>
      </c>
      <c r="C63" s="574"/>
      <c r="D63" s="574"/>
      <c r="E63" s="574"/>
      <c r="F63" s="574"/>
      <c r="G63" s="575"/>
      <c r="H63" s="575"/>
      <c r="I63" s="575"/>
    </row>
    <row r="64" spans="2:9" ht="15">
      <c r="B64" s="577"/>
      <c r="C64" s="577"/>
      <c r="D64" s="577"/>
      <c r="E64" s="577"/>
      <c r="F64" s="577"/>
      <c r="G64" s="575"/>
      <c r="H64" s="575"/>
      <c r="I64" s="575"/>
    </row>
    <row r="65" spans="2:9" ht="15">
      <c r="B65" s="574" t="s">
        <v>805</v>
      </c>
      <c r="C65" s="577"/>
      <c r="D65" s="577"/>
      <c r="E65" s="577"/>
      <c r="F65" s="577"/>
      <c r="G65" s="575"/>
      <c r="H65" s="575"/>
      <c r="I65" s="575"/>
    </row>
    <row r="66" spans="2:9" ht="15">
      <c r="B66" s="574" t="s">
        <v>806</v>
      </c>
      <c r="C66" s="577"/>
      <c r="D66" s="577"/>
      <c r="E66" s="577"/>
      <c r="F66" s="577"/>
      <c r="G66" s="575"/>
      <c r="H66" s="575"/>
      <c r="I66" s="575"/>
    </row>
    <row r="67" spans="2:9" ht="15">
      <c r="B67" s="577"/>
      <c r="C67" s="577"/>
      <c r="D67" s="577"/>
      <c r="E67" s="577"/>
      <c r="F67" s="577"/>
      <c r="G67" s="575"/>
      <c r="H67" s="575"/>
      <c r="I67" s="575"/>
    </row>
    <row r="68" spans="2:9" ht="15">
      <c r="B68" s="574" t="s">
        <v>807</v>
      </c>
      <c r="C68" s="577"/>
      <c r="D68" s="577"/>
      <c r="E68" s="577"/>
      <c r="F68" s="577"/>
      <c r="G68" s="575"/>
      <c r="H68" s="575"/>
      <c r="I68" s="575"/>
    </row>
    <row r="69" spans="2:9" ht="15">
      <c r="B69" s="574" t="s">
        <v>808</v>
      </c>
      <c r="C69" s="577"/>
      <c r="D69" s="577"/>
      <c r="E69" s="577"/>
      <c r="F69" s="577"/>
      <c r="G69" s="575"/>
      <c r="H69" s="575"/>
      <c r="I69" s="575"/>
    </row>
    <row r="70" spans="2:9" ht="15">
      <c r="B70" s="577"/>
      <c r="C70" s="577"/>
      <c r="D70" s="577"/>
      <c r="E70" s="577"/>
      <c r="F70" s="577"/>
      <c r="G70" s="575"/>
      <c r="H70" s="575"/>
      <c r="I70" s="575"/>
    </row>
    <row r="71" spans="2:9" ht="15">
      <c r="B71" s="576" t="s">
        <v>809</v>
      </c>
      <c r="C71" s="577"/>
      <c r="D71" s="577"/>
      <c r="E71" s="577"/>
      <c r="F71" s="577"/>
      <c r="G71" s="575"/>
      <c r="H71" s="575"/>
      <c r="I71" s="575"/>
    </row>
    <row r="72" spans="2:9" ht="15">
      <c r="B72" s="577"/>
      <c r="C72" s="577"/>
      <c r="D72" s="577"/>
      <c r="E72" s="577"/>
      <c r="F72" s="577"/>
      <c r="G72" s="575"/>
      <c r="H72" s="575"/>
      <c r="I72" s="575"/>
    </row>
    <row r="73" spans="2:9" ht="15">
      <c r="B73" s="574" t="s">
        <v>810</v>
      </c>
      <c r="C73" s="577"/>
      <c r="D73" s="577"/>
      <c r="E73" s="577"/>
      <c r="F73" s="577"/>
      <c r="G73" s="575"/>
      <c r="H73" s="575"/>
      <c r="I73" s="575"/>
    </row>
    <row r="74" spans="2:9" ht="15">
      <c r="B74" s="574" t="s">
        <v>811</v>
      </c>
      <c r="C74" s="577"/>
      <c r="D74" s="577"/>
      <c r="E74" s="577"/>
      <c r="F74" s="577"/>
      <c r="G74" s="575"/>
      <c r="H74" s="575"/>
      <c r="I74" s="575"/>
    </row>
    <row r="75" spans="2:9" ht="15">
      <c r="B75" s="577"/>
      <c r="C75" s="577"/>
      <c r="D75" s="577"/>
      <c r="E75" s="577"/>
      <c r="F75" s="577"/>
      <c r="G75" s="575"/>
      <c r="H75" s="575"/>
      <c r="I75" s="575"/>
    </row>
    <row r="76" spans="2:9" ht="15">
      <c r="B76" s="576" t="s">
        <v>812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813</v>
      </c>
      <c r="C79" s="577"/>
      <c r="D79" s="577"/>
      <c r="E79" s="577"/>
      <c r="F79" s="577"/>
      <c r="G79" s="575"/>
      <c r="H79" s="575"/>
      <c r="I79" s="575"/>
    </row>
    <row r="80" spans="2:9" ht="15">
      <c r="B80" s="577"/>
      <c r="C80" s="577"/>
      <c r="D80" s="577"/>
      <c r="E80" s="577"/>
      <c r="F80" s="577"/>
      <c r="G80" s="575"/>
      <c r="H80" s="575"/>
      <c r="I80" s="575"/>
    </row>
    <row r="81" spans="2:9" ht="15">
      <c r="B81" s="576" t="s">
        <v>392</v>
      </c>
      <c r="C81" s="577"/>
      <c r="D81" s="577"/>
      <c r="E81" s="577"/>
      <c r="F81" s="577"/>
      <c r="G81" s="575"/>
      <c r="H81" s="575"/>
      <c r="I81" s="575"/>
    </row>
    <row r="82" spans="2:9" ht="15">
      <c r="B82" s="577"/>
      <c r="C82" s="577"/>
      <c r="D82" s="577"/>
      <c r="E82" s="577"/>
      <c r="F82" s="577"/>
      <c r="G82" s="575"/>
      <c r="H82" s="575"/>
      <c r="I82" s="575"/>
    </row>
    <row r="83" spans="2:9" ht="15">
      <c r="B83" s="574" t="s">
        <v>814</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815</v>
      </c>
      <c r="C86" s="577"/>
      <c r="D86" s="577"/>
      <c r="E86" s="577"/>
      <c r="F86" s="577"/>
      <c r="G86" s="575"/>
      <c r="H86" s="575"/>
      <c r="I86" s="575"/>
    </row>
    <row r="87" spans="2:9" ht="15">
      <c r="B87" s="574" t="s">
        <v>816</v>
      </c>
      <c r="C87" s="577"/>
      <c r="D87" s="577"/>
      <c r="E87" s="577"/>
      <c r="F87" s="577"/>
      <c r="G87" s="575"/>
      <c r="H87" s="575"/>
      <c r="I87" s="575"/>
    </row>
    <row r="88" spans="2:9" ht="15">
      <c r="B88" s="574" t="s">
        <v>817</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818</v>
      </c>
      <c r="C92" s="577"/>
      <c r="D92" s="577"/>
      <c r="E92" s="577"/>
      <c r="F92" s="577"/>
      <c r="G92" s="575"/>
      <c r="H92" s="575"/>
      <c r="I92" s="575"/>
    </row>
    <row r="93" spans="2:9" ht="15">
      <c r="B93" s="574" t="s">
        <v>819</v>
      </c>
      <c r="C93" s="577"/>
      <c r="D93" s="577"/>
      <c r="E93" s="577"/>
      <c r="F93" s="577"/>
      <c r="G93" s="575"/>
      <c r="H93" s="575"/>
      <c r="I93" s="575"/>
    </row>
    <row r="94" spans="2:9" ht="15">
      <c r="B94" s="574" t="s">
        <v>820</v>
      </c>
      <c r="C94" s="577"/>
      <c r="D94" s="577"/>
      <c r="E94" s="577"/>
      <c r="F94" s="577"/>
      <c r="G94" s="575"/>
      <c r="H94" s="575"/>
      <c r="I94" s="575"/>
    </row>
    <row r="95" spans="2:9" ht="15">
      <c r="B95" s="577"/>
      <c r="C95" s="577"/>
      <c r="D95" s="577"/>
      <c r="E95" s="577"/>
      <c r="F95" s="577"/>
      <c r="G95" s="575"/>
      <c r="H95" s="575"/>
      <c r="I95" s="575"/>
    </row>
    <row r="96" spans="2:9" ht="15">
      <c r="B96" s="576" t="s">
        <v>821</v>
      </c>
      <c r="C96" s="577"/>
      <c r="D96" s="577"/>
      <c r="E96" s="577"/>
      <c r="F96" s="577"/>
      <c r="G96" s="575"/>
      <c r="H96" s="575"/>
      <c r="I96" s="575"/>
    </row>
    <row r="97" spans="2:9" ht="15">
      <c r="B97" s="577"/>
      <c r="C97" s="577"/>
      <c r="D97" s="577"/>
      <c r="E97" s="577"/>
      <c r="F97" s="577"/>
      <c r="G97" s="575"/>
      <c r="H97" s="575"/>
      <c r="I97" s="575"/>
    </row>
    <row r="98" spans="2:9" ht="15">
      <c r="B98" s="574" t="s">
        <v>822</v>
      </c>
      <c r="C98" s="577"/>
      <c r="D98" s="577"/>
      <c r="E98" s="577"/>
      <c r="F98" s="577"/>
      <c r="G98" s="575"/>
      <c r="H98" s="575"/>
      <c r="I98" s="575"/>
    </row>
    <row r="99" spans="2:9" ht="15">
      <c r="B99" s="574" t="s">
        <v>823</v>
      </c>
      <c r="C99" s="577"/>
      <c r="D99" s="577"/>
      <c r="E99" s="577"/>
      <c r="F99" s="577"/>
      <c r="G99" s="575"/>
      <c r="H99" s="575"/>
      <c r="I99" s="575"/>
    </row>
    <row r="100" spans="2:9" ht="15">
      <c r="B100" s="577"/>
      <c r="C100" s="577"/>
      <c r="D100" s="577"/>
      <c r="E100" s="577"/>
      <c r="F100" s="577"/>
      <c r="G100" s="575"/>
      <c r="H100" s="575"/>
      <c r="I100" s="575"/>
    </row>
    <row r="101" spans="2:9" ht="15">
      <c r="B101" s="574" t="s">
        <v>824</v>
      </c>
      <c r="C101" s="577"/>
      <c r="D101" s="577"/>
      <c r="E101" s="577"/>
      <c r="F101" s="577"/>
      <c r="G101" s="575"/>
      <c r="H101" s="575"/>
      <c r="I101" s="575"/>
    </row>
    <row r="102" spans="2:9" ht="15">
      <c r="B102" s="574" t="s">
        <v>825</v>
      </c>
      <c r="C102" s="577"/>
      <c r="D102" s="577"/>
      <c r="E102" s="577"/>
      <c r="F102" s="577"/>
      <c r="G102" s="575"/>
      <c r="H102" s="575"/>
      <c r="I102" s="575"/>
    </row>
    <row r="103" spans="2:9" ht="15">
      <c r="B103" s="574" t="s">
        <v>826</v>
      </c>
      <c r="C103" s="577"/>
      <c r="D103" s="577"/>
      <c r="E103" s="577"/>
      <c r="F103" s="577"/>
      <c r="G103" s="575"/>
      <c r="H103" s="575"/>
      <c r="I103" s="575"/>
    </row>
    <row r="104" spans="2:9" ht="15">
      <c r="B104" s="574" t="s">
        <v>827</v>
      </c>
      <c r="C104" s="577"/>
      <c r="D104" s="577"/>
      <c r="E104" s="577"/>
      <c r="F104" s="577"/>
      <c r="G104" s="575"/>
      <c r="H104" s="575"/>
      <c r="I104" s="575"/>
    </row>
    <row r="105" spans="2:9" ht="1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8">
      <selection activeCell="E56" sqref="E56"/>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Ellsworth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275</v>
      </c>
      <c r="D6" s="361">
        <f>C51</f>
        <v>47</v>
      </c>
      <c r="E6" s="239">
        <f>D51</f>
        <v>0</v>
      </c>
    </row>
    <row r="7" spans="2:5" ht="15">
      <c r="B7" s="63" t="s">
        <v>63</v>
      </c>
      <c r="C7" s="361"/>
      <c r="D7" s="361"/>
      <c r="E7" s="288"/>
    </row>
    <row r="8" spans="2:5" ht="15">
      <c r="B8" s="63" t="s">
        <v>256</v>
      </c>
      <c r="C8" s="286">
        <v>2479</v>
      </c>
      <c r="D8" s="361">
        <f>IF(inputPrYr!H19&gt;0,inputPrYr!G20,inputPrYr!E20)</f>
        <v>2692</v>
      </c>
      <c r="E8" s="288" t="s">
        <v>235</v>
      </c>
    </row>
    <row r="9" spans="2:5" ht="15">
      <c r="B9" s="63" t="s">
        <v>257</v>
      </c>
      <c r="C9" s="286">
        <v>23</v>
      </c>
      <c r="D9" s="286"/>
      <c r="E9" s="151"/>
    </row>
    <row r="10" spans="2:5" ht="15">
      <c r="B10" s="63" t="s">
        <v>258</v>
      </c>
      <c r="C10" s="286">
        <v>401</v>
      </c>
      <c r="D10" s="286">
        <v>278</v>
      </c>
      <c r="E10" s="239">
        <f>mvalloc!G11</f>
        <v>363</v>
      </c>
    </row>
    <row r="11" spans="2:5" ht="15">
      <c r="B11" s="63" t="s">
        <v>259</v>
      </c>
      <c r="C11" s="286">
        <v>7</v>
      </c>
      <c r="D11" s="286">
        <v>3</v>
      </c>
      <c r="E11" s="239">
        <f>mvalloc!I11</f>
        <v>3</v>
      </c>
    </row>
    <row r="12" spans="2:5" ht="15">
      <c r="B12" s="289" t="s">
        <v>21</v>
      </c>
      <c r="C12" s="286">
        <v>8</v>
      </c>
      <c r="D12" s="286">
        <v>80</v>
      </c>
      <c r="E12" s="239">
        <f>mvalloc!J11</f>
        <v>26</v>
      </c>
    </row>
    <row r="13" spans="2:5" ht="15">
      <c r="B13" s="289" t="s">
        <v>90</v>
      </c>
      <c r="C13" s="286"/>
      <c r="D13" s="286"/>
      <c r="E13" s="239">
        <f>inputOth!E71</f>
        <v>0</v>
      </c>
    </row>
    <row r="14" spans="2:5" ht="15">
      <c r="B14" s="63" t="s">
        <v>260</v>
      </c>
      <c r="C14" s="286"/>
      <c r="D14" s="286"/>
      <c r="E14" s="239">
        <f>inputOth!E32</f>
        <v>0</v>
      </c>
    </row>
    <row r="15" spans="2:5" ht="15">
      <c r="B15" s="291" t="s">
        <v>963</v>
      </c>
      <c r="C15" s="286"/>
      <c r="D15" s="286"/>
      <c r="E15" s="151"/>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2918</v>
      </c>
      <c r="D26" s="364">
        <f>SUM(D8:D24)</f>
        <v>3053</v>
      </c>
      <c r="E26" s="295">
        <f>SUM(E8:E24)</f>
        <v>392</v>
      </c>
    </row>
    <row r="27" spans="2:5" ht="15">
      <c r="B27" s="81" t="s">
        <v>264</v>
      </c>
      <c r="C27" s="364">
        <f>C26+C6</f>
        <v>3193</v>
      </c>
      <c r="D27" s="364">
        <f>D26+D6</f>
        <v>3100</v>
      </c>
      <c r="E27" s="295">
        <f>E26+E6</f>
        <v>392</v>
      </c>
    </row>
    <row r="28" spans="2:5" ht="15">
      <c r="B28" s="63" t="s">
        <v>265</v>
      </c>
      <c r="C28" s="361"/>
      <c r="D28" s="361"/>
      <c r="E28" s="239"/>
    </row>
    <row r="29" spans="2:5" ht="15">
      <c r="B29" s="290"/>
      <c r="C29" s="286"/>
      <c r="D29" s="286"/>
      <c r="E29" s="151"/>
    </row>
    <row r="30" spans="2:5" ht="15">
      <c r="B30" s="291" t="s">
        <v>53</v>
      </c>
      <c r="C30" s="286">
        <v>750</v>
      </c>
      <c r="D30" s="286">
        <v>600</v>
      </c>
      <c r="E30" s="151">
        <v>750</v>
      </c>
    </row>
    <row r="31" spans="2:5" ht="15">
      <c r="B31" s="291" t="s">
        <v>68</v>
      </c>
      <c r="C31" s="286"/>
      <c r="D31" s="286"/>
      <c r="E31" s="151"/>
    </row>
    <row r="32" spans="2:5" ht="15">
      <c r="B32" s="291" t="s">
        <v>54</v>
      </c>
      <c r="C32" s="286"/>
      <c r="D32" s="286"/>
      <c r="E32" s="151"/>
    </row>
    <row r="33" spans="2:5" ht="15">
      <c r="B33" s="291" t="s">
        <v>276</v>
      </c>
      <c r="C33" s="286">
        <v>40</v>
      </c>
      <c r="D33" s="286">
        <v>200</v>
      </c>
      <c r="E33" s="151">
        <v>100</v>
      </c>
    </row>
    <row r="34" spans="2:5" ht="15">
      <c r="B34" s="290" t="s">
        <v>55</v>
      </c>
      <c r="C34" s="286"/>
      <c r="D34" s="286"/>
      <c r="E34" s="151"/>
    </row>
    <row r="35" spans="2:5" ht="15">
      <c r="B35" s="290" t="s">
        <v>69</v>
      </c>
      <c r="C35" s="286"/>
      <c r="D35" s="286"/>
      <c r="E35" s="151"/>
    </row>
    <row r="36" spans="2:5" ht="15">
      <c r="B36" s="291" t="s">
        <v>71</v>
      </c>
      <c r="C36" s="286">
        <v>2356</v>
      </c>
      <c r="D36" s="286">
        <v>2300</v>
      </c>
      <c r="E36" s="151">
        <v>2350</v>
      </c>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c>
    </row>
    <row r="48" spans="2:10" ht="1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3146</v>
      </c>
      <c r="D50" s="364">
        <f>SUM(D29:D43,D45,D47:D48)</f>
        <v>3100</v>
      </c>
      <c r="E50" s="295">
        <f>SUM(E29:E43,E47:E48,E45)</f>
        <v>3200</v>
      </c>
      <c r="G50" s="514">
        <f>D51</f>
        <v>0</v>
      </c>
      <c r="H50" s="515" t="str">
        <f>CONCATENATE("",E1-1," Ending Cash Balance (est.)")</f>
        <v>2014 Ending Cash Balance (est.)</v>
      </c>
      <c r="I50" s="516"/>
      <c r="J50" s="67"/>
    </row>
    <row r="51" spans="2:10" ht="15">
      <c r="B51" s="63" t="s">
        <v>62</v>
      </c>
      <c r="C51" s="365">
        <f>C27-C50</f>
        <v>47</v>
      </c>
      <c r="D51" s="365">
        <f>D27-D50</f>
        <v>0</v>
      </c>
      <c r="E51" s="288" t="s">
        <v>235</v>
      </c>
      <c r="G51" s="514">
        <f>E26</f>
        <v>392</v>
      </c>
      <c r="H51" s="517" t="str">
        <f>CONCATENATE("",E1," Non-AV Receipts (est.)")</f>
        <v>2015 Non-AV Receipts (est.)</v>
      </c>
      <c r="I51" s="516"/>
      <c r="J51" s="67"/>
    </row>
    <row r="52" spans="2:11" ht="15">
      <c r="B52" s="98" t="str">
        <f>CONCATENATE("",E1-2,"/",E1-1,"/",E1," Budget Authority Amount:")</f>
        <v>2013/2014/2015 Budget Authority Amount:</v>
      </c>
      <c r="C52" s="724">
        <f>inputOth!B83</f>
        <v>53900</v>
      </c>
      <c r="D52" s="724">
        <f>inputPrYr!D20</f>
        <v>3100</v>
      </c>
      <c r="E52" s="239">
        <f>E50</f>
        <v>3200</v>
      </c>
      <c r="F52" s="297"/>
      <c r="G52" s="518">
        <f>IF(D56&gt;0,E55,E57)</f>
        <v>2808</v>
      </c>
      <c r="H52" s="517" t="str">
        <f>CONCATENATE("",E1," Ad Valorem Tax (est.)")</f>
        <v>2015 Ad Valorem Tax (est.)</v>
      </c>
      <c r="I52" s="516"/>
      <c r="J52" s="67"/>
      <c r="K52" s="690">
        <f>IF(G52=E57,"","Note: Does not include Delinquent Taxes")</f>
      </c>
    </row>
    <row r="53" spans="2:10" ht="15">
      <c r="B53" s="99"/>
      <c r="C53" s="848" t="s">
        <v>696</v>
      </c>
      <c r="D53" s="849"/>
      <c r="E53" s="151"/>
      <c r="F53" s="297">
        <f>IF(E50/0.95-E50&lt;E53,"Exceeds 5%","")</f>
      </c>
      <c r="G53" s="514">
        <f>SUM(G50:G52)</f>
        <v>3200</v>
      </c>
      <c r="H53" s="517" t="str">
        <f>CONCATENATE("Total ",E1," Resources Available")</f>
        <v>Total 2015 Resources Available</v>
      </c>
      <c r="I53" s="516"/>
      <c r="J53" s="67"/>
    </row>
    <row r="54" spans="2:10" ht="15">
      <c r="B54" s="470" t="str">
        <f>CONCATENATE(C74,"      ",D74)</f>
        <v>      </v>
      </c>
      <c r="C54" s="850" t="s">
        <v>697</v>
      </c>
      <c r="D54" s="851"/>
      <c r="E54" s="239">
        <f>E50+E53</f>
        <v>3200</v>
      </c>
      <c r="G54" s="519"/>
      <c r="H54" s="517"/>
      <c r="I54" s="517"/>
      <c r="J54" s="67"/>
    </row>
    <row r="55" spans="2:10" ht="15">
      <c r="B55" s="470" t="str">
        <f>CONCATENATE(C75,"       ",D75)</f>
        <v>       </v>
      </c>
      <c r="C55" s="473"/>
      <c r="D55" s="472" t="s">
        <v>268</v>
      </c>
      <c r="E55" s="162">
        <f>IF(E54-E27&gt;0,E54-E27,0)</f>
        <v>2808</v>
      </c>
      <c r="G55" s="518">
        <f>ROUND(C50*0.05+C50,0)</f>
        <v>3303</v>
      </c>
      <c r="H55" s="517" t="str">
        <f>CONCATENATE("Less ",E1-2," Expenditures + 5%")</f>
        <v>Less 2013 Expenditures + 5%</v>
      </c>
      <c r="I55" s="516"/>
      <c r="J55" s="67"/>
    </row>
    <row r="56" spans="2:10" ht="15">
      <c r="B56" s="190"/>
      <c r="C56" s="471" t="s">
        <v>698</v>
      </c>
      <c r="D56" s="683">
        <f>inputOth!$E$77</f>
        <v>0</v>
      </c>
      <c r="E56" s="239">
        <f>ROUND(IF(D56&gt;0,(E55*D56),0),0)</f>
        <v>0</v>
      </c>
      <c r="G56" s="520">
        <f>G53-G55</f>
        <v>-103</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2808</v>
      </c>
    </row>
    <row r="58" spans="2:10" ht="15">
      <c r="B58" s="48"/>
      <c r="C58" s="48"/>
      <c r="D58" s="48"/>
      <c r="E58" s="48"/>
      <c r="G58" s="857" t="s">
        <v>833</v>
      </c>
      <c r="H58" s="858"/>
      <c r="I58" s="858"/>
      <c r="J58" s="859"/>
    </row>
    <row r="59" spans="2:11" s="299" customFormat="1" ht="15">
      <c r="B59" s="54"/>
      <c r="C59" s="54"/>
      <c r="D59" s="246"/>
      <c r="E59" s="54"/>
      <c r="G59" s="691"/>
      <c r="H59" s="515"/>
      <c r="I59" s="682"/>
      <c r="J59" s="692"/>
      <c r="K59" s="137"/>
    </row>
    <row r="60" spans="2:11" s="300" customFormat="1" ht="15">
      <c r="B60" s="48"/>
      <c r="C60" s="48"/>
      <c r="D60" s="169"/>
      <c r="E60" s="48"/>
      <c r="G60" s="693">
        <f>summ!H18</f>
        <v>0.141</v>
      </c>
      <c r="H60" s="515" t="str">
        <f>CONCATENATE("",E1," Fund Mill Rate")</f>
        <v>2015 Fund Mill Rate</v>
      </c>
      <c r="I60" s="682"/>
      <c r="J60" s="692"/>
      <c r="K60" s="137"/>
    </row>
    <row r="61" spans="2:10" ht="15">
      <c r="B61" s="190" t="s">
        <v>249</v>
      </c>
      <c r="C61" s="134"/>
      <c r="D61" s="48"/>
      <c r="E61" s="48"/>
      <c r="G61" s="694">
        <f>summ!E18</f>
        <v>0.14</v>
      </c>
      <c r="H61" s="515" t="str">
        <f>CONCATENATE("",E1-1," Fund Mill Rate")</f>
        <v>2014 Fund Mill Rate</v>
      </c>
      <c r="I61" s="682"/>
      <c r="J61" s="692"/>
    </row>
    <row r="62" spans="7:10" ht="15">
      <c r="G62" s="695">
        <f>summ!H36</f>
        <v>5.839</v>
      </c>
      <c r="H62" s="515" t="str">
        <f>CONCATENATE("Total ",E1," Mill Rate")</f>
        <v>Total 2015 Mill Rate</v>
      </c>
      <c r="I62" s="682"/>
      <c r="J62" s="692"/>
    </row>
    <row r="63" spans="2:10" ht="15">
      <c r="B63" s="91"/>
      <c r="G63" s="694">
        <f>summ!E36</f>
        <v>6.0009999999999994</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Ellsworth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63"/>
      <c r="I31" s="863"/>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696</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697</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833</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828</v>
      </c>
      <c r="D44" s="589" t="s">
        <v>829</v>
      </c>
      <c r="E44" s="590" t="s">
        <v>830</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5.839</v>
      </c>
      <c r="H45" s="633" t="str">
        <f>CONCATENATE("Total ",E1," Mill Rate")</f>
        <v>Total 2015 Mill Rate</v>
      </c>
      <c r="I45" s="655"/>
      <c r="J45" s="656"/>
    </row>
    <row r="46" spans="2:10" ht="15">
      <c r="B46" s="595" t="s">
        <v>75</v>
      </c>
      <c r="C46" s="600">
        <v>0</v>
      </c>
      <c r="D46" s="597">
        <f>C74</f>
        <v>0</v>
      </c>
      <c r="E46" s="598">
        <f>D74</f>
        <v>0</v>
      </c>
      <c r="F46" s="636"/>
      <c r="G46" s="658">
        <f>summ!E36</f>
        <v>6.0009999999999994</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932</v>
      </c>
      <c r="H48" s="710"/>
      <c r="I48" s="709" t="str">
        <f>cert!E41</f>
        <v>No</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70"/>
      <c r="I71" s="870"/>
      <c r="J71" s="864"/>
    </row>
    <row r="72" spans="2:10" ht="15">
      <c r="B72" s="604" t="s">
        <v>699</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696</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697</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833</v>
      </c>
      <c r="H81" s="868"/>
      <c r="I81" s="868"/>
      <c r="J81" s="869"/>
    </row>
    <row r="82" spans="2:10" ht="15">
      <c r="B82" s="583"/>
      <c r="C82" s="583"/>
      <c r="D82" s="583"/>
      <c r="E82" s="583"/>
      <c r="G82" s="654"/>
      <c r="H82" s="633"/>
      <c r="I82" s="655"/>
      <c r="J82" s="656"/>
    </row>
    <row r="83" spans="2:10" ht="15">
      <c r="B83" s="583" t="s">
        <v>249</v>
      </c>
      <c r="C83" s="676"/>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5.839</v>
      </c>
      <c r="H85" s="633" t="str">
        <f>CONCATENATE("Total ",E1," Mill Rate")</f>
        <v>Total 2015 Mill Rate</v>
      </c>
      <c r="I85" s="655"/>
      <c r="J85" s="656"/>
    </row>
    <row r="86" spans="7:10" ht="15">
      <c r="G86" s="658">
        <f>summ!E36</f>
        <v>6.0009999999999994</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0">
      <selection activeCell="E43" sqref="E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Ellsworth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44948</v>
      </c>
      <c r="D6" s="361">
        <f>C44</f>
        <v>34239</v>
      </c>
      <c r="E6" s="239">
        <f>D44</f>
        <v>10393</v>
      </c>
    </row>
    <row r="7" spans="2:5" ht="15">
      <c r="B7" s="63" t="s">
        <v>63</v>
      </c>
      <c r="C7" s="361"/>
      <c r="D7" s="361"/>
      <c r="E7" s="288"/>
    </row>
    <row r="8" spans="2:5" ht="15">
      <c r="B8" s="63" t="s">
        <v>256</v>
      </c>
      <c r="C8" s="286">
        <v>23919</v>
      </c>
      <c r="D8" s="361">
        <f>IF(inputPrYr!H19&gt;0,inputPrYr!G23,inputPrYr!E23)</f>
        <v>22083</v>
      </c>
      <c r="E8" s="288" t="s">
        <v>235</v>
      </c>
    </row>
    <row r="9" spans="2:5" ht="15">
      <c r="B9" s="63" t="s">
        <v>257</v>
      </c>
      <c r="C9" s="286">
        <v>36</v>
      </c>
      <c r="D9" s="286"/>
      <c r="E9" s="151"/>
    </row>
    <row r="10" spans="2:5" ht="15">
      <c r="B10" s="63" t="s">
        <v>258</v>
      </c>
      <c r="C10" s="286">
        <v>3370</v>
      </c>
      <c r="D10" s="286">
        <v>2677</v>
      </c>
      <c r="E10" s="239">
        <f>mvalloc!G14</f>
        <v>2982</v>
      </c>
    </row>
    <row r="11" spans="2:5" ht="15">
      <c r="B11" s="63" t="s">
        <v>259</v>
      </c>
      <c r="C11" s="286">
        <v>22</v>
      </c>
      <c r="D11" s="286">
        <v>24</v>
      </c>
      <c r="E11" s="239">
        <f>mvalloc!I14</f>
        <v>27</v>
      </c>
    </row>
    <row r="12" spans="2:5" ht="15">
      <c r="B12" s="63" t="s">
        <v>51</v>
      </c>
      <c r="C12" s="286">
        <v>230</v>
      </c>
      <c r="D12" s="286">
        <v>204</v>
      </c>
      <c r="E12" s="239">
        <f>mvalloc!J14</f>
        <v>215</v>
      </c>
    </row>
    <row r="13" spans="2:5" ht="15">
      <c r="B13" s="63" t="s">
        <v>52</v>
      </c>
      <c r="C13" s="286">
        <v>1761</v>
      </c>
      <c r="D13" s="286">
        <v>1791</v>
      </c>
      <c r="E13" s="239">
        <f>inputOth!E72</f>
        <v>1804</v>
      </c>
    </row>
    <row r="14" spans="2:5" ht="15">
      <c r="B14" s="291" t="s">
        <v>964</v>
      </c>
      <c r="C14" s="286">
        <v>276</v>
      </c>
      <c r="D14" s="286">
        <v>275</v>
      </c>
      <c r="E14" s="151"/>
    </row>
    <row r="15" spans="2:5" ht="15">
      <c r="B15" s="291" t="s">
        <v>261</v>
      </c>
      <c r="C15" s="286">
        <v>83</v>
      </c>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29697</v>
      </c>
      <c r="D23" s="364">
        <f>SUM(D8:D21)</f>
        <v>27054</v>
      </c>
      <c r="E23" s="295">
        <f>SUM(E8:E21)</f>
        <v>5028</v>
      </c>
    </row>
    <row r="24" spans="2:5" ht="15">
      <c r="B24" s="81" t="s">
        <v>264</v>
      </c>
      <c r="C24" s="364">
        <f>C23+C6</f>
        <v>74645</v>
      </c>
      <c r="D24" s="364">
        <f>D23+D6</f>
        <v>61293</v>
      </c>
      <c r="E24" s="295">
        <f>E23+E6</f>
        <v>15421</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v>9782</v>
      </c>
      <c r="D28" s="286">
        <v>5000</v>
      </c>
      <c r="E28" s="151">
        <v>9500</v>
      </c>
    </row>
    <row r="29" spans="2:5" ht="15">
      <c r="B29" s="290" t="s">
        <v>54</v>
      </c>
      <c r="C29" s="286"/>
      <c r="D29" s="286"/>
      <c r="E29" s="151"/>
    </row>
    <row r="30" spans="2:5" ht="15">
      <c r="B30" s="291" t="s">
        <v>70</v>
      </c>
      <c r="C30" s="286">
        <v>7295</v>
      </c>
      <c r="D30" s="286">
        <v>10000</v>
      </c>
      <c r="E30" s="151">
        <v>8000</v>
      </c>
    </row>
    <row r="31" spans="2:5" ht="15">
      <c r="B31" s="291" t="s">
        <v>57</v>
      </c>
      <c r="C31" s="286">
        <v>9344</v>
      </c>
      <c r="D31" s="286">
        <v>14000</v>
      </c>
      <c r="E31" s="151">
        <v>10218</v>
      </c>
    </row>
    <row r="32" spans="2:5" ht="15">
      <c r="B32" s="291" t="s">
        <v>55</v>
      </c>
      <c r="C32" s="286"/>
      <c r="D32" s="286">
        <v>8000</v>
      </c>
      <c r="E32" s="151">
        <v>7000</v>
      </c>
    </row>
    <row r="33" spans="2:5" ht="15">
      <c r="B33" s="291" t="s">
        <v>53</v>
      </c>
      <c r="C33" s="286">
        <v>1260</v>
      </c>
      <c r="D33" s="286">
        <v>1400</v>
      </c>
      <c r="E33" s="151">
        <v>1400</v>
      </c>
    </row>
    <row r="34" spans="2:10" ht="15">
      <c r="B34" s="291" t="s">
        <v>965</v>
      </c>
      <c r="C34" s="286"/>
      <c r="D34" s="286">
        <v>2500</v>
      </c>
      <c r="E34" s="151">
        <v>2000</v>
      </c>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v>12725</v>
      </c>
      <c r="D38" s="286">
        <v>10000</v>
      </c>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c>
    </row>
    <row r="41" spans="2:10" ht="1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40406</v>
      </c>
      <c r="D43" s="364">
        <f>SUM(D26:D41)</f>
        <v>50900</v>
      </c>
      <c r="E43" s="295">
        <f>SUM(E26:E38,E41)</f>
        <v>38118</v>
      </c>
      <c r="G43" s="514">
        <f>D44</f>
        <v>10393</v>
      </c>
      <c r="H43" s="515" t="str">
        <f>CONCATENATE("",E1-1," Ending Cash Balance (est.)")</f>
        <v>2014 Ending Cash Balance (est.)</v>
      </c>
      <c r="I43" s="516"/>
      <c r="J43" s="67"/>
    </row>
    <row r="44" spans="2:10" ht="15">
      <c r="B44" s="63" t="s">
        <v>62</v>
      </c>
      <c r="C44" s="365">
        <f>C24-C43</f>
        <v>34239</v>
      </c>
      <c r="D44" s="365">
        <f>D24-D43</f>
        <v>10393</v>
      </c>
      <c r="E44" s="288" t="s">
        <v>235</v>
      </c>
      <c r="G44" s="514">
        <f>E23</f>
        <v>5028</v>
      </c>
      <c r="H44" s="517" t="str">
        <f>CONCATENATE("",E1," Non-AV Receipts (est.)")</f>
        <v>2015 Non-AV Receipts (est.)</v>
      </c>
      <c r="I44" s="516"/>
      <c r="J44" s="67"/>
    </row>
    <row r="45" spans="2:11" ht="15">
      <c r="B45" s="98" t="str">
        <f>CONCATENATE("",E1-2,"/",E1-1,"/",E1," Budget Authority Amount:")</f>
        <v>2013/2014/2015 Budget Authority Amount:</v>
      </c>
      <c r="C45" s="724">
        <f>inputOth!B86</f>
        <v>0</v>
      </c>
      <c r="D45" s="724">
        <f>inputPrYr!D23</f>
        <v>50900</v>
      </c>
      <c r="E45" s="239">
        <f>E43</f>
        <v>38118</v>
      </c>
      <c r="F45" s="297"/>
      <c r="G45" s="518">
        <f>IF(D49&gt;0,E48,E50)</f>
        <v>22697</v>
      </c>
      <c r="H45" s="517" t="str">
        <f>CONCATENATE("",E1," Ad Valorem Tax (est.)")</f>
        <v>2015 Ad Valorem Tax (est.)</v>
      </c>
      <c r="I45" s="516"/>
      <c r="J45" s="67"/>
      <c r="K45" s="690">
        <f>IF(G45=E50,"","Note: Does not include Delinquent Taxes")</f>
      </c>
    </row>
    <row r="46" spans="2:10" ht="15">
      <c r="B46" s="99"/>
      <c r="C46" s="848" t="s">
        <v>696</v>
      </c>
      <c r="D46" s="849"/>
      <c r="E46" s="151"/>
      <c r="F46" s="699">
        <f>IF(E43/0.95-E43&lt;E46,"Exceeds 5%","")</f>
      </c>
      <c r="G46" s="514">
        <f>SUM(G43:G45)</f>
        <v>38118</v>
      </c>
      <c r="H46" s="517" t="str">
        <f>CONCATENATE("Total ",E1," Resources Available")</f>
        <v>Total 2015 Resources Available</v>
      </c>
      <c r="I46" s="516"/>
      <c r="J46" s="67"/>
    </row>
    <row r="47" spans="2:10" ht="15">
      <c r="B47" s="470" t="str">
        <f>CONCATENATE(C72,"     ",D72)</f>
        <v>See Tab A     </v>
      </c>
      <c r="C47" s="850" t="s">
        <v>697</v>
      </c>
      <c r="D47" s="851"/>
      <c r="E47" s="239">
        <f>E43+E46</f>
        <v>38118</v>
      </c>
      <c r="G47" s="519"/>
      <c r="H47" s="517"/>
      <c r="I47" s="517"/>
      <c r="J47" s="67"/>
    </row>
    <row r="48" spans="2:10" ht="15">
      <c r="B48" s="470" t="str">
        <f>CONCATENATE(C73,"     ",D73)</f>
        <v>     </v>
      </c>
      <c r="C48" s="473"/>
      <c r="D48" s="472" t="s">
        <v>268</v>
      </c>
      <c r="E48" s="162">
        <f>IF(E47-E24&gt;0,E47-E24,0)</f>
        <v>22697</v>
      </c>
      <c r="G48" s="518">
        <f>ROUND(C43*0.05+C43,0)</f>
        <v>42426</v>
      </c>
      <c r="H48" s="517" t="str">
        <f>CONCATENATE("Less ",E1-2," Expenditures + 5%")</f>
        <v>Less 2013 Expenditures + 5%</v>
      </c>
      <c r="I48" s="516"/>
      <c r="J48" s="67"/>
    </row>
    <row r="49" spans="2:10" ht="15">
      <c r="B49" s="190"/>
      <c r="C49" s="471" t="s">
        <v>698</v>
      </c>
      <c r="D49" s="683">
        <f>inputOth!$E$77</f>
        <v>0</v>
      </c>
      <c r="E49" s="239">
        <f>ROUND(IF(D49&gt;0,(E48*D49),0),0)</f>
        <v>0</v>
      </c>
      <c r="G49" s="520">
        <f>G46-G48</f>
        <v>-4308</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22697</v>
      </c>
    </row>
    <row r="51" spans="2:10" ht="15">
      <c r="B51" s="48"/>
      <c r="C51" s="48"/>
      <c r="D51" s="48"/>
      <c r="E51" s="48"/>
      <c r="G51" s="857" t="s">
        <v>833</v>
      </c>
      <c r="H51" s="858"/>
      <c r="I51" s="858"/>
      <c r="J51" s="859"/>
    </row>
    <row r="52" spans="2:10" ht="15">
      <c r="B52" s="48"/>
      <c r="C52" s="48"/>
      <c r="D52" s="48"/>
      <c r="E52" s="48"/>
      <c r="G52" s="691"/>
      <c r="H52" s="515"/>
      <c r="I52" s="682"/>
      <c r="J52" s="692"/>
    </row>
    <row r="53" spans="2:10" ht="15">
      <c r="B53" s="138" t="s">
        <v>270</v>
      </c>
      <c r="C53" s="184">
        <f>E1-2</f>
        <v>2013</v>
      </c>
      <c r="D53" s="48"/>
      <c r="E53" s="48"/>
      <c r="G53" s="693">
        <f>summ!H21</f>
        <v>5.698</v>
      </c>
      <c r="H53" s="515" t="str">
        <f>CONCATENATE("",E1," Fund Mill Rate")</f>
        <v>2015 Fund Mill Rate</v>
      </c>
      <c r="I53" s="682"/>
      <c r="J53" s="692"/>
    </row>
    <row r="54" spans="2:10" ht="15">
      <c r="B54" s="60" t="s">
        <v>271</v>
      </c>
      <c r="C54" s="62" t="s">
        <v>272</v>
      </c>
      <c r="D54" s="48"/>
      <c r="E54" s="48"/>
      <c r="G54" s="694">
        <f>summ!E21</f>
        <v>5.861</v>
      </c>
      <c r="H54" s="515" t="str">
        <f>CONCATENATE("",E1-1," Fund Mill Rate")</f>
        <v>2014 Fund Mill Rate</v>
      </c>
      <c r="I54" s="682"/>
      <c r="J54" s="692"/>
    </row>
    <row r="55" spans="2:10" ht="15">
      <c r="B55" s="87" t="s">
        <v>254</v>
      </c>
      <c r="C55" s="469">
        <v>58232</v>
      </c>
      <c r="D55" s="48"/>
      <c r="E55" s="48"/>
      <c r="G55" s="695">
        <f>summ!H36</f>
        <v>5.839</v>
      </c>
      <c r="H55" s="515" t="str">
        <f>CONCATENATE("Total ",E1," Mill Rate")</f>
        <v>Total 2015 Mill Rate</v>
      </c>
      <c r="I55" s="682"/>
      <c r="J55" s="692"/>
    </row>
    <row r="56" spans="2:10" ht="15">
      <c r="B56" s="87" t="s">
        <v>273</v>
      </c>
      <c r="C56" s="311"/>
      <c r="D56" s="48"/>
      <c r="E56" s="48"/>
      <c r="G56" s="694">
        <f>summ!E36</f>
        <v>6.0009999999999994</v>
      </c>
      <c r="H56" s="696" t="str">
        <f>CONCATENATE("Total ",E1-1," Mill Rate")</f>
        <v>Total 2014 Mill Rate</v>
      </c>
      <c r="I56" s="697"/>
      <c r="J56" s="698"/>
    </row>
    <row r="57" spans="2:5" ht="15">
      <c r="B57" s="87" t="s">
        <v>274</v>
      </c>
      <c r="C57" s="464">
        <f>IF(C38&gt;0,C38,0)</f>
        <v>12725</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0</v>
      </c>
      <c r="D59" s="872"/>
      <c r="E59" s="48"/>
    </row>
    <row r="60" spans="2:5" ht="15">
      <c r="B60" s="153"/>
      <c r="C60" s="469"/>
      <c r="D60" s="48"/>
      <c r="E60" s="48"/>
    </row>
    <row r="61" spans="2:5" ht="15">
      <c r="B61" s="153" t="s">
        <v>262</v>
      </c>
      <c r="C61" s="469"/>
      <c r="D61" s="48"/>
      <c r="E61" s="48"/>
    </row>
    <row r="62" spans="2:5" ht="15">
      <c r="B62" s="153" t="s">
        <v>261</v>
      </c>
      <c r="C62" s="469"/>
      <c r="D62" s="48"/>
      <c r="E62" s="48"/>
    </row>
    <row r="63" spans="2:5" ht="15">
      <c r="B63" s="303" t="s">
        <v>264</v>
      </c>
      <c r="C63" s="462">
        <f>SUM(C55,C57:C62)</f>
        <v>70957</v>
      </c>
      <c r="D63" s="48"/>
      <c r="E63" s="48"/>
    </row>
    <row r="64" spans="2:5" ht="15">
      <c r="B64" s="303" t="s">
        <v>266</v>
      </c>
      <c r="C64" s="469"/>
      <c r="D64" s="48"/>
      <c r="E64" s="48"/>
    </row>
    <row r="65" spans="2:5" ht="15">
      <c r="B65" s="303" t="s">
        <v>267</v>
      </c>
      <c r="C65" s="462">
        <f>C63-C64</f>
        <v>70957</v>
      </c>
      <c r="D65" s="48"/>
      <c r="E65" s="48"/>
    </row>
    <row r="66" spans="2:5" ht="15">
      <c r="B66" s="48"/>
      <c r="C66" s="48"/>
      <c r="D66" s="48"/>
      <c r="E66" s="48"/>
    </row>
    <row r="67" spans="2:5" ht="15">
      <c r="B67" s="190" t="s">
        <v>249</v>
      </c>
      <c r="C67" s="305"/>
      <c r="D67" s="48"/>
      <c r="E67" s="48"/>
    </row>
    <row r="69" ht="15">
      <c r="B69" s="91"/>
    </row>
    <row r="72" spans="3:4" ht="15" hidden="1">
      <c r="C72" s="137" t="str">
        <f>IF(C43&gt;C45,"See Tab A","")</f>
        <v>See Tab A</v>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Ellsworth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5.839</v>
      </c>
      <c r="H45" s="633" t="str">
        <f>CONCATENATE("Total ",E1," Mill Rate")</f>
        <v>Total 2015 Mill Rate</v>
      </c>
      <c r="I45" s="655"/>
      <c r="J45" s="656"/>
      <c r="K45" s="582"/>
    </row>
    <row r="46" spans="2:11" ht="15">
      <c r="B46" s="63" t="s">
        <v>61</v>
      </c>
      <c r="C46" s="286"/>
      <c r="D46" s="361">
        <f>C74</f>
        <v>0</v>
      </c>
      <c r="E46" s="239">
        <f>D74</f>
        <v>0</v>
      </c>
      <c r="G46" s="658">
        <f>summ!E36</f>
        <v>6.0009999999999994</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5.839</v>
      </c>
      <c r="H89" s="633" t="str">
        <f>CONCATENATE("Total ",E1," Mill Rate")</f>
        <v>Total 2015 Mill Rate</v>
      </c>
      <c r="I89" s="655"/>
      <c r="J89" s="656"/>
    </row>
    <row r="90" spans="7:10" ht="15">
      <c r="G90" s="658">
        <f>summ!E36</f>
        <v>6.0009999999999994</v>
      </c>
      <c r="H90" s="661" t="str">
        <f>CONCATENATE("Total ",E1-1," Mill Rate")</f>
        <v>Total 2014 Mill Rate</v>
      </c>
      <c r="I90" s="662"/>
      <c r="J90" s="663"/>
    </row>
    <row r="92" spans="7:9" ht="1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Ellsworth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5.839</v>
      </c>
      <c r="H45" s="633" t="str">
        <f>CONCATENATE("Total ",E1," Mill Rate")</f>
        <v>Total 2015 Mill Rate</v>
      </c>
      <c r="I45" s="655"/>
      <c r="J45" s="656"/>
      <c r="K45" s="582"/>
    </row>
    <row r="46" spans="2:11" ht="15">
      <c r="B46" s="63" t="s">
        <v>61</v>
      </c>
      <c r="C46" s="286"/>
      <c r="D46" s="361">
        <f>C74</f>
        <v>0</v>
      </c>
      <c r="E46" s="239">
        <f>D74</f>
        <v>0</v>
      </c>
      <c r="G46" s="658">
        <f>summ!E36</f>
        <v>6.0009999999999994</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5.839</v>
      </c>
      <c r="H89" s="633" t="str">
        <f>CONCATENATE("Total ",E1," Mill Rate")</f>
        <v>Total 2015 Mill Rate</v>
      </c>
      <c r="I89" s="655"/>
      <c r="J89" s="656"/>
    </row>
    <row r="90" spans="7:10" ht="15">
      <c r="G90" s="658">
        <f>summ!E36</f>
        <v>6.0009999999999994</v>
      </c>
      <c r="H90" s="661" t="str">
        <f>CONCATENATE("Total ",E1-1," Mill Rate")</f>
        <v>Total 2014 Mill Rate</v>
      </c>
      <c r="I90" s="662"/>
      <c r="J90" s="663"/>
    </row>
    <row r="92" spans="7:9" ht="1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Ellsworth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5.839</v>
      </c>
      <c r="H45" s="633" t="str">
        <f>CONCATENATE("Total ",E1," Mill Rate")</f>
        <v>Total 2015 Mill Rate</v>
      </c>
      <c r="I45" s="655"/>
      <c r="J45" s="656"/>
      <c r="K45" s="582"/>
    </row>
    <row r="46" spans="2:11" ht="15">
      <c r="B46" s="63" t="s">
        <v>61</v>
      </c>
      <c r="C46" s="286"/>
      <c r="D46" s="361">
        <f>C74</f>
        <v>0</v>
      </c>
      <c r="E46" s="239">
        <f>D74</f>
        <v>0</v>
      </c>
      <c r="G46" s="658">
        <f>summ!E36</f>
        <v>6.0009999999999994</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5.839</v>
      </c>
      <c r="H89" s="633" t="str">
        <f>CONCATENATE("Total ",E1," Mill Rate")</f>
        <v>Total 2015 Mill Rate</v>
      </c>
      <c r="I89" s="655"/>
      <c r="J89" s="656"/>
    </row>
    <row r="90" spans="7:10" ht="15">
      <c r="G90" s="658">
        <f>summ!E36</f>
        <v>6.0009999999999994</v>
      </c>
      <c r="H90" s="661" t="str">
        <f>CONCATENATE("Total ",E1-1," Mill Rate")</f>
        <v>Total 2014 Mill Rate</v>
      </c>
      <c r="I90" s="662"/>
      <c r="J90" s="663"/>
    </row>
    <row r="92" spans="7:9" ht="1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Ellsworth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5.839</v>
      </c>
      <c r="H45" s="633" t="str">
        <f>CONCATENATE("Total ",E1," Mill Rate")</f>
        <v>Total 2015 Mill Rate</v>
      </c>
      <c r="I45" s="655"/>
      <c r="J45" s="656"/>
      <c r="K45" s="582"/>
    </row>
    <row r="46" spans="2:11" ht="15">
      <c r="B46" s="63" t="s">
        <v>61</v>
      </c>
      <c r="C46" s="286"/>
      <c r="D46" s="361">
        <f>C74</f>
        <v>0</v>
      </c>
      <c r="E46" s="239">
        <f>D74</f>
        <v>0</v>
      </c>
      <c r="G46" s="658">
        <f>summ!E36</f>
        <v>6.0009999999999994</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5.839</v>
      </c>
      <c r="H89" s="633" t="str">
        <f>CONCATENATE("Total ",E1," Mill Rate")</f>
        <v>Total 2015 Mill Rate</v>
      </c>
      <c r="I89" s="655"/>
      <c r="J89" s="656"/>
    </row>
    <row r="90" spans="7:10" ht="15">
      <c r="G90" s="658">
        <f>summ!E36</f>
        <v>6.0009999999999994</v>
      </c>
      <c r="H90" s="661" t="str">
        <f>CONCATENATE("Total ",E1-1," Mill Rate")</f>
        <v>Total 2014 Mill Rate</v>
      </c>
      <c r="I90" s="662"/>
      <c r="J90" s="663"/>
    </row>
    <row r="92" spans="7:9" ht="1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Ellsworth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7">
      <selection activeCell="E68" sqref="E68"/>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959</v>
      </c>
      <c r="E3" s="54"/>
    </row>
    <row r="4" spans="1:5" ht="15">
      <c r="A4" s="138" t="s">
        <v>204</v>
      </c>
      <c r="B4" s="48"/>
      <c r="C4" s="48"/>
      <c r="D4" s="713" t="s">
        <v>960</v>
      </c>
      <c r="E4" s="54"/>
    </row>
    <row r="5" spans="1:5" ht="15">
      <c r="A5" s="48"/>
      <c r="B5" s="48"/>
      <c r="C5" s="48"/>
      <c r="D5" s="48"/>
      <c r="E5" s="48"/>
    </row>
    <row r="6" spans="1:5" ht="15">
      <c r="A6" s="139" t="s">
        <v>126</v>
      </c>
      <c r="B6" s="48"/>
      <c r="C6" s="48"/>
      <c r="D6" s="160" t="s">
        <v>961</v>
      </c>
      <c r="E6" s="48"/>
    </row>
    <row r="7" spans="1:5" ht="15">
      <c r="A7" s="139" t="s">
        <v>127</v>
      </c>
      <c r="B7" s="48"/>
      <c r="C7" s="48"/>
      <c r="D7" s="160" t="s">
        <v>962</v>
      </c>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3100</v>
      </c>
      <c r="E20" s="151">
        <v>2692</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v>50900</v>
      </c>
      <c r="E23" s="151">
        <v>22083</v>
      </c>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24775</v>
      </c>
    </row>
    <row r="33" spans="1:5" ht="1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54000</v>
      </c>
      <c r="E39" s="48"/>
    </row>
    <row r="40" spans="1:5" ht="15">
      <c r="A40" s="90" t="s">
        <v>324</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0.142</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6.841</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6.9830000000000005</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26679</v>
      </c>
    </row>
    <row r="64" spans="1:5" ht="15">
      <c r="A64" s="168" t="str">
        <f>CONCATENATE("Assessed Valuation (",D9-2," budget column):")</f>
        <v>Assessed Valuation (2013 budget column):</v>
      </c>
      <c r="B64" s="144"/>
      <c r="C64" s="48"/>
      <c r="D64" s="48"/>
      <c r="E64" s="714">
        <v>3533645</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Ellsworth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Ellsworth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
      <c r="A3" s="331"/>
    </row>
    <row r="4" ht="58.5" customHeight="1">
      <c r="A4" s="196" t="s">
        <v>332</v>
      </c>
    </row>
    <row r="5" ht="15">
      <c r="A5" s="95"/>
    </row>
    <row r="6" ht="55.5" customHeight="1">
      <c r="A6" s="196" t="s">
        <v>333</v>
      </c>
    </row>
    <row r="7" ht="15">
      <c r="A7" s="331"/>
    </row>
    <row r="8" ht="42.75" customHeight="1">
      <c r="A8" s="196" t="s">
        <v>334</v>
      </c>
    </row>
    <row r="9" ht="15">
      <c r="A9" s="95"/>
    </row>
    <row r="10" ht="30.75">
      <c r="A10" s="196" t="s">
        <v>335</v>
      </c>
    </row>
    <row r="11" ht="15">
      <c r="A11" s="331"/>
    </row>
    <row r="12" ht="69.75" customHeight="1">
      <c r="A12" s="196" t="s">
        <v>336</v>
      </c>
    </row>
    <row r="13" ht="15">
      <c r="A13" s="331"/>
    </row>
    <row r="14" ht="40.5" customHeight="1">
      <c r="A14" s="196" t="s">
        <v>337</v>
      </c>
    </row>
    <row r="15" ht="15">
      <c r="A15" s="95"/>
    </row>
    <row r="16" ht="56.25" customHeight="1">
      <c r="A16" s="196" t="s">
        <v>338</v>
      </c>
    </row>
    <row r="17" ht="15">
      <c r="A17" s="331"/>
    </row>
    <row r="18" ht="54.75" customHeight="1">
      <c r="A18" s="196" t="s">
        <v>339</v>
      </c>
    </row>
    <row r="19" ht="15">
      <c r="A19" s="331"/>
    </row>
    <row r="20" ht="55.5" customHeight="1">
      <c r="A20" s="196" t="s">
        <v>340</v>
      </c>
    </row>
    <row r="21" ht="1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22">
      <selection activeCell="E54" sqref="E54"/>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2" t="s">
        <v>23</v>
      </c>
      <c r="B2" s="808"/>
      <c r="C2" s="808"/>
      <c r="D2" s="808"/>
      <c r="E2" s="808"/>
      <c r="F2" s="808"/>
      <c r="G2" s="808"/>
      <c r="H2" s="808"/>
    </row>
    <row r="3" spans="1:8" ht="15">
      <c r="A3" s="48"/>
      <c r="B3" s="48"/>
      <c r="C3" s="48"/>
      <c r="D3" s="48"/>
      <c r="E3" s="48"/>
      <c r="F3" s="55" t="s">
        <v>277</v>
      </c>
      <c r="G3" s="55" t="s">
        <v>278</v>
      </c>
      <c r="H3" s="48"/>
    </row>
    <row r="4" spans="1:8" ht="15">
      <c r="A4" s="819" t="s">
        <v>279</v>
      </c>
      <c r="B4" s="819"/>
      <c r="C4" s="819"/>
      <c r="D4" s="819"/>
      <c r="E4" s="819"/>
      <c r="F4" s="819"/>
      <c r="G4" s="819"/>
      <c r="H4" s="819"/>
    </row>
    <row r="5" spans="1:8" ht="15">
      <c r="A5" s="821" t="str">
        <f>inputPrYr!D3</f>
        <v>Ellsworth Township</v>
      </c>
      <c r="B5" s="821"/>
      <c r="C5" s="821"/>
      <c r="D5" s="821"/>
      <c r="E5" s="821"/>
      <c r="F5" s="821"/>
      <c r="G5" s="821"/>
      <c r="H5" s="821"/>
    </row>
    <row r="6" spans="1:8" ht="15">
      <c r="A6" s="821" t="str">
        <f>inputPrYr!D4</f>
        <v>Ellsworth County</v>
      </c>
      <c r="B6" s="821"/>
      <c r="C6" s="821"/>
      <c r="D6" s="821"/>
      <c r="E6" s="821"/>
      <c r="F6" s="821"/>
      <c r="G6" s="821"/>
      <c r="H6" s="821"/>
    </row>
    <row r="7" spans="1:8" ht="15">
      <c r="A7" s="886" t="str">
        <f>CONCATENATE("will meet on ",inputBudSum!B8," at ",inputBudSum!B10," at ",inputBudSum!B12," for the purpose of hearing and")</f>
        <v>will meet on August 16, 2014 at 7:30 p.m. at David Hand Office, Kanopolis, KS for the purpose of hearing and</v>
      </c>
      <c r="B7" s="886"/>
      <c r="C7" s="886"/>
      <c r="D7" s="886"/>
      <c r="E7" s="886"/>
      <c r="F7" s="886"/>
      <c r="G7" s="886"/>
      <c r="H7" s="886"/>
    </row>
    <row r="8" spans="1:8" ht="15">
      <c r="A8" s="819" t="s">
        <v>381</v>
      </c>
      <c r="B8" s="820"/>
      <c r="C8" s="820"/>
      <c r="D8" s="820"/>
      <c r="E8" s="820"/>
      <c r="F8" s="820"/>
      <c r="G8" s="820"/>
      <c r="H8" s="820"/>
    </row>
    <row r="9" spans="1:8" ht="15">
      <c r="A9" s="829" t="str">
        <f>CONCATENATE("Detailed budget information is available at ",inputBudSum!B15," and will be available at this hearing.")</f>
        <v>Detailed budget information is available at County Clerk's Office and will be available at this hearing.</v>
      </c>
      <c r="B9" s="808"/>
      <c r="C9" s="808"/>
      <c r="D9" s="808"/>
      <c r="E9" s="808"/>
      <c r="F9" s="808"/>
      <c r="G9" s="808"/>
      <c r="H9" s="808"/>
    </row>
    <row r="10" spans="1:8" ht="15">
      <c r="A10" s="832" t="s">
        <v>24</v>
      </c>
      <c r="B10" s="820"/>
      <c r="C10" s="820"/>
      <c r="D10" s="820"/>
      <c r="E10" s="820"/>
      <c r="F10" s="820"/>
      <c r="G10" s="820"/>
      <c r="H10" s="820"/>
    </row>
    <row r="11" spans="1:8" ht="1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
      <c r="A16" s="58"/>
      <c r="B16" s="59"/>
      <c r="C16" s="59" t="s">
        <v>281</v>
      </c>
      <c r="D16" s="59"/>
      <c r="E16" s="59" t="s">
        <v>281</v>
      </c>
      <c r="F16" s="466" t="s">
        <v>153</v>
      </c>
      <c r="G16" s="884"/>
      <c r="H16" s="59" t="s">
        <v>281</v>
      </c>
      <c r="I16" s="178"/>
    </row>
    <row r="17" spans="1:10" ht="15">
      <c r="A17" s="62" t="s">
        <v>231</v>
      </c>
      <c r="B17" s="62" t="s">
        <v>282</v>
      </c>
      <c r="C17" s="62" t="s">
        <v>283</v>
      </c>
      <c r="D17" s="62" t="s">
        <v>282</v>
      </c>
      <c r="E17" s="62" t="s">
        <v>283</v>
      </c>
      <c r="F17" s="465" t="s">
        <v>695</v>
      </c>
      <c r="G17" s="885"/>
      <c r="H17" s="62" t="s">
        <v>283</v>
      </c>
      <c r="I17" s="178"/>
      <c r="J17" s="493"/>
    </row>
    <row r="18" spans="1:10" ht="15">
      <c r="A18" s="73" t="str">
        <f>inputPrYr!B20</f>
        <v>General</v>
      </c>
      <c r="B18" s="73">
        <f>IF(gen!$C$50&lt;&gt;0,gen!$C$50,"  ")</f>
        <v>3146</v>
      </c>
      <c r="C18" s="76">
        <f>IF(inputPrYr!D49&gt;0,inputPrYr!D49,"  ")</f>
        <v>0.142</v>
      </c>
      <c r="D18" s="73">
        <f>IF(gen!$D$50&lt;&gt;0,gen!$D$50,"  ")</f>
        <v>3100</v>
      </c>
      <c r="E18" s="76">
        <f>IF(inputOth!D37&gt;0,inputOth!D37,"  ")</f>
        <v>0.14</v>
      </c>
      <c r="F18" s="73">
        <f>IF(gen!$E$50&lt;&gt;0,gen!$E$50,"  ")</f>
        <v>3200</v>
      </c>
      <c r="G18" s="73">
        <f>IF(gen!$E$57&lt;&gt;0,gen!$E$57,"")</f>
        <v>2808</v>
      </c>
      <c r="H18" s="76">
        <f>IF(gen!E57&gt;0,ROUND(G18/F40*1000,3)," ")</f>
        <v>0.141</v>
      </c>
      <c r="I18" s="178"/>
      <c r="J18" s="493"/>
    </row>
    <row r="19" spans="1:9" ht="15">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40406</v>
      </c>
      <c r="C21" s="76">
        <f>IF(inputPrYr!D52&gt;0,inputPrYr!D52,"  ")</f>
        <v>6.841</v>
      </c>
      <c r="D21" s="73">
        <f>IF(road!$D$43&lt;&gt;0,road!$D$43,"  ")</f>
        <v>50900</v>
      </c>
      <c r="E21" s="76">
        <f>IF(inputOth!D40&gt;0,inputOth!D40,"  ")</f>
        <v>5.861</v>
      </c>
      <c r="F21" s="73">
        <f>IF(road!$E$43&lt;&gt;0,road!$E$43,"  ")</f>
        <v>38118</v>
      </c>
      <c r="G21" s="73">
        <f>IF(road!$E$50&lt;&gt;0,road!$E$50,"  ")</f>
        <v>22697</v>
      </c>
      <c r="H21" s="76">
        <f>IF(road!E50&gt;0,ROUND(G21/F41*1000,3)," ")</f>
        <v>5.698</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19972</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3983</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6.0009999999999994</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649</v>
      </c>
    </row>
    <row r="34" spans="1:13" ht="15">
      <c r="A34" s="73" t="str">
        <f>IF((inputPrYr!$B41&gt;"  "),(nonbud!$A3),"  ")</f>
        <v>  </v>
      </c>
      <c r="B34" s="700" t="str">
        <f>IF((nonbud!$K$28)&lt;&gt;0,(nonbud!$K$28),"  ")</f>
        <v>  </v>
      </c>
      <c r="C34" s="311"/>
      <c r="D34" s="73"/>
      <c r="E34" s="76"/>
      <c r="F34" s="73"/>
      <c r="G34" s="73"/>
      <c r="H34" s="76"/>
      <c r="J34" s="482" t="s">
        <v>715</v>
      </c>
      <c r="K34" s="479"/>
      <c r="L34" s="479"/>
      <c r="M34" s="481">
        <f>M46*-1</f>
        <v>-12</v>
      </c>
    </row>
    <row r="35" spans="1:13" ht="15.75"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43552</v>
      </c>
      <c r="C36" s="447">
        <f t="shared" si="0"/>
        <v>6.9830000000000005</v>
      </c>
      <c r="D36" s="446">
        <f t="shared" si="0"/>
        <v>54000</v>
      </c>
      <c r="E36" s="447">
        <f t="shared" si="0"/>
        <v>6.0009999999999994</v>
      </c>
      <c r="F36" s="446">
        <f t="shared" si="0"/>
        <v>41318</v>
      </c>
      <c r="G36" s="446">
        <f t="shared" si="0"/>
        <v>25505</v>
      </c>
      <c r="H36" s="447">
        <f t="shared" si="0"/>
        <v>5.839</v>
      </c>
      <c r="J36" s="876" t="str">
        <f>CONCATENATE("Impact On Keeping The Same Mill Rate As For ",H1-1,"")</f>
        <v>Impact On Keeping The Same Mill Rate As For 2014</v>
      </c>
      <c r="K36" s="879"/>
      <c r="L36" s="879"/>
      <c r="M36" s="880"/>
    </row>
    <row r="37" spans="1:13" ht="15">
      <c r="A37" s="87" t="s">
        <v>284</v>
      </c>
      <c r="B37" s="73">
        <f>transfer!C29</f>
        <v>12725</v>
      </c>
      <c r="C37" s="48"/>
      <c r="D37" s="73">
        <f>transfer!D29</f>
        <v>10000</v>
      </c>
      <c r="E37" s="187"/>
      <c r="F37" s="73">
        <f>transfer!E29</f>
        <v>0</v>
      </c>
      <c r="G37" s="48"/>
      <c r="H37" s="48"/>
      <c r="J37" s="488"/>
      <c r="K37" s="9"/>
      <c r="L37" s="9"/>
      <c r="M37" s="487"/>
    </row>
    <row r="38" spans="1:13" ht="15.75" thickBot="1">
      <c r="A38" s="87" t="s">
        <v>285</v>
      </c>
      <c r="B38" s="450">
        <f>B36-B37</f>
        <v>30827</v>
      </c>
      <c r="C38" s="48"/>
      <c r="D38" s="450">
        <f>D36-D37</f>
        <v>44000</v>
      </c>
      <c r="E38" s="48"/>
      <c r="F38" s="450">
        <f>F36-F37</f>
        <v>41318</v>
      </c>
      <c r="G38" s="48"/>
      <c r="H38" s="48"/>
      <c r="J38" s="488" t="str">
        <f>CONCATENATE("",H1," Ad Valorem Tax Rev(Township Only):")</f>
        <v>2015 Ad Valorem Tax Rev(Township Only):</v>
      </c>
      <c r="K38" s="9"/>
      <c r="L38" s="9"/>
      <c r="M38" s="491">
        <f>SUM(G21:G24)</f>
        <v>22697</v>
      </c>
    </row>
    <row r="39" spans="1:13" ht="15.75" thickTop="1">
      <c r="A39" s="87" t="s">
        <v>0</v>
      </c>
      <c r="B39" s="209">
        <f>inputPrYr!E63</f>
        <v>26679</v>
      </c>
      <c r="C39" s="187"/>
      <c r="D39" s="209">
        <f>inputPrYr!E32</f>
        <v>24775</v>
      </c>
      <c r="E39" s="48"/>
      <c r="F39" s="451" t="s">
        <v>235</v>
      </c>
      <c r="G39" s="48"/>
      <c r="H39" s="48"/>
      <c r="J39" s="488" t="str">
        <f>CONCATENATE("",H1," Ad Valorem Tax Rev(Township Tot):")</f>
        <v>2015 Ad Valorem Tax Rev(Township Tot):</v>
      </c>
      <c r="K39" s="9"/>
      <c r="L39" s="9"/>
      <c r="M39" s="504">
        <f>SUM(G18,G19,G20,G25,G26,G27,G28,G29)</f>
        <v>2808</v>
      </c>
    </row>
    <row r="40" spans="1:13" ht="15">
      <c r="A40" s="87" t="s">
        <v>160</v>
      </c>
      <c r="B40" s="73">
        <f>inputPrYr!E64</f>
        <v>3533645</v>
      </c>
      <c r="C40" s="187"/>
      <c r="D40" s="73">
        <f>inputOth!E55</f>
        <v>19207152</v>
      </c>
      <c r="E40" s="187"/>
      <c r="F40" s="73">
        <f>inputOth!E11</f>
        <v>19971623</v>
      </c>
      <c r="G40" s="48"/>
      <c r="H40" s="48"/>
      <c r="J40" s="488" t="str">
        <f>CONCATENATE("Total ",H1," Ad Valorem Tax Revenue:")</f>
        <v>Total 2015 Ad Valorem Tax Revenue:</v>
      </c>
      <c r="K40" s="54"/>
      <c r="L40" s="54"/>
      <c r="M40" s="505">
        <f>M38+M39</f>
        <v>25505</v>
      </c>
    </row>
    <row r="41" spans="1:14" ht="15">
      <c r="A41" s="63" t="s">
        <v>215</v>
      </c>
      <c r="B41" s="188"/>
      <c r="C41" s="48"/>
      <c r="D41" s="158"/>
      <c r="E41" s="48"/>
      <c r="F41" s="73">
        <f>inputOth!E8</f>
        <v>3983358</v>
      </c>
      <c r="G41" s="48"/>
      <c r="H41" s="48"/>
      <c r="J41" s="488" t="str">
        <f>CONCATENATE("",H1-1," Ad Valorem Tax Rev(Township Only):")</f>
        <v>2014 Ad Valorem Tax Rev(Township Only):</v>
      </c>
      <c r="K41" s="9"/>
      <c r="L41" s="9"/>
      <c r="M41" s="506">
        <f>ROUND(SUM(E21:E24)*F41/1000,0)</f>
        <v>23346</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2796</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26142</v>
      </c>
      <c r="O43" s="498"/>
    </row>
    <row r="44" spans="1:13" ht="15">
      <c r="A44" s="55" t="s">
        <v>2</v>
      </c>
      <c r="B44" s="189">
        <f>H1-3</f>
        <v>2012</v>
      </c>
      <c r="C44" s="48"/>
      <c r="D44" s="189">
        <f>H1-2</f>
        <v>2013</v>
      </c>
      <c r="E44" s="48"/>
      <c r="F44" s="189">
        <f>H1-1</f>
        <v>2014</v>
      </c>
      <c r="G44" s="48"/>
      <c r="H44" s="48"/>
      <c r="J44" s="485" t="s">
        <v>705</v>
      </c>
      <c r="K44" s="484"/>
      <c r="L44" s="484"/>
      <c r="M44" s="483">
        <f>M40-M43</f>
        <v>-637</v>
      </c>
    </row>
    <row r="45" spans="1:13" ht="15">
      <c r="A45" s="55" t="s">
        <v>3</v>
      </c>
      <c r="B45" s="66">
        <f>inputPrYr!D67</f>
        <v>0</v>
      </c>
      <c r="C45" s="52"/>
      <c r="D45" s="66">
        <f>inputPrYr!E67</f>
        <v>0</v>
      </c>
      <c r="E45" s="52"/>
      <c r="F45" s="66">
        <f>debt!F11</f>
        <v>0</v>
      </c>
      <c r="G45" s="48"/>
      <c r="H45" s="48"/>
      <c r="J45" s="509" t="s">
        <v>710</v>
      </c>
      <c r="K45" s="510"/>
      <c r="L45" s="510"/>
      <c r="M45" s="505">
        <f>M38-M41</f>
        <v>-649</v>
      </c>
    </row>
    <row r="46" spans="1:13" ht="15">
      <c r="A46" s="55" t="s">
        <v>261</v>
      </c>
      <c r="B46" s="66">
        <f>inputPrYr!D68</f>
        <v>0</v>
      </c>
      <c r="C46" s="52"/>
      <c r="D46" s="66">
        <f>inputPrYr!E68</f>
        <v>0</v>
      </c>
      <c r="E46" s="52"/>
      <c r="F46" s="66">
        <f>debt!F15</f>
        <v>0</v>
      </c>
      <c r="G46" s="48"/>
      <c r="H46" s="48"/>
      <c r="J46" s="482" t="s">
        <v>709</v>
      </c>
      <c r="K46" s="479"/>
      <c r="L46" s="479"/>
      <c r="M46" s="481">
        <f>M39-M42</f>
        <v>12</v>
      </c>
    </row>
    <row r="47" spans="1:8" ht="15">
      <c r="A47" s="55" t="s">
        <v>701</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6" t="s">
        <v>706</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Ellsworth Township</v>
      </c>
      <c r="B51" s="883"/>
      <c r="C51" s="48"/>
      <c r="D51" s="48"/>
      <c r="E51" s="48"/>
      <c r="F51" s="48"/>
      <c r="G51" s="48"/>
      <c r="H51" s="48"/>
      <c r="J51" s="488" t="str">
        <f>CONCATENATE("Current ",$H$1," Estimated Mill Rate:")</f>
        <v>Current 2015 Estimated Mill Rate:</v>
      </c>
      <c r="K51" s="9"/>
      <c r="L51" s="9"/>
      <c r="M51" s="501">
        <f>IF(M50=0,0,$H$36)</f>
        <v>5.839</v>
      </c>
    </row>
    <row r="52" spans="1:13" ht="15">
      <c r="A52" s="887" t="str">
        <f>inputBudSum!B6</f>
        <v>David Hand, Treasurer</v>
      </c>
      <c r="B52" s="888"/>
      <c r="C52" s="48"/>
      <c r="D52" s="48"/>
      <c r="E52" s="48"/>
      <c r="F52" s="48"/>
      <c r="G52" s="48"/>
      <c r="H52" s="48"/>
      <c r="J52" s="488" t="s">
        <v>711</v>
      </c>
      <c r="K52" s="9"/>
      <c r="L52" s="9"/>
      <c r="M52" s="502">
        <f>M50-M51</f>
        <v>6.161</v>
      </c>
    </row>
    <row r="53" spans="1:13" ht="15">
      <c r="A53" s="48"/>
      <c r="B53" s="48"/>
      <c r="C53" s="48"/>
      <c r="D53" s="48"/>
      <c r="E53" s="48"/>
      <c r="F53" s="48"/>
      <c r="G53" s="48"/>
      <c r="H53" s="48"/>
      <c r="J53" s="474" t="s">
        <v>712</v>
      </c>
      <c r="K53" s="54"/>
      <c r="L53" s="54"/>
      <c r="M53" s="499">
        <f>IF(M50=0,0,ROUND(SUM(H21:H24)/M51,2))</f>
        <v>0.98</v>
      </c>
    </row>
    <row r="54" spans="1:13" ht="15">
      <c r="A54" s="48"/>
      <c r="B54" s="190" t="s">
        <v>249</v>
      </c>
      <c r="C54" s="191"/>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24051</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Ellsworth Township</v>
      </c>
      <c r="B1" s="48"/>
      <c r="C1" s="48"/>
      <c r="D1" s="48"/>
      <c r="E1" s="48"/>
      <c r="F1" s="48">
        <f>inputPrYr!D9</f>
        <v>2015</v>
      </c>
    </row>
    <row r="2" spans="1:6" ht="15">
      <c r="A2" s="48"/>
      <c r="B2" s="48"/>
      <c r="C2" s="48"/>
      <c r="D2" s="48"/>
      <c r="E2" s="48"/>
      <c r="F2" s="48"/>
    </row>
    <row r="3" spans="1:6" ht="15">
      <c r="A3" s="48"/>
      <c r="B3" s="822" t="str">
        <f>CONCATENATE("",F1," Neighborhood Revitalization Rebate")</f>
        <v>2015 Neighborhood Revitalization Rebate</v>
      </c>
      <c r="C3" s="830"/>
      <c r="D3" s="830"/>
      <c r="E3" s="830"/>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207</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91" t="str">
        <f>CONCATENATE("",F1-1," July 1 Valuation:")</f>
        <v>2014 July 1 Valuation:</v>
      </c>
      <c r="B21" s="890"/>
      <c r="C21" s="891"/>
      <c r="D21" s="320">
        <f>inputOth!E11</f>
        <v>19971623</v>
      </c>
      <c r="E21" s="48"/>
      <c r="F21" s="171"/>
    </row>
    <row r="22" spans="1:6" ht="15">
      <c r="A22" s="48"/>
      <c r="B22" s="48"/>
      <c r="C22" s="48"/>
      <c r="D22" s="48"/>
      <c r="E22" s="48"/>
      <c r="F22" s="171"/>
    </row>
    <row r="23" spans="1:6" ht="15">
      <c r="A23" s="48"/>
      <c r="B23" s="891" t="s">
        <v>352</v>
      </c>
      <c r="C23" s="891"/>
      <c r="D23" s="321">
        <f>IF(D21&gt;0,(D21*0.001),"")</f>
        <v>19971.623</v>
      </c>
      <c r="E23" s="48"/>
      <c r="F23" s="171"/>
    </row>
    <row r="24" spans="1:6" ht="15">
      <c r="A24" s="48"/>
      <c r="B24" s="99"/>
      <c r="C24" s="99"/>
      <c r="D24" s="322"/>
      <c r="E24" s="48"/>
      <c r="F24" s="171"/>
    </row>
    <row r="25" spans="1:6" ht="15">
      <c r="A25" s="889" t="s">
        <v>353</v>
      </c>
      <c r="B25" s="808"/>
      <c r="C25" s="808"/>
      <c r="D25" s="323">
        <f>inputOth!E33</f>
        <v>0</v>
      </c>
      <c r="E25" s="159"/>
      <c r="F25" s="159"/>
    </row>
    <row r="26" spans="1:6" ht="15">
      <c r="A26" s="159"/>
      <c r="B26" s="159"/>
      <c r="C26" s="159"/>
      <c r="D26" s="324"/>
      <c r="E26" s="159"/>
      <c r="F26" s="159"/>
    </row>
    <row r="27" spans="1:6" ht="15">
      <c r="A27" s="159"/>
      <c r="B27" s="889" t="s">
        <v>354</v>
      </c>
      <c r="C27" s="890"/>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590</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249</v>
      </c>
      <c r="C40" s="134"/>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5" t="s">
        <v>933</v>
      </c>
      <c r="D4" s="896"/>
      <c r="E4" s="896"/>
      <c r="F4" s="896"/>
      <c r="G4" s="896"/>
      <c r="H4" s="896"/>
      <c r="I4" s="897"/>
    </row>
    <row r="5" spans="3:9" ht="15.75" thickBot="1">
      <c r="C5" s="765"/>
      <c r="D5" s="765"/>
      <c r="E5" s="766"/>
      <c r="F5" s="767"/>
      <c r="G5" s="765"/>
      <c r="H5" s="765"/>
      <c r="I5" s="765"/>
    </row>
    <row r="6" spans="3:9" ht="15">
      <c r="C6" s="898" t="str">
        <f>CONCATENATE("Notice of Vote - ",inputPrYr!D3)</f>
        <v>Notice of Vote - Ellsworth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1" t="s">
        <v>934</v>
      </c>
      <c r="D4" s="902"/>
      <c r="E4" s="902"/>
      <c r="F4" s="902"/>
      <c r="G4" s="902"/>
      <c r="H4" s="903"/>
    </row>
    <row r="5" spans="3:8" ht="15.75" thickBot="1">
      <c r="C5" s="769"/>
      <c r="D5" s="769"/>
      <c r="E5" s="769"/>
      <c r="F5" s="769"/>
      <c r="G5" s="769"/>
      <c r="H5" s="769"/>
    </row>
    <row r="6" spans="3:8" ht="15">
      <c r="C6" s="898" t="str">
        <f>CONCATENATE("Notice of Vote - ",inputPrYr!D3)</f>
        <v>Notice of Vote - Ellsworth Township</v>
      </c>
      <c r="D6" s="899"/>
      <c r="E6" s="899"/>
      <c r="F6" s="899"/>
      <c r="G6" s="899"/>
      <c r="H6" s="900"/>
    </row>
    <row r="7" spans="3:8" ht="15">
      <c r="C7" s="904" t="s">
        <v>935</v>
      </c>
      <c r="D7" s="905"/>
      <c r="E7" s="905"/>
      <c r="F7" s="905"/>
      <c r="G7" s="905"/>
      <c r="H7" s="906"/>
    </row>
    <row r="8" spans="3:8" ht="15">
      <c r="C8" s="904" t="s">
        <v>936</v>
      </c>
      <c r="D8" s="905"/>
      <c r="E8" s="905"/>
      <c r="F8" s="905"/>
      <c r="G8" s="905"/>
      <c r="H8" s="906"/>
    </row>
    <row r="9" spans="3:8" ht="15">
      <c r="C9" s="772" t="str">
        <f>CONCATENATE(H2-1," Budget")</f>
        <v>2014 Budget</v>
      </c>
      <c r="D9" s="776" t="s">
        <v>242</v>
      </c>
      <c r="E9" s="778">
        <f>inputPrYr!E32</f>
        <v>24775</v>
      </c>
      <c r="F9" s="770"/>
      <c r="G9" s="770"/>
      <c r="H9" s="771"/>
    </row>
    <row r="10" spans="3:8" ht="15">
      <c r="C10" s="772" t="str">
        <f>CONCATENATE(H2," Budget")</f>
        <v>2015 Budget</v>
      </c>
      <c r="D10" s="776" t="s">
        <v>242</v>
      </c>
      <c r="E10" s="779">
        <f>cert!E39</f>
        <v>25505</v>
      </c>
      <c r="F10" s="770"/>
      <c r="G10" s="770"/>
      <c r="H10" s="771"/>
    </row>
    <row r="11" spans="3:8" ht="15">
      <c r="C11" s="772"/>
      <c r="D11" s="770"/>
      <c r="E11" s="770" t="s">
        <v>937</v>
      </c>
      <c r="F11" s="780"/>
      <c r="G11" s="775" t="s">
        <v>938</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382</v>
      </c>
      <c r="B3" s="345"/>
      <c r="C3" s="345"/>
      <c r="D3" s="345"/>
      <c r="E3" s="345"/>
      <c r="F3" s="345"/>
      <c r="G3" s="345"/>
      <c r="H3" s="345"/>
      <c r="I3" s="345"/>
      <c r="J3" s="345"/>
      <c r="K3" s="345"/>
      <c r="L3" s="345"/>
    </row>
    <row r="5" ht="15">
      <c r="A5" s="346" t="s">
        <v>383</v>
      </c>
    </row>
    <row r="6" ht="15">
      <c r="A6" s="346" t="str">
        <f>CONCATENATE(inputPrYr!D9-2," 'total expenditures' exceed your ",inputPrYr!D9-2," 'budget authority.'")</f>
        <v>2013 'total expenditures' exceed your 2013 'budget authority.'</v>
      </c>
    </row>
    <row r="7" ht="15">
      <c r="A7" s="346"/>
    </row>
    <row r="8" ht="15">
      <c r="A8" s="346" t="s">
        <v>384</v>
      </c>
    </row>
    <row r="9" ht="15">
      <c r="A9" s="346" t="s">
        <v>385</v>
      </c>
    </row>
    <row r="10" ht="15">
      <c r="A10" s="346" t="s">
        <v>386</v>
      </c>
    </row>
    <row r="11" ht="15">
      <c r="A11" s="346"/>
    </row>
    <row r="12" ht="15">
      <c r="A12" s="346"/>
    </row>
    <row r="13" ht="15">
      <c r="A13" s="347" t="s">
        <v>387</v>
      </c>
    </row>
    <row r="15" ht="15">
      <c r="A15" s="346" t="s">
        <v>388</v>
      </c>
    </row>
    <row r="16" ht="15">
      <c r="A16" s="346" t="str">
        <f>CONCATENATE("(i.e. an audit has not been completed, or the ",inputPrYr!D9," adopted")</f>
        <v>(i.e. an audit has not been completed, or the 2015 adopted</v>
      </c>
    </row>
    <row r="17" ht="15">
      <c r="A17" s="346" t="s">
        <v>389</v>
      </c>
    </row>
    <row r="18" ht="15">
      <c r="A18" s="346" t="s">
        <v>390</v>
      </c>
    </row>
    <row r="19" ht="15">
      <c r="A19" s="346" t="s">
        <v>391</v>
      </c>
    </row>
    <row r="21" ht="15">
      <c r="A21" s="347" t="s">
        <v>392</v>
      </c>
    </row>
    <row r="22" ht="15">
      <c r="A22" s="347"/>
    </row>
    <row r="23" ht="15">
      <c r="A23" s="346" t="s">
        <v>393</v>
      </c>
    </row>
    <row r="24" ht="15">
      <c r="A24" s="346" t="s">
        <v>394</v>
      </c>
    </row>
    <row r="25" ht="15">
      <c r="A25" s="346" t="str">
        <f>CONCATENATE("particular fund.  If your ",inputPrYr!D9-2," budget was amended, did you")</f>
        <v>particular fund.  If your 2013 budget was amended, did you</v>
      </c>
    </row>
    <row r="26" ht="15">
      <c r="A26" s="346" t="s">
        <v>395</v>
      </c>
    </row>
    <row r="27" ht="15">
      <c r="A27" s="346"/>
    </row>
    <row r="28" ht="15">
      <c r="A28" s="346" t="str">
        <f>CONCATENATE("Next, look to see if any of your ",inputPrYr!D9-2," expenditures can be")</f>
        <v>Next, look to see if any of your 2013 expenditures can be</v>
      </c>
    </row>
    <row r="29" ht="15">
      <c r="A29" s="346" t="s">
        <v>396</v>
      </c>
    </row>
    <row r="30" ht="15">
      <c r="A30" s="346" t="s">
        <v>397</v>
      </c>
    </row>
    <row r="31" ht="15">
      <c r="A31" s="346" t="s">
        <v>398</v>
      </c>
    </row>
    <row r="32" ht="15">
      <c r="A32" s="346"/>
    </row>
    <row r="33" ht="15">
      <c r="A33" s="346" t="str">
        <f>CONCATENATE("Additionally, do your ",inputPrYr!D9-2," receipts contain a reimbursement")</f>
        <v>Additionally, do your 2013 receipts contain a reimbursement</v>
      </c>
    </row>
    <row r="34" ht="15">
      <c r="A34" s="346" t="s">
        <v>399</v>
      </c>
    </row>
    <row r="35" ht="15">
      <c r="A35" s="346" t="s">
        <v>400</v>
      </c>
    </row>
    <row r="36" ht="15">
      <c r="A36" s="346"/>
    </row>
    <row r="37" ht="15">
      <c r="A37" s="346" t="s">
        <v>401</v>
      </c>
    </row>
    <row r="38" ht="15">
      <c r="A38" s="346" t="s">
        <v>402</v>
      </c>
    </row>
    <row r="39" ht="15">
      <c r="A39" s="346" t="s">
        <v>403</v>
      </c>
    </row>
    <row r="40" ht="15">
      <c r="A40" s="346" t="s">
        <v>404</v>
      </c>
    </row>
    <row r="41" ht="15">
      <c r="A41" s="346" t="s">
        <v>405</v>
      </c>
    </row>
    <row r="42" ht="15">
      <c r="A42" s="346" t="s">
        <v>406</v>
      </c>
    </row>
    <row r="43" ht="15">
      <c r="A43" s="346" t="s">
        <v>407</v>
      </c>
    </row>
    <row r="44" ht="15">
      <c r="A44" s="346" t="s">
        <v>408</v>
      </c>
    </row>
    <row r="45" ht="15">
      <c r="A45" s="346"/>
    </row>
    <row r="46" ht="15">
      <c r="A46" s="346" t="s">
        <v>409</v>
      </c>
    </row>
    <row r="47" ht="15">
      <c r="A47" s="346" t="s">
        <v>410</v>
      </c>
    </row>
    <row r="48" ht="15">
      <c r="A48" s="346" t="s">
        <v>411</v>
      </c>
    </row>
    <row r="49" ht="15">
      <c r="A49" s="346"/>
    </row>
    <row r="50" ht="15">
      <c r="A50" s="346" t="s">
        <v>412</v>
      </c>
    </row>
    <row r="51" ht="15">
      <c r="A51" s="346" t="s">
        <v>413</v>
      </c>
    </row>
    <row r="52" ht="15">
      <c r="A52" s="346" t="s">
        <v>414</v>
      </c>
    </row>
    <row r="53" ht="15">
      <c r="A53" s="346"/>
    </row>
    <row r="54" ht="15">
      <c r="A54" s="347" t="s">
        <v>415</v>
      </c>
    </row>
    <row r="55" ht="15">
      <c r="A55" s="346"/>
    </row>
    <row r="56" ht="15">
      <c r="A56" s="346" t="s">
        <v>416</v>
      </c>
    </row>
    <row r="57" ht="15">
      <c r="A57" s="346" t="s">
        <v>417</v>
      </c>
    </row>
    <row r="58" ht="15">
      <c r="A58" s="346" t="s">
        <v>418</v>
      </c>
    </row>
    <row r="59" ht="15">
      <c r="A59" s="346" t="s">
        <v>419</v>
      </c>
    </row>
    <row r="60" ht="15">
      <c r="A60" s="346" t="s">
        <v>420</v>
      </c>
    </row>
    <row r="61" ht="15">
      <c r="A61" s="346" t="s">
        <v>421</v>
      </c>
    </row>
    <row r="62" ht="15">
      <c r="A62" s="346" t="s">
        <v>422</v>
      </c>
    </row>
    <row r="63" ht="15">
      <c r="A63" s="346" t="s">
        <v>423</v>
      </c>
    </row>
    <row r="64" ht="15">
      <c r="A64" s="346" t="s">
        <v>424</v>
      </c>
    </row>
    <row r="65" ht="15">
      <c r="A65" s="346" t="s">
        <v>425</v>
      </c>
    </row>
    <row r="66" ht="15">
      <c r="A66" s="346" t="s">
        <v>426</v>
      </c>
    </row>
    <row r="67" ht="15">
      <c r="A67" s="346" t="s">
        <v>427</v>
      </c>
    </row>
    <row r="68" ht="15">
      <c r="A68" s="346" t="s">
        <v>428</v>
      </c>
    </row>
    <row r="69" ht="15">
      <c r="A69" s="346"/>
    </row>
    <row r="70" ht="15">
      <c r="A70" s="346" t="s">
        <v>429</v>
      </c>
    </row>
    <row r="71" ht="15">
      <c r="A71" s="346" t="s">
        <v>430</v>
      </c>
    </row>
    <row r="72" ht="15">
      <c r="A72" s="346" t="s">
        <v>431</v>
      </c>
    </row>
    <row r="73" ht="15">
      <c r="A73" s="346"/>
    </row>
    <row r="74" ht="15">
      <c r="A74" s="347" t="str">
        <f>CONCATENATE("What if the ",inputPrYr!D9-2," financial records have been closed?")</f>
        <v>What if the 2013 financial records have been closed?</v>
      </c>
    </row>
    <row r="76" ht="15">
      <c r="A76" s="346" t="s">
        <v>432</v>
      </c>
    </row>
    <row r="77" ht="15">
      <c r="A77" s="346" t="str">
        <f>CONCATENATE("(i.e. an audit for ",inputPrYr!D9-2," has been completed, or the ",inputPrYr!D9)</f>
        <v>(i.e. an audit for 2013 has been completed, or the 2015</v>
      </c>
    </row>
    <row r="78" ht="15">
      <c r="A78" s="346" t="s">
        <v>433</v>
      </c>
    </row>
    <row r="79" ht="15">
      <c r="A79" s="346" t="s">
        <v>434</v>
      </c>
    </row>
    <row r="80" ht="15">
      <c r="A80" s="346"/>
    </row>
    <row r="81" ht="15">
      <c r="A81" s="346" t="s">
        <v>435</v>
      </c>
    </row>
    <row r="82" ht="15">
      <c r="A82" s="346" t="s">
        <v>436</v>
      </c>
    </row>
    <row r="83" ht="15">
      <c r="A83" s="346" t="s">
        <v>437</v>
      </c>
    </row>
    <row r="84" ht="15">
      <c r="A84" s="346"/>
    </row>
    <row r="85" ht="1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439</v>
      </c>
      <c r="B3" s="345"/>
      <c r="C3" s="345"/>
      <c r="D3" s="345"/>
      <c r="E3" s="345"/>
      <c r="F3" s="345"/>
      <c r="G3" s="345"/>
      <c r="H3" s="348"/>
      <c r="I3" s="348"/>
      <c r="J3" s="348"/>
    </row>
    <row r="5" ht="15">
      <c r="A5" s="346" t="s">
        <v>440</v>
      </c>
    </row>
    <row r="6" ht="15">
      <c r="A6" t="str">
        <f>CONCATENATE(inputPrYr!D9-2," expenditures show that you finished the year with a ")</f>
        <v>2013 expenditures show that you finished the year with a </v>
      </c>
    </row>
    <row r="7" ht="15">
      <c r="A7" t="s">
        <v>441</v>
      </c>
    </row>
    <row r="9" ht="15">
      <c r="A9" t="s">
        <v>442</v>
      </c>
    </row>
    <row r="10" ht="15">
      <c r="A10" t="s">
        <v>443</v>
      </c>
    </row>
    <row r="11" ht="15">
      <c r="A11" t="s">
        <v>444</v>
      </c>
    </row>
    <row r="13" ht="15">
      <c r="A13" s="347" t="s">
        <v>445</v>
      </c>
    </row>
    <row r="14" ht="15">
      <c r="A14" s="347"/>
    </row>
    <row r="15" ht="15">
      <c r="A15" s="346" t="s">
        <v>446</v>
      </c>
    </row>
    <row r="16" ht="15">
      <c r="A16" s="346" t="s">
        <v>447</v>
      </c>
    </row>
    <row r="17" ht="15">
      <c r="A17" s="346" t="s">
        <v>448</v>
      </c>
    </row>
    <row r="18" ht="15">
      <c r="A18" s="346"/>
    </row>
    <row r="19" ht="15">
      <c r="A19" s="347" t="s">
        <v>449</v>
      </c>
    </row>
    <row r="20" ht="15">
      <c r="A20" s="347"/>
    </row>
    <row r="21" ht="15">
      <c r="A21" s="346" t="s">
        <v>450</v>
      </c>
    </row>
    <row r="22" ht="15">
      <c r="A22" s="346" t="s">
        <v>451</v>
      </c>
    </row>
    <row r="23" ht="15">
      <c r="A23" s="346" t="s">
        <v>452</v>
      </c>
    </row>
    <row r="24" ht="15">
      <c r="A24" s="346"/>
    </row>
    <row r="25" ht="15">
      <c r="A25" s="347" t="s">
        <v>453</v>
      </c>
    </row>
    <row r="26" ht="15">
      <c r="A26" s="347"/>
    </row>
    <row r="27" ht="15">
      <c r="A27" s="346" t="s">
        <v>454</v>
      </c>
    </row>
    <row r="28" ht="15">
      <c r="A28" s="346" t="s">
        <v>455</v>
      </c>
    </row>
    <row r="29" ht="15">
      <c r="A29" s="346" t="s">
        <v>456</v>
      </c>
    </row>
    <row r="30" ht="15">
      <c r="A30" s="346"/>
    </row>
    <row r="31" ht="15">
      <c r="A31" s="347" t="s">
        <v>457</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458</v>
      </c>
      <c r="B35" s="346"/>
      <c r="C35" s="346"/>
      <c r="D35" s="346"/>
      <c r="E35" s="346"/>
      <c r="F35" s="346"/>
      <c r="G35" s="346"/>
      <c r="H35" s="346"/>
    </row>
    <row r="36" spans="1:8" ht="15">
      <c r="A36" s="346" t="s">
        <v>459</v>
      </c>
      <c r="B36" s="346"/>
      <c r="C36" s="346"/>
      <c r="D36" s="346"/>
      <c r="E36" s="346"/>
      <c r="F36" s="346"/>
      <c r="G36" s="346"/>
      <c r="H36" s="346"/>
    </row>
    <row r="37" spans="1:8" ht="15">
      <c r="A37" s="346" t="s">
        <v>460</v>
      </c>
      <c r="B37" s="346"/>
      <c r="C37" s="346"/>
      <c r="D37" s="346"/>
      <c r="E37" s="346"/>
      <c r="F37" s="346"/>
      <c r="G37" s="346"/>
      <c r="H37" s="346"/>
    </row>
    <row r="38" spans="1:8" ht="15">
      <c r="A38" s="346" t="s">
        <v>461</v>
      </c>
      <c r="B38" s="346"/>
      <c r="C38" s="346"/>
      <c r="D38" s="346"/>
      <c r="E38" s="346"/>
      <c r="F38" s="346"/>
      <c r="G38" s="346"/>
      <c r="H38" s="346"/>
    </row>
    <row r="39" spans="1:8" ht="15">
      <c r="A39" s="346" t="s">
        <v>462</v>
      </c>
      <c r="B39" s="346"/>
      <c r="C39" s="346"/>
      <c r="D39" s="346"/>
      <c r="E39" s="346"/>
      <c r="F39" s="346"/>
      <c r="G39" s="346"/>
      <c r="H39" s="346"/>
    </row>
    <row r="40" spans="1:8" ht="15">
      <c r="A40" s="346"/>
      <c r="B40" s="346"/>
      <c r="C40" s="346"/>
      <c r="D40" s="346"/>
      <c r="E40" s="346"/>
      <c r="F40" s="346"/>
      <c r="G40" s="346"/>
      <c r="H40" s="346"/>
    </row>
    <row r="41" spans="1:8" ht="15">
      <c r="A41" s="346" t="s">
        <v>463</v>
      </c>
      <c r="B41" s="346"/>
      <c r="C41" s="346"/>
      <c r="D41" s="346"/>
      <c r="E41" s="346"/>
      <c r="F41" s="346"/>
      <c r="G41" s="346"/>
      <c r="H41" s="346"/>
    </row>
    <row r="42" spans="1:8" ht="15">
      <c r="A42" s="346" t="s">
        <v>464</v>
      </c>
      <c r="B42" s="346"/>
      <c r="C42" s="346"/>
      <c r="D42" s="346"/>
      <c r="E42" s="346"/>
      <c r="F42" s="346"/>
      <c r="G42" s="346"/>
      <c r="H42" s="346"/>
    </row>
    <row r="43" spans="1:8" ht="15">
      <c r="A43" s="346" t="s">
        <v>465</v>
      </c>
      <c r="B43" s="346"/>
      <c r="C43" s="346"/>
      <c r="D43" s="346"/>
      <c r="E43" s="346"/>
      <c r="F43" s="346"/>
      <c r="G43" s="346"/>
      <c r="H43" s="346"/>
    </row>
    <row r="44" spans="1:8" ht="15">
      <c r="A44" s="346" t="s">
        <v>466</v>
      </c>
      <c r="B44" s="346"/>
      <c r="C44" s="346"/>
      <c r="D44" s="346"/>
      <c r="E44" s="346"/>
      <c r="F44" s="346"/>
      <c r="G44" s="346"/>
      <c r="H44" s="346"/>
    </row>
    <row r="45" spans="1:8" ht="15">
      <c r="A45" s="346"/>
      <c r="B45" s="346"/>
      <c r="C45" s="346"/>
      <c r="D45" s="346"/>
      <c r="E45" s="346"/>
      <c r="F45" s="346"/>
      <c r="G45" s="346"/>
      <c r="H45" s="346"/>
    </row>
    <row r="46" spans="1:8" ht="15">
      <c r="A46" s="346" t="s">
        <v>467</v>
      </c>
      <c r="B46" s="346"/>
      <c r="C46" s="346"/>
      <c r="D46" s="346"/>
      <c r="E46" s="346"/>
      <c r="F46" s="346"/>
      <c r="G46" s="346"/>
      <c r="H46" s="346"/>
    </row>
    <row r="47" spans="1:8" ht="15">
      <c r="A47" s="346" t="s">
        <v>468</v>
      </c>
      <c r="B47" s="346"/>
      <c r="C47" s="346"/>
      <c r="D47" s="346"/>
      <c r="E47" s="346"/>
      <c r="F47" s="346"/>
      <c r="G47" s="346"/>
      <c r="H47" s="346"/>
    </row>
    <row r="48" spans="1:8" ht="15">
      <c r="A48" s="346" t="s">
        <v>469</v>
      </c>
      <c r="B48" s="346"/>
      <c r="C48" s="346"/>
      <c r="D48" s="346"/>
      <c r="E48" s="346"/>
      <c r="F48" s="346"/>
      <c r="G48" s="346"/>
      <c r="H48" s="346"/>
    </row>
    <row r="49" spans="1:8" ht="15">
      <c r="A49" s="346" t="s">
        <v>470</v>
      </c>
      <c r="B49" s="346"/>
      <c r="C49" s="346"/>
      <c r="D49" s="346"/>
      <c r="E49" s="346"/>
      <c r="F49" s="346"/>
      <c r="G49" s="346"/>
      <c r="H49" s="346"/>
    </row>
    <row r="50" spans="1:8" ht="15">
      <c r="A50" s="346" t="s">
        <v>471</v>
      </c>
      <c r="B50" s="346"/>
      <c r="C50" s="346"/>
      <c r="D50" s="346"/>
      <c r="E50" s="346"/>
      <c r="F50" s="346"/>
      <c r="G50" s="346"/>
      <c r="H50" s="346"/>
    </row>
    <row r="51" spans="1:8" ht="15">
      <c r="A51" s="346"/>
      <c r="B51" s="346"/>
      <c r="C51" s="346"/>
      <c r="D51" s="346"/>
      <c r="E51" s="346"/>
      <c r="F51" s="346"/>
      <c r="G51" s="346"/>
      <c r="H51" s="346"/>
    </row>
    <row r="52" spans="1:8" ht="15">
      <c r="A52" s="347" t="s">
        <v>472</v>
      </c>
      <c r="B52" s="347"/>
      <c r="C52" s="347"/>
      <c r="D52" s="347"/>
      <c r="E52" s="347"/>
      <c r="F52" s="347"/>
      <c r="G52" s="347"/>
      <c r="H52" s="346"/>
    </row>
    <row r="53" spans="1:8" ht="15">
      <c r="A53" s="347" t="s">
        <v>473</v>
      </c>
      <c r="B53" s="347"/>
      <c r="C53" s="347"/>
      <c r="D53" s="347"/>
      <c r="E53" s="347"/>
      <c r="F53" s="347"/>
      <c r="G53" s="347"/>
      <c r="H53" s="346"/>
    </row>
    <row r="54" spans="1:8" ht="15">
      <c r="A54" s="346"/>
      <c r="B54" s="346"/>
      <c r="C54" s="346"/>
      <c r="D54" s="346"/>
      <c r="E54" s="346"/>
      <c r="F54" s="346"/>
      <c r="G54" s="346"/>
      <c r="H54" s="346"/>
    </row>
    <row r="55" spans="1:8" ht="15">
      <c r="A55" s="346" t="s">
        <v>474</v>
      </c>
      <c r="B55" s="346"/>
      <c r="C55" s="346"/>
      <c r="D55" s="346"/>
      <c r="E55" s="346"/>
      <c r="F55" s="346"/>
      <c r="G55" s="346"/>
      <c r="H55" s="346"/>
    </row>
    <row r="56" spans="1:8" ht="15">
      <c r="A56" s="346" t="s">
        <v>475</v>
      </c>
      <c r="B56" s="346"/>
      <c r="C56" s="346"/>
      <c r="D56" s="346"/>
      <c r="E56" s="346"/>
      <c r="F56" s="346"/>
      <c r="G56" s="346"/>
      <c r="H56" s="346"/>
    </row>
    <row r="57" spans="1:8" ht="15">
      <c r="A57" s="346" t="s">
        <v>476</v>
      </c>
      <c r="B57" s="346"/>
      <c r="C57" s="346"/>
      <c r="D57" s="346"/>
      <c r="E57" s="346"/>
      <c r="F57" s="346"/>
      <c r="G57" s="346"/>
      <c r="H57" s="346"/>
    </row>
    <row r="58" spans="1:8" ht="15">
      <c r="A58" s="346" t="s">
        <v>477</v>
      </c>
      <c r="B58" s="346"/>
      <c r="C58" s="346"/>
      <c r="D58" s="346"/>
      <c r="E58" s="346"/>
      <c r="F58" s="346"/>
      <c r="G58" s="346"/>
      <c r="H58" s="346"/>
    </row>
    <row r="59" spans="1:8" ht="15">
      <c r="A59" s="346"/>
      <c r="B59" s="346"/>
      <c r="C59" s="346"/>
      <c r="D59" s="346"/>
      <c r="E59" s="346"/>
      <c r="F59" s="346"/>
      <c r="G59" s="346"/>
      <c r="H59" s="346"/>
    </row>
    <row r="60" spans="1:8" ht="15">
      <c r="A60" s="346" t="s">
        <v>478</v>
      </c>
      <c r="B60" s="346"/>
      <c r="C60" s="346"/>
      <c r="D60" s="346"/>
      <c r="E60" s="346"/>
      <c r="F60" s="346"/>
      <c r="G60" s="346"/>
      <c r="H60" s="346"/>
    </row>
    <row r="61" spans="1:8" ht="15">
      <c r="A61" s="346" t="s">
        <v>479</v>
      </c>
      <c r="B61" s="346"/>
      <c r="C61" s="346"/>
      <c r="D61" s="346"/>
      <c r="E61" s="346"/>
      <c r="F61" s="346"/>
      <c r="G61" s="346"/>
      <c r="H61" s="346"/>
    </row>
    <row r="62" spans="1:8" ht="15">
      <c r="A62" s="346" t="s">
        <v>480</v>
      </c>
      <c r="B62" s="346"/>
      <c r="C62" s="346"/>
      <c r="D62" s="346"/>
      <c r="E62" s="346"/>
      <c r="F62" s="346"/>
      <c r="G62" s="346"/>
      <c r="H62" s="346"/>
    </row>
    <row r="63" spans="1:8" ht="15">
      <c r="A63" s="346" t="s">
        <v>481</v>
      </c>
      <c r="B63" s="346"/>
      <c r="C63" s="346"/>
      <c r="D63" s="346"/>
      <c r="E63" s="346"/>
      <c r="F63" s="346"/>
      <c r="G63" s="346"/>
      <c r="H63" s="346"/>
    </row>
    <row r="64" spans="1:8" ht="15">
      <c r="A64" s="346" t="s">
        <v>482</v>
      </c>
      <c r="B64" s="346"/>
      <c r="C64" s="346"/>
      <c r="D64" s="346"/>
      <c r="E64" s="346"/>
      <c r="F64" s="346"/>
      <c r="G64" s="346"/>
      <c r="H64" s="346"/>
    </row>
    <row r="65" spans="1:8" ht="15">
      <c r="A65" s="346" t="s">
        <v>483</v>
      </c>
      <c r="B65" s="346"/>
      <c r="C65" s="346"/>
      <c r="D65" s="346"/>
      <c r="E65" s="346"/>
      <c r="F65" s="346"/>
      <c r="G65" s="346"/>
      <c r="H65" s="346"/>
    </row>
    <row r="66" spans="1:8" ht="15">
      <c r="A66" s="346"/>
      <c r="B66" s="346"/>
      <c r="C66" s="346"/>
      <c r="D66" s="346"/>
      <c r="E66" s="346"/>
      <c r="F66" s="346"/>
      <c r="G66" s="346"/>
      <c r="H66" s="346"/>
    </row>
    <row r="67" spans="1:8" ht="15">
      <c r="A67" s="346" t="s">
        <v>484</v>
      </c>
      <c r="B67" s="346"/>
      <c r="C67" s="346"/>
      <c r="D67" s="346"/>
      <c r="E67" s="346"/>
      <c r="F67" s="346"/>
      <c r="G67" s="346"/>
      <c r="H67" s="346"/>
    </row>
    <row r="68" spans="1:8" ht="15">
      <c r="A68" s="346" t="s">
        <v>485</v>
      </c>
      <c r="B68" s="346"/>
      <c r="C68" s="346"/>
      <c r="D68" s="346"/>
      <c r="E68" s="346"/>
      <c r="F68" s="346"/>
      <c r="G68" s="346"/>
      <c r="H68" s="346"/>
    </row>
    <row r="69" spans="1:8" ht="15">
      <c r="A69" s="346" t="s">
        <v>486</v>
      </c>
      <c r="B69" s="346"/>
      <c r="C69" s="346"/>
      <c r="D69" s="346"/>
      <c r="E69" s="346"/>
      <c r="F69" s="346"/>
      <c r="G69" s="346"/>
      <c r="H69" s="346"/>
    </row>
    <row r="70" spans="1:8" ht="15">
      <c r="A70" s="346" t="s">
        <v>487</v>
      </c>
      <c r="B70" s="346"/>
      <c r="C70" s="346"/>
      <c r="D70" s="346"/>
      <c r="E70" s="346"/>
      <c r="F70" s="346"/>
      <c r="G70" s="346"/>
      <c r="H70" s="346"/>
    </row>
    <row r="71" spans="1:8" ht="15">
      <c r="A71" s="346" t="s">
        <v>488</v>
      </c>
      <c r="B71" s="346"/>
      <c r="C71" s="346"/>
      <c r="D71" s="346"/>
      <c r="E71" s="346"/>
      <c r="F71" s="346"/>
      <c r="G71" s="346"/>
      <c r="H71" s="346"/>
    </row>
    <row r="72" spans="1:8" ht="15">
      <c r="A72" s="346" t="s">
        <v>489</v>
      </c>
      <c r="B72" s="346"/>
      <c r="C72" s="346"/>
      <c r="D72" s="346"/>
      <c r="E72" s="346"/>
      <c r="F72" s="346"/>
      <c r="G72" s="346"/>
      <c r="H72" s="346"/>
    </row>
    <row r="73" spans="1:8" ht="15">
      <c r="A73" s="346" t="s">
        <v>490</v>
      </c>
      <c r="B73" s="346"/>
      <c r="C73" s="346"/>
      <c r="D73" s="346"/>
      <c r="E73" s="346"/>
      <c r="F73" s="346"/>
      <c r="G73" s="346"/>
      <c r="H73" s="346"/>
    </row>
    <row r="74" spans="1:8" ht="15">
      <c r="A74" s="346"/>
      <c r="B74" s="346"/>
      <c r="C74" s="346"/>
      <c r="D74" s="346"/>
      <c r="E74" s="346"/>
      <c r="F74" s="346"/>
      <c r="G74" s="346"/>
      <c r="H74" s="346"/>
    </row>
    <row r="75" spans="1:8" ht="15">
      <c r="A75" s="346" t="s">
        <v>491</v>
      </c>
      <c r="B75" s="346"/>
      <c r="C75" s="346"/>
      <c r="D75" s="346"/>
      <c r="E75" s="346"/>
      <c r="F75" s="346"/>
      <c r="G75" s="346"/>
      <c r="H75" s="346"/>
    </row>
    <row r="76" spans="1:8" ht="15">
      <c r="A76" s="346" t="s">
        <v>492</v>
      </c>
      <c r="B76" s="346"/>
      <c r="C76" s="346"/>
      <c r="D76" s="346"/>
      <c r="E76" s="346"/>
      <c r="F76" s="346"/>
      <c r="G76" s="346"/>
      <c r="H76" s="346"/>
    </row>
    <row r="77" spans="1:8" ht="15">
      <c r="A77" s="346" t="s">
        <v>493</v>
      </c>
      <c r="B77" s="346"/>
      <c r="C77" s="346"/>
      <c r="D77" s="346"/>
      <c r="E77" s="346"/>
      <c r="F77" s="346"/>
      <c r="G77" s="346"/>
      <c r="H77" s="346"/>
    </row>
    <row r="78" spans="1:8" ht="15">
      <c r="A78" s="346"/>
      <c r="B78" s="346"/>
      <c r="C78" s="346"/>
      <c r="D78" s="346"/>
      <c r="E78" s="346"/>
      <c r="F78" s="346"/>
      <c r="G78" s="346"/>
      <c r="H78" s="346"/>
    </row>
    <row r="79" ht="15">
      <c r="A79" s="346" t="s">
        <v>438</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494</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383</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495</v>
      </c>
      <c r="I7" s="345"/>
      <c r="J7" s="345"/>
      <c r="K7" s="345"/>
      <c r="L7" s="345"/>
    </row>
    <row r="8" spans="1:12" ht="15">
      <c r="A8" s="346"/>
      <c r="I8" s="345"/>
      <c r="J8" s="345"/>
      <c r="K8" s="345"/>
      <c r="L8" s="345"/>
    </row>
    <row r="9" spans="1:12" ht="15">
      <c r="A9" s="346" t="s">
        <v>496</v>
      </c>
      <c r="I9" s="345"/>
      <c r="J9" s="345"/>
      <c r="K9" s="345"/>
      <c r="L9" s="345"/>
    </row>
    <row r="10" spans="1:12" ht="15">
      <c r="A10" s="346" t="s">
        <v>497</v>
      </c>
      <c r="I10" s="345"/>
      <c r="J10" s="345"/>
      <c r="K10" s="345"/>
      <c r="L10" s="345"/>
    </row>
    <row r="11" spans="1:12" ht="15">
      <c r="A11" s="346" t="s">
        <v>498</v>
      </c>
      <c r="I11" s="345"/>
      <c r="J11" s="345"/>
      <c r="K11" s="345"/>
      <c r="L11" s="345"/>
    </row>
    <row r="12" spans="1:12" ht="15">
      <c r="A12" s="346" t="s">
        <v>499</v>
      </c>
      <c r="I12" s="345"/>
      <c r="J12" s="345"/>
      <c r="K12" s="345"/>
      <c r="L12" s="345"/>
    </row>
    <row r="13" spans="1:12" ht="15">
      <c r="A13" s="346" t="s">
        <v>500</v>
      </c>
      <c r="I13" s="345"/>
      <c r="J13" s="345"/>
      <c r="K13" s="345"/>
      <c r="L13" s="345"/>
    </row>
    <row r="14" spans="1:12" ht="15">
      <c r="A14" s="345"/>
      <c r="B14" s="345"/>
      <c r="C14" s="345"/>
      <c r="D14" s="345"/>
      <c r="E14" s="345"/>
      <c r="F14" s="345"/>
      <c r="G14" s="345"/>
      <c r="H14" s="345"/>
      <c r="I14" s="345"/>
      <c r="J14" s="345"/>
      <c r="K14" s="345"/>
      <c r="L14" s="345"/>
    </row>
    <row r="15" ht="15">
      <c r="A15" s="347" t="s">
        <v>501</v>
      </c>
    </row>
    <row r="16" ht="15">
      <c r="A16" s="347" t="s">
        <v>502</v>
      </c>
    </row>
    <row r="17" ht="15">
      <c r="A17" s="347"/>
    </row>
    <row r="18" spans="1:7" ht="15">
      <c r="A18" s="346" t="s">
        <v>503</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504</v>
      </c>
      <c r="B20" s="346"/>
      <c r="C20" s="346"/>
      <c r="D20" s="346"/>
      <c r="E20" s="346"/>
      <c r="F20" s="346"/>
      <c r="G20" s="346"/>
    </row>
    <row r="21" spans="1:7" ht="15">
      <c r="A21" s="346" t="s">
        <v>505</v>
      </c>
      <c r="B21" s="346"/>
      <c r="C21" s="346"/>
      <c r="D21" s="346"/>
      <c r="E21" s="346"/>
      <c r="F21" s="346"/>
      <c r="G21" s="346"/>
    </row>
    <row r="22" ht="15">
      <c r="A22" s="346"/>
    </row>
    <row r="23" ht="15">
      <c r="A23" s="347" t="s">
        <v>506</v>
      </c>
    </row>
    <row r="24" ht="15">
      <c r="A24" s="347"/>
    </row>
    <row r="25" ht="15">
      <c r="A25" s="346" t="s">
        <v>507</v>
      </c>
    </row>
    <row r="26" spans="1:6" ht="15">
      <c r="A26" s="346" t="s">
        <v>508</v>
      </c>
      <c r="B26" s="346"/>
      <c r="C26" s="346"/>
      <c r="D26" s="346"/>
      <c r="E26" s="346"/>
      <c r="F26" s="346"/>
    </row>
    <row r="27" spans="1:6" ht="15">
      <c r="A27" s="346" t="s">
        <v>509</v>
      </c>
      <c r="B27" s="346"/>
      <c r="C27" s="346"/>
      <c r="D27" s="346"/>
      <c r="E27" s="346"/>
      <c r="F27" s="346"/>
    </row>
    <row r="28" spans="1:6" ht="15">
      <c r="A28" s="346" t="s">
        <v>510</v>
      </c>
      <c r="B28" s="346"/>
      <c r="C28" s="346"/>
      <c r="D28" s="346"/>
      <c r="E28" s="346"/>
      <c r="F28" s="346"/>
    </row>
    <row r="29" spans="1:6" ht="15">
      <c r="A29" s="346"/>
      <c r="B29" s="346"/>
      <c r="C29" s="346"/>
      <c r="D29" s="346"/>
      <c r="E29" s="346"/>
      <c r="F29" s="346"/>
    </row>
    <row r="30" spans="1:7" ht="15">
      <c r="A30" s="347" t="s">
        <v>511</v>
      </c>
      <c r="B30" s="347"/>
      <c r="C30" s="347"/>
      <c r="D30" s="347"/>
      <c r="E30" s="347"/>
      <c r="F30" s="347"/>
      <c r="G30" s="347"/>
    </row>
    <row r="31" spans="1:7" ht="15">
      <c r="A31" s="347" t="s">
        <v>512</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513</v>
      </c>
      <c r="B34" s="346"/>
      <c r="C34" s="346"/>
      <c r="D34" s="346"/>
      <c r="E34" s="346"/>
      <c r="F34" s="346"/>
    </row>
    <row r="35" spans="1:6" ht="15">
      <c r="A35" s="350" t="s">
        <v>397</v>
      </c>
      <c r="B35" s="346"/>
      <c r="C35" s="346"/>
      <c r="D35" s="346"/>
      <c r="E35" s="346"/>
      <c r="F35" s="346"/>
    </row>
    <row r="36" spans="1:6" ht="15">
      <c r="A36" s="350" t="s">
        <v>398</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399</v>
      </c>
      <c r="B39" s="346"/>
      <c r="C39" s="346"/>
      <c r="D39" s="346"/>
      <c r="E39" s="346"/>
      <c r="F39" s="346"/>
    </row>
    <row r="40" spans="1:6" ht="15">
      <c r="A40" s="350" t="s">
        <v>400</v>
      </c>
      <c r="B40" s="346"/>
      <c r="C40" s="346"/>
      <c r="D40" s="346"/>
      <c r="E40" s="346"/>
      <c r="F40" s="346"/>
    </row>
    <row r="41" spans="1:6" ht="15">
      <c r="A41" s="350"/>
      <c r="B41" s="346"/>
      <c r="C41" s="346"/>
      <c r="D41" s="346"/>
      <c r="E41" s="346"/>
      <c r="F41" s="346"/>
    </row>
    <row r="42" spans="1:6" ht="15">
      <c r="A42" s="350" t="s">
        <v>401</v>
      </c>
      <c r="B42" s="346"/>
      <c r="C42" s="346"/>
      <c r="D42" s="346"/>
      <c r="E42" s="346"/>
      <c r="F42" s="346"/>
    </row>
    <row r="43" spans="1:6" ht="15">
      <c r="A43" s="350" t="s">
        <v>402</v>
      </c>
      <c r="B43" s="346"/>
      <c r="C43" s="346"/>
      <c r="D43" s="346"/>
      <c r="E43" s="346"/>
      <c r="F43" s="346"/>
    </row>
    <row r="44" spans="1:6" ht="15">
      <c r="A44" s="350" t="s">
        <v>403</v>
      </c>
      <c r="B44" s="346"/>
      <c r="C44" s="346"/>
      <c r="D44" s="346"/>
      <c r="E44" s="346"/>
      <c r="F44" s="346"/>
    </row>
    <row r="45" spans="1:6" ht="15">
      <c r="A45" s="350" t="s">
        <v>514</v>
      </c>
      <c r="B45" s="346"/>
      <c r="C45" s="346"/>
      <c r="D45" s="346"/>
      <c r="E45" s="346"/>
      <c r="F45" s="346"/>
    </row>
    <row r="46" spans="1:6" ht="15">
      <c r="A46" s="350" t="s">
        <v>405</v>
      </c>
      <c r="B46" s="346"/>
      <c r="C46" s="346"/>
      <c r="D46" s="346"/>
      <c r="E46" s="346"/>
      <c r="F46" s="346"/>
    </row>
    <row r="47" spans="1:6" ht="15">
      <c r="A47" s="350" t="s">
        <v>515</v>
      </c>
      <c r="B47" s="346"/>
      <c r="C47" s="346"/>
      <c r="D47" s="346"/>
      <c r="E47" s="346"/>
      <c r="F47" s="346"/>
    </row>
    <row r="48" spans="1:6" ht="15">
      <c r="A48" s="350" t="s">
        <v>516</v>
      </c>
      <c r="B48" s="346"/>
      <c r="C48" s="346"/>
      <c r="D48" s="346"/>
      <c r="E48" s="346"/>
      <c r="F48" s="346"/>
    </row>
    <row r="49" spans="1:6" ht="15">
      <c r="A49" s="350" t="s">
        <v>408</v>
      </c>
      <c r="B49" s="346"/>
      <c r="C49" s="346"/>
      <c r="D49" s="346"/>
      <c r="E49" s="346"/>
      <c r="F49" s="346"/>
    </row>
    <row r="50" spans="1:6" ht="15">
      <c r="A50" s="350"/>
      <c r="B50" s="346"/>
      <c r="C50" s="346"/>
      <c r="D50" s="346"/>
      <c r="E50" s="346"/>
      <c r="F50" s="346"/>
    </row>
    <row r="51" spans="1:6" ht="15">
      <c r="A51" s="350" t="s">
        <v>409</v>
      </c>
      <c r="B51" s="346"/>
      <c r="C51" s="346"/>
      <c r="D51" s="346"/>
      <c r="E51" s="346"/>
      <c r="F51" s="346"/>
    </row>
    <row r="52" spans="1:6" ht="15">
      <c r="A52" s="350" t="s">
        <v>410</v>
      </c>
      <c r="B52" s="346"/>
      <c r="C52" s="346"/>
      <c r="D52" s="346"/>
      <c r="E52" s="346"/>
      <c r="F52" s="346"/>
    </row>
    <row r="53" spans="1:6" ht="15">
      <c r="A53" s="350" t="s">
        <v>411</v>
      </c>
      <c r="B53" s="346"/>
      <c r="C53" s="346"/>
      <c r="D53" s="346"/>
      <c r="E53" s="346"/>
      <c r="F53" s="346"/>
    </row>
    <row r="54" spans="1:6" ht="15">
      <c r="A54" s="350"/>
      <c r="B54" s="346"/>
      <c r="C54" s="346"/>
      <c r="D54" s="346"/>
      <c r="E54" s="346"/>
      <c r="F54" s="346"/>
    </row>
    <row r="55" spans="1:6" ht="15">
      <c r="A55" s="350" t="s">
        <v>517</v>
      </c>
      <c r="B55" s="346"/>
      <c r="C55" s="346"/>
      <c r="D55" s="346"/>
      <c r="E55" s="346"/>
      <c r="F55" s="346"/>
    </row>
    <row r="56" spans="1:6" ht="15">
      <c r="A56" s="350" t="s">
        <v>518</v>
      </c>
      <c r="B56" s="346"/>
      <c r="C56" s="346"/>
      <c r="D56" s="346"/>
      <c r="E56" s="346"/>
      <c r="F56" s="346"/>
    </row>
    <row r="57" spans="1:6" ht="15">
      <c r="A57" s="350" t="s">
        <v>519</v>
      </c>
      <c r="B57" s="346"/>
      <c r="C57" s="346"/>
      <c r="D57" s="346"/>
      <c r="E57" s="346"/>
      <c r="F57" s="346"/>
    </row>
    <row r="58" spans="1:6" ht="15">
      <c r="A58" s="350" t="s">
        <v>520</v>
      </c>
      <c r="B58" s="346"/>
      <c r="C58" s="346"/>
      <c r="D58" s="346"/>
      <c r="E58" s="346"/>
      <c r="F58" s="346"/>
    </row>
    <row r="59" spans="1:6" ht="15">
      <c r="A59" s="350" t="s">
        <v>521</v>
      </c>
      <c r="B59" s="346"/>
      <c r="C59" s="346"/>
      <c r="D59" s="346"/>
      <c r="E59" s="346"/>
      <c r="F59" s="346"/>
    </row>
    <row r="60" spans="1:6" ht="15">
      <c r="A60" s="350"/>
      <c r="B60" s="346"/>
      <c r="C60" s="346"/>
      <c r="D60" s="346"/>
      <c r="E60" s="346"/>
      <c r="F60" s="346"/>
    </row>
    <row r="61" spans="1:6" ht="15">
      <c r="A61" s="351" t="s">
        <v>522</v>
      </c>
      <c r="B61" s="346"/>
      <c r="C61" s="346"/>
      <c r="D61" s="346"/>
      <c r="E61" s="346"/>
      <c r="F61" s="346"/>
    </row>
    <row r="62" spans="1:6" ht="15">
      <c r="A62" s="351" t="s">
        <v>523</v>
      </c>
      <c r="B62" s="346"/>
      <c r="C62" s="346"/>
      <c r="D62" s="346"/>
      <c r="E62" s="346"/>
      <c r="F62" s="346"/>
    </row>
    <row r="63" spans="1:6" ht="15">
      <c r="A63" s="351" t="s">
        <v>524</v>
      </c>
      <c r="B63" s="346"/>
      <c r="C63" s="346"/>
      <c r="D63" s="346"/>
      <c r="E63" s="346"/>
      <c r="F63" s="346"/>
    </row>
    <row r="64" ht="15">
      <c r="A64" s="351" t="s">
        <v>525</v>
      </c>
    </row>
    <row r="65" ht="15">
      <c r="A65" s="351" t="s">
        <v>526</v>
      </c>
    </row>
    <row r="66" ht="15">
      <c r="A66" s="351" t="s">
        <v>527</v>
      </c>
    </row>
    <row r="68" ht="15">
      <c r="A68" s="346" t="s">
        <v>528</v>
      </c>
    </row>
    <row r="69" ht="15">
      <c r="A69" s="346" t="s">
        <v>529</v>
      </c>
    </row>
    <row r="70" ht="15">
      <c r="A70" s="346" t="s">
        <v>530</v>
      </c>
    </row>
    <row r="71" ht="15">
      <c r="A71" s="346" t="s">
        <v>531</v>
      </c>
    </row>
    <row r="72" ht="15">
      <c r="A72" s="346" t="s">
        <v>532</v>
      </c>
    </row>
    <row r="73" ht="15">
      <c r="A73" s="346" t="s">
        <v>533</v>
      </c>
    </row>
    <row r="75" ht="1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89">
      <selection activeCell="E69" sqref="E6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Ellsworth Township</v>
      </c>
      <c r="B1" s="20"/>
      <c r="C1" s="20"/>
      <c r="D1" s="20"/>
      <c r="E1" s="20">
        <f>inputPrYr!D9</f>
        <v>2015</v>
      </c>
    </row>
    <row r="2" spans="1:5" ht="15">
      <c r="A2" s="29" t="str">
        <f>inputPrYr!D4</f>
        <v>Ellsworth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3983358</v>
      </c>
    </row>
    <row r="9" spans="1:5" ht="15">
      <c r="A9" s="14" t="str">
        <f>inputPrYr!D6</f>
        <v>Ellsworth</v>
      </c>
      <c r="B9" s="15"/>
      <c r="C9" s="15"/>
      <c r="D9" s="15"/>
      <c r="E9" s="715">
        <v>14021616</v>
      </c>
    </row>
    <row r="10" spans="1:5" ht="15">
      <c r="A10" s="14" t="str">
        <f>inputPrYr!$D$7</f>
        <v>Kanopolis</v>
      </c>
      <c r="B10" s="15"/>
      <c r="C10" s="15"/>
      <c r="D10" s="15"/>
      <c r="E10" s="715">
        <v>1966649</v>
      </c>
    </row>
    <row r="11" spans="1:5" ht="15">
      <c r="A11" s="14" t="str">
        <f>CONCATENATE("Total Assessed Valuation for ",$E$1-1,"")</f>
        <v>Total Assessed Valuation for 2014</v>
      </c>
      <c r="B11" s="15"/>
      <c r="C11" s="15"/>
      <c r="D11" s="15"/>
      <c r="E11" s="37">
        <f>SUM(E8:E10)</f>
        <v>19971623</v>
      </c>
    </row>
    <row r="12" spans="1:5" ht="15">
      <c r="A12" s="38" t="str">
        <f>CONCATENATE("New Improvements for ",E1-1,":")</f>
        <v>New Improvements for 2014:</v>
      </c>
      <c r="B12" s="9"/>
      <c r="C12" s="9"/>
      <c r="D12" s="9"/>
      <c r="E12" s="23"/>
    </row>
    <row r="13" spans="1:5" ht="15">
      <c r="A13" s="12" t="s">
        <v>135</v>
      </c>
      <c r="B13" s="13"/>
      <c r="C13" s="13"/>
      <c r="D13" s="13"/>
      <c r="E13" s="716">
        <v>4558</v>
      </c>
    </row>
    <row r="14" spans="1:5" ht="15">
      <c r="A14" s="14" t="str">
        <f>inputPrYr!$D$6</f>
        <v>Ellsworth</v>
      </c>
      <c r="B14" s="13"/>
      <c r="C14" s="13"/>
      <c r="D14" s="13"/>
      <c r="E14" s="716">
        <v>134454</v>
      </c>
    </row>
    <row r="15" spans="1:5" ht="15">
      <c r="A15" s="14" t="str">
        <f>inputPrYr!$D$7</f>
        <v>Kanopolis</v>
      </c>
      <c r="B15" s="13"/>
      <c r="C15" s="13"/>
      <c r="D15" s="13"/>
      <c r="E15" s="716">
        <v>4380</v>
      </c>
    </row>
    <row r="16" spans="1:5" ht="15">
      <c r="A16" s="14" t="str">
        <f>CONCATENATE("Total New Improvements for ",$E$1-1,"")</f>
        <v>Total New Improvements for 2014</v>
      </c>
      <c r="B16" s="15"/>
      <c r="C16" s="15"/>
      <c r="D16" s="15"/>
      <c r="E16" s="36">
        <f>SUM(E13:E15)</f>
        <v>143392</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79643</v>
      </c>
    </row>
    <row r="19" spans="1:5" ht="15">
      <c r="A19" s="14" t="str">
        <f>inputPrYr!$D$6</f>
        <v>Ellsworth</v>
      </c>
      <c r="B19" s="15"/>
      <c r="C19" s="15"/>
      <c r="D19" s="15"/>
      <c r="E19" s="716">
        <v>397094</v>
      </c>
    </row>
    <row r="20" spans="1:5" ht="15">
      <c r="A20" s="14" t="str">
        <f>inputPrYr!$D$7</f>
        <v>Kanopolis</v>
      </c>
      <c r="B20" s="15"/>
      <c r="C20" s="15"/>
      <c r="D20" s="15"/>
      <c r="E20" s="716">
        <v>17234</v>
      </c>
    </row>
    <row r="21" spans="1:5" ht="15">
      <c r="A21" s="14" t="str">
        <f>CONCATENATE("Total Personal Property excluding oil, gas, and mobile homes for ",$E$1-1,"")</f>
        <v>Total Personal Property excluding oil, gas, and mobile homes for 2014</v>
      </c>
      <c r="B21" s="15"/>
      <c r="C21" s="15"/>
      <c r="D21" s="15"/>
      <c r="E21" s="36">
        <f>SUM(E18:E20)</f>
        <v>493971</v>
      </c>
    </row>
    <row r="22" spans="1:5" ht="15">
      <c r="A22" s="38" t="str">
        <f>CONCATENATE("Property that has changed in use for ",E1-1,":")</f>
        <v>Property that has changed in use for 2014:</v>
      </c>
      <c r="B22" s="9"/>
      <c r="C22" s="9"/>
      <c r="D22" s="9"/>
      <c r="E22" s="23"/>
    </row>
    <row r="23" spans="1:5" ht="15">
      <c r="A23" s="12" t="s">
        <v>135</v>
      </c>
      <c r="B23" s="13"/>
      <c r="C23" s="13"/>
      <c r="D23" s="13"/>
      <c r="E23" s="716">
        <v>3287</v>
      </c>
    </row>
    <row r="24" spans="1:5" ht="15">
      <c r="A24" s="14" t="str">
        <f>inputPrYr!$D$6</f>
        <v>Ellsworth</v>
      </c>
      <c r="B24" s="15"/>
      <c r="C24" s="15"/>
      <c r="D24" s="15"/>
      <c r="E24" s="716">
        <v>135282</v>
      </c>
    </row>
    <row r="25" spans="1:5" ht="15">
      <c r="A25" s="14" t="str">
        <f>inputPrYr!$D$7</f>
        <v>Kanopolis</v>
      </c>
      <c r="B25" s="15"/>
      <c r="C25" s="15"/>
      <c r="D25" s="15"/>
      <c r="E25" s="716">
        <v>2756</v>
      </c>
    </row>
    <row r="26" spans="1:5" ht="15">
      <c r="A26" s="14" t="str">
        <f>CONCATENATE("Total Property that has changed in use for ",$E$1-1,"")</f>
        <v>Total Property that has changed in use for 2014</v>
      </c>
      <c r="B26" s="15"/>
      <c r="C26" s="15"/>
      <c r="D26" s="15"/>
      <c r="E26" s="36">
        <f>SUM(E23:E25)</f>
        <v>141325</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85968</v>
      </c>
    </row>
    <row r="29" spans="1:5" ht="15">
      <c r="A29" s="14" t="str">
        <f>inputPrYr!$D$6</f>
        <v>Ellsworth</v>
      </c>
      <c r="B29" s="15"/>
      <c r="C29" s="15"/>
      <c r="D29" s="15"/>
      <c r="E29" s="716">
        <v>554017</v>
      </c>
    </row>
    <row r="30" spans="1:5" ht="15">
      <c r="A30" s="14" t="str">
        <f>inputPrYr!$D$7</f>
        <v>Kanopolis</v>
      </c>
      <c r="B30" s="15"/>
      <c r="C30" s="15"/>
      <c r="D30" s="15"/>
      <c r="E30" s="716">
        <v>45252</v>
      </c>
    </row>
    <row r="31" spans="1:5" ht="15">
      <c r="A31" s="14" t="str">
        <f>CONCATENATE("Total Personal Property excluding oil, gas, and mobile homes for ",$E$1-2,"")</f>
        <v>Total Personal Property excluding oil, gas, and mobile homes for 2013</v>
      </c>
      <c r="B31" s="15"/>
      <c r="C31" s="15"/>
      <c r="D31" s="15"/>
      <c r="E31" s="36">
        <f>SUM(E28:E30)</f>
        <v>685237</v>
      </c>
    </row>
    <row r="32" spans="1:5" ht="15">
      <c r="A32" s="14" t="str">
        <f>CONCATENATE("Gross earnings (intangible) tax estimate for ",E1,"")</f>
        <v>Gross earnings (intangible) tax estimate for 2015</v>
      </c>
      <c r="B32" s="15"/>
      <c r="C32" s="15"/>
      <c r="D32" s="15"/>
      <c r="E32" s="716"/>
    </row>
    <row r="33" spans="1:5" ht="15">
      <c r="A33" s="14" t="str">
        <f>CONCATENATE("Neighborhood Revitalization for ",E1,"")</f>
        <v>Neighborhood Revitalization for 2015</v>
      </c>
      <c r="B33" s="15"/>
      <c r="C33" s="15"/>
      <c r="D33" s="15"/>
      <c r="E33" s="71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0.14</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5.861</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6.0009999999999994</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3768093</v>
      </c>
    </row>
    <row r="53" spans="1:5" ht="15">
      <c r="A53" s="15" t="str">
        <f>inputPrYr!D6</f>
        <v>Ellsworth</v>
      </c>
      <c r="B53" s="15"/>
      <c r="C53" s="15"/>
      <c r="D53" s="19"/>
      <c r="E53" s="3">
        <v>13504837</v>
      </c>
    </row>
    <row r="54" spans="1:5" ht="15">
      <c r="A54" s="15" t="str">
        <f>inputPrYr!D7</f>
        <v>Kanopolis</v>
      </c>
      <c r="B54" s="15"/>
      <c r="C54" s="15"/>
      <c r="D54" s="19"/>
      <c r="E54" s="3">
        <v>1934222</v>
      </c>
    </row>
    <row r="55" spans="1:5" ht="15">
      <c r="A55" s="15" t="str">
        <f>CONCATENATE("Total  Final Assessed Valuation from the November 1, ",E1-2," Abstract:")</f>
        <v>Total  Final Assessed Valuation from the November 1, 2013 Abstract:</v>
      </c>
      <c r="B55" s="15"/>
      <c r="C55" s="15"/>
      <c r="D55" s="19"/>
      <c r="E55" s="34">
        <f>SUM(E52:E54)</f>
        <v>19207152</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3044</v>
      </c>
    </row>
    <row r="60" spans="1:5" ht="15">
      <c r="A60" s="14" t="s">
        <v>222</v>
      </c>
      <c r="B60" s="15"/>
      <c r="C60" s="15"/>
      <c r="D60" s="28"/>
      <c r="E60" s="2">
        <v>24</v>
      </c>
    </row>
    <row r="61" spans="1:5" ht="15">
      <c r="A61" s="14" t="s">
        <v>89</v>
      </c>
      <c r="B61" s="15"/>
      <c r="C61" s="15"/>
      <c r="D61" s="28"/>
      <c r="E61" s="2">
        <v>241</v>
      </c>
    </row>
    <row r="62" spans="1:5" ht="15">
      <c r="A62" s="32" t="s">
        <v>132</v>
      </c>
      <c r="B62" s="33"/>
      <c r="C62" s="15"/>
      <c r="D62" s="28"/>
      <c r="E62" s="21"/>
    </row>
    <row r="63" spans="1:5" ht="15">
      <c r="A63" s="12" t="s">
        <v>129</v>
      </c>
      <c r="B63" s="15"/>
      <c r="C63" s="15"/>
      <c r="D63" s="28"/>
      <c r="E63" s="2">
        <v>245</v>
      </c>
    </row>
    <row r="64" spans="1:5" ht="15">
      <c r="A64" s="14" t="s">
        <v>130</v>
      </c>
      <c r="B64" s="15"/>
      <c r="C64" s="15"/>
      <c r="D64" s="28"/>
      <c r="E64" s="2">
        <v>4</v>
      </c>
    </row>
    <row r="65" spans="1:5" ht="15">
      <c r="A65" s="14" t="s">
        <v>131</v>
      </c>
      <c r="B65" s="15"/>
      <c r="C65" s="15"/>
      <c r="D65" s="28"/>
      <c r="E65" s="2"/>
    </row>
    <row r="66" spans="1:5" ht="15">
      <c r="A66" s="32" t="s">
        <v>133</v>
      </c>
      <c r="B66" s="33"/>
      <c r="C66" s="15"/>
      <c r="D66" s="28"/>
      <c r="E66" s="21"/>
    </row>
    <row r="67" spans="1:5" ht="15">
      <c r="A67" s="12" t="s">
        <v>129</v>
      </c>
      <c r="B67" s="15"/>
      <c r="C67" s="15"/>
      <c r="D67" s="28"/>
      <c r="E67" s="2">
        <v>56</v>
      </c>
    </row>
    <row r="68" spans="1:5" ht="15">
      <c r="A68" s="14" t="s">
        <v>130</v>
      </c>
      <c r="B68" s="15"/>
      <c r="C68" s="15"/>
      <c r="D68" s="28"/>
      <c r="E68" s="2">
        <v>2</v>
      </c>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v>1804</v>
      </c>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
      <c r="A79" s="22"/>
      <c r="B79" s="22"/>
      <c r="C79" s="22"/>
      <c r="D79" s="22"/>
      <c r="E79" s="22"/>
    </row>
    <row r="80" spans="1:5" ht="1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53900</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534</v>
      </c>
      <c r="B3" s="345"/>
      <c r="C3" s="345"/>
      <c r="D3" s="345"/>
      <c r="E3" s="345"/>
      <c r="F3" s="345"/>
      <c r="G3" s="345"/>
    </row>
    <row r="4" spans="1:7" ht="15">
      <c r="A4" s="345"/>
      <c r="B4" s="345"/>
      <c r="C4" s="345"/>
      <c r="D4" s="345"/>
      <c r="E4" s="345"/>
      <c r="F4" s="345"/>
      <c r="G4" s="345"/>
    </row>
    <row r="5" ht="15">
      <c r="A5" s="346" t="s">
        <v>440</v>
      </c>
    </row>
    <row r="6" ht="15">
      <c r="A6" s="346" t="str">
        <f>CONCATENATE(inputPrYr!D9," estimated expenditures show that at the end of this year")</f>
        <v>2015 estimated expenditures show that at the end of this year</v>
      </c>
    </row>
    <row r="7" ht="15">
      <c r="A7" s="346" t="s">
        <v>535</v>
      </c>
    </row>
    <row r="8" ht="15">
      <c r="A8" s="346" t="s">
        <v>536</v>
      </c>
    </row>
    <row r="10" ht="15">
      <c r="A10" t="s">
        <v>442</v>
      </c>
    </row>
    <row r="11" ht="15">
      <c r="A11" t="s">
        <v>443</v>
      </c>
    </row>
    <row r="12" ht="15">
      <c r="A12" t="s">
        <v>444</v>
      </c>
    </row>
    <row r="13" spans="1:7" ht="15">
      <c r="A13" s="345"/>
      <c r="B13" s="345"/>
      <c r="C13" s="345"/>
      <c r="D13" s="345"/>
      <c r="E13" s="345"/>
      <c r="F13" s="345"/>
      <c r="G13" s="345"/>
    </row>
    <row r="14" ht="15">
      <c r="A14" s="347" t="s">
        <v>537</v>
      </c>
    </row>
    <row r="15" ht="15">
      <c r="A15" s="346"/>
    </row>
    <row r="16" ht="15">
      <c r="A16" s="346" t="s">
        <v>538</v>
      </c>
    </row>
    <row r="17" ht="15">
      <c r="A17" s="346" t="s">
        <v>539</v>
      </c>
    </row>
    <row r="18" ht="15">
      <c r="A18" s="346" t="s">
        <v>540</v>
      </c>
    </row>
    <row r="19" ht="15">
      <c r="A19" s="346"/>
    </row>
    <row r="20" ht="15">
      <c r="A20" s="346" t="s">
        <v>541</v>
      </c>
    </row>
    <row r="21" ht="15">
      <c r="A21" s="346" t="s">
        <v>542</v>
      </c>
    </row>
    <row r="22" ht="15">
      <c r="A22" s="346" t="s">
        <v>543</v>
      </c>
    </row>
    <row r="23" ht="15">
      <c r="A23" s="346" t="s">
        <v>544</v>
      </c>
    </row>
    <row r="24" ht="15">
      <c r="A24" s="346"/>
    </row>
    <row r="25" ht="15">
      <c r="A25" s="347" t="s">
        <v>506</v>
      </c>
    </row>
    <row r="26" ht="15">
      <c r="A26" s="347"/>
    </row>
    <row r="27" ht="15">
      <c r="A27" s="346" t="s">
        <v>507</v>
      </c>
    </row>
    <row r="28" spans="1:6" ht="15">
      <c r="A28" s="346" t="s">
        <v>508</v>
      </c>
      <c r="B28" s="346"/>
      <c r="C28" s="346"/>
      <c r="D28" s="346"/>
      <c r="E28" s="346"/>
      <c r="F28" s="346"/>
    </row>
    <row r="29" spans="1:6" ht="15">
      <c r="A29" s="346" t="s">
        <v>509</v>
      </c>
      <c r="B29" s="346"/>
      <c r="C29" s="346"/>
      <c r="D29" s="346"/>
      <c r="E29" s="346"/>
      <c r="F29" s="346"/>
    </row>
    <row r="30" spans="1:6" ht="15">
      <c r="A30" s="346" t="s">
        <v>510</v>
      </c>
      <c r="B30" s="346"/>
      <c r="C30" s="346"/>
      <c r="D30" s="346"/>
      <c r="E30" s="346"/>
      <c r="F30" s="346"/>
    </row>
    <row r="31" ht="15">
      <c r="A31" s="346"/>
    </row>
    <row r="32" spans="1:7" ht="15">
      <c r="A32" s="347" t="s">
        <v>511</v>
      </c>
      <c r="B32" s="347"/>
      <c r="C32" s="347"/>
      <c r="D32" s="347"/>
      <c r="E32" s="347"/>
      <c r="F32" s="347"/>
      <c r="G32" s="347"/>
    </row>
    <row r="33" spans="1:7" ht="15">
      <c r="A33" s="347" t="s">
        <v>512</v>
      </c>
      <c r="B33" s="347"/>
      <c r="C33" s="347"/>
      <c r="D33" s="347"/>
      <c r="E33" s="347"/>
      <c r="F33" s="347"/>
      <c r="G33" s="347"/>
    </row>
    <row r="34" spans="1:7" ht="15">
      <c r="A34" s="347"/>
      <c r="B34" s="347"/>
      <c r="C34" s="347"/>
      <c r="D34" s="347"/>
      <c r="E34" s="347"/>
      <c r="F34" s="347"/>
      <c r="G34" s="347"/>
    </row>
    <row r="35" spans="1:7" ht="15">
      <c r="A35" s="346" t="s">
        <v>545</v>
      </c>
      <c r="B35" s="346"/>
      <c r="C35" s="346"/>
      <c r="D35" s="346"/>
      <c r="E35" s="346"/>
      <c r="F35" s="346"/>
      <c r="G35" s="346"/>
    </row>
    <row r="36" spans="1:7" ht="15">
      <c r="A36" s="346" t="s">
        <v>546</v>
      </c>
      <c r="B36" s="346"/>
      <c r="C36" s="346"/>
      <c r="D36" s="346"/>
      <c r="E36" s="346"/>
      <c r="F36" s="346"/>
      <c r="G36" s="346"/>
    </row>
    <row r="37" spans="1:7" ht="15">
      <c r="A37" s="346" t="s">
        <v>547</v>
      </c>
      <c r="B37" s="346"/>
      <c r="C37" s="346"/>
      <c r="D37" s="346"/>
      <c r="E37" s="346"/>
      <c r="F37" s="346"/>
      <c r="G37" s="346"/>
    </row>
    <row r="38" spans="1:7" ht="15">
      <c r="A38" s="346" t="s">
        <v>548</v>
      </c>
      <c r="B38" s="346"/>
      <c r="C38" s="346"/>
      <c r="D38" s="346"/>
      <c r="E38" s="346"/>
      <c r="F38" s="346"/>
      <c r="G38" s="346"/>
    </row>
    <row r="39" spans="1:7" ht="15">
      <c r="A39" s="346" t="s">
        <v>549</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513</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399</v>
      </c>
      <c r="B47" s="346"/>
      <c r="C47" s="346"/>
      <c r="D47" s="346"/>
      <c r="E47" s="346"/>
      <c r="F47" s="346"/>
    </row>
    <row r="48" spans="1:6" ht="15">
      <c r="A48" s="350" t="s">
        <v>400</v>
      </c>
      <c r="B48" s="346"/>
      <c r="C48" s="346"/>
      <c r="D48" s="346"/>
      <c r="E48" s="346"/>
      <c r="F48" s="346"/>
    </row>
    <row r="49" spans="1:7" ht="15">
      <c r="A49" s="346"/>
      <c r="B49" s="346"/>
      <c r="C49" s="346"/>
      <c r="D49" s="346"/>
      <c r="E49" s="346"/>
      <c r="F49" s="346"/>
      <c r="G49" s="346"/>
    </row>
    <row r="50" spans="1:7" ht="15">
      <c r="A50" s="346" t="s">
        <v>467</v>
      </c>
      <c r="B50" s="346"/>
      <c r="C50" s="346"/>
      <c r="D50" s="346"/>
      <c r="E50" s="346"/>
      <c r="F50" s="346"/>
      <c r="G50" s="346"/>
    </row>
    <row r="51" spans="1:7" ht="15">
      <c r="A51" s="346" t="s">
        <v>468</v>
      </c>
      <c r="B51" s="346"/>
      <c r="C51" s="346"/>
      <c r="D51" s="346"/>
      <c r="E51" s="346"/>
      <c r="F51" s="346"/>
      <c r="G51" s="346"/>
    </row>
    <row r="52" spans="1:7" ht="15">
      <c r="A52" s="346" t="s">
        <v>469</v>
      </c>
      <c r="B52" s="346"/>
      <c r="C52" s="346"/>
      <c r="D52" s="346"/>
      <c r="E52" s="346"/>
      <c r="F52" s="346"/>
      <c r="G52" s="346"/>
    </row>
    <row r="53" spans="1:7" ht="15">
      <c r="A53" s="346" t="s">
        <v>470</v>
      </c>
      <c r="B53" s="346"/>
      <c r="C53" s="346"/>
      <c r="D53" s="346"/>
      <c r="E53" s="346"/>
      <c r="F53" s="346"/>
      <c r="G53" s="346"/>
    </row>
    <row r="54" spans="1:7" ht="15">
      <c r="A54" s="346" t="s">
        <v>471</v>
      </c>
      <c r="B54" s="346"/>
      <c r="C54" s="346"/>
      <c r="D54" s="346"/>
      <c r="E54" s="346"/>
      <c r="F54" s="346"/>
      <c r="G54" s="346"/>
    </row>
    <row r="55" spans="1:7" ht="15">
      <c r="A55" s="346"/>
      <c r="B55" s="346"/>
      <c r="C55" s="346"/>
      <c r="D55" s="346"/>
      <c r="E55" s="346"/>
      <c r="F55" s="346"/>
      <c r="G55" s="346"/>
    </row>
    <row r="56" spans="1:6" ht="15">
      <c r="A56" s="350" t="s">
        <v>409</v>
      </c>
      <c r="B56" s="346"/>
      <c r="C56" s="346"/>
      <c r="D56" s="346"/>
      <c r="E56" s="346"/>
      <c r="F56" s="346"/>
    </row>
    <row r="57" spans="1:6" ht="15">
      <c r="A57" s="350" t="s">
        <v>410</v>
      </c>
      <c r="B57" s="346"/>
      <c r="C57" s="346"/>
      <c r="D57" s="346"/>
      <c r="E57" s="346"/>
      <c r="F57" s="346"/>
    </row>
    <row r="58" spans="1:6" ht="15">
      <c r="A58" s="350" t="s">
        <v>411</v>
      </c>
      <c r="B58" s="346"/>
      <c r="C58" s="346"/>
      <c r="D58" s="346"/>
      <c r="E58" s="346"/>
      <c r="F58" s="346"/>
    </row>
    <row r="59" spans="1:6" ht="15">
      <c r="A59" s="350"/>
      <c r="B59" s="346"/>
      <c r="C59" s="346"/>
      <c r="D59" s="346"/>
      <c r="E59" s="346"/>
      <c r="F59" s="346"/>
    </row>
    <row r="60" spans="1:7" ht="15">
      <c r="A60" s="346" t="s">
        <v>550</v>
      </c>
      <c r="B60" s="346"/>
      <c r="C60" s="346"/>
      <c r="D60" s="346"/>
      <c r="E60" s="346"/>
      <c r="F60" s="346"/>
      <c r="G60" s="346"/>
    </row>
    <row r="61" spans="1:7" ht="15">
      <c r="A61" s="346" t="s">
        <v>551</v>
      </c>
      <c r="B61" s="346"/>
      <c r="C61" s="346"/>
      <c r="D61" s="346"/>
      <c r="E61" s="346"/>
      <c r="F61" s="346"/>
      <c r="G61" s="346"/>
    </row>
    <row r="62" spans="1:7" ht="15">
      <c r="A62" s="346" t="s">
        <v>552</v>
      </c>
      <c r="B62" s="346"/>
      <c r="C62" s="346"/>
      <c r="D62" s="346"/>
      <c r="E62" s="346"/>
      <c r="F62" s="346"/>
      <c r="G62" s="346"/>
    </row>
    <row r="63" spans="1:7" ht="15">
      <c r="A63" s="346" t="s">
        <v>553</v>
      </c>
      <c r="B63" s="346"/>
      <c r="C63" s="346"/>
      <c r="D63" s="346"/>
      <c r="E63" s="346"/>
      <c r="F63" s="346"/>
      <c r="G63" s="346"/>
    </row>
    <row r="64" spans="1:7" ht="15">
      <c r="A64" s="346" t="s">
        <v>554</v>
      </c>
      <c r="B64" s="346"/>
      <c r="C64" s="346"/>
      <c r="D64" s="346"/>
      <c r="E64" s="346"/>
      <c r="F64" s="346"/>
      <c r="G64" s="346"/>
    </row>
    <row r="66" spans="1:6" ht="15">
      <c r="A66" s="350" t="s">
        <v>517</v>
      </c>
      <c r="B66" s="346"/>
      <c r="C66" s="346"/>
      <c r="D66" s="346"/>
      <c r="E66" s="346"/>
      <c r="F66" s="346"/>
    </row>
    <row r="67" spans="1:6" ht="15">
      <c r="A67" s="350" t="s">
        <v>518</v>
      </c>
      <c r="B67" s="346"/>
      <c r="C67" s="346"/>
      <c r="D67" s="346"/>
      <c r="E67" s="346"/>
      <c r="F67" s="346"/>
    </row>
    <row r="68" spans="1:6" ht="15">
      <c r="A68" s="350" t="s">
        <v>519</v>
      </c>
      <c r="B68" s="346"/>
      <c r="C68" s="346"/>
      <c r="D68" s="346"/>
      <c r="E68" s="346"/>
      <c r="F68" s="346"/>
    </row>
    <row r="69" spans="1:6" ht="15">
      <c r="A69" s="350" t="s">
        <v>520</v>
      </c>
      <c r="B69" s="346"/>
      <c r="C69" s="346"/>
      <c r="D69" s="346"/>
      <c r="E69" s="346"/>
      <c r="F69" s="346"/>
    </row>
    <row r="70" spans="1:6" ht="15">
      <c r="A70" s="350" t="s">
        <v>521</v>
      </c>
      <c r="B70" s="346"/>
      <c r="C70" s="346"/>
      <c r="D70" s="346"/>
      <c r="E70" s="346"/>
      <c r="F70" s="346"/>
    </row>
    <row r="71" ht="15">
      <c r="A71" s="346"/>
    </row>
    <row r="72" ht="15">
      <c r="A72" s="346" t="s">
        <v>438</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555</v>
      </c>
      <c r="B3" s="345"/>
      <c r="C3" s="345"/>
      <c r="D3" s="345"/>
      <c r="E3" s="345"/>
      <c r="F3" s="345"/>
      <c r="G3" s="345"/>
    </row>
    <row r="4" spans="1:7" ht="15">
      <c r="A4" s="345" t="s">
        <v>556</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383</v>
      </c>
    </row>
    <row r="8" ht="15">
      <c r="A8" s="346" t="str">
        <f>CONCATENATE("estimated ",inputPrYr!D9," 'total expenditures' exceed your ",inputPrYr!D9,"")</f>
        <v>estimated 2015 'total expenditures' exceed your 2015</v>
      </c>
    </row>
    <row r="9" ht="15">
      <c r="A9" s="349" t="s">
        <v>557</v>
      </c>
    </row>
    <row r="10" ht="15">
      <c r="A10" s="346"/>
    </row>
    <row r="11" ht="15">
      <c r="A11" s="346" t="s">
        <v>558</v>
      </c>
    </row>
    <row r="12" ht="15">
      <c r="A12" s="346" t="s">
        <v>559</v>
      </c>
    </row>
    <row r="13" ht="15">
      <c r="A13" s="346" t="s">
        <v>560</v>
      </c>
    </row>
    <row r="14" ht="15">
      <c r="A14" s="346"/>
    </row>
    <row r="15" ht="15">
      <c r="A15" s="347" t="s">
        <v>561</v>
      </c>
    </row>
    <row r="16" spans="1:7" ht="15">
      <c r="A16" s="345"/>
      <c r="B16" s="345"/>
      <c r="C16" s="345"/>
      <c r="D16" s="345"/>
      <c r="E16" s="345"/>
      <c r="F16" s="345"/>
      <c r="G16" s="345"/>
    </row>
    <row r="17" spans="1:8" ht="15">
      <c r="A17" s="352" t="s">
        <v>562</v>
      </c>
      <c r="B17" s="344"/>
      <c r="C17" s="344"/>
      <c r="D17" s="344"/>
      <c r="E17" s="344"/>
      <c r="F17" s="344"/>
      <c r="G17" s="344"/>
      <c r="H17" s="344"/>
    </row>
    <row r="18" spans="1:7" ht="15">
      <c r="A18" s="346" t="s">
        <v>563</v>
      </c>
      <c r="B18" s="353"/>
      <c r="C18" s="353"/>
      <c r="D18" s="353"/>
      <c r="E18" s="353"/>
      <c r="F18" s="353"/>
      <c r="G18" s="353"/>
    </row>
    <row r="19" ht="15">
      <c r="A19" s="346" t="s">
        <v>564</v>
      </c>
    </row>
    <row r="20" ht="15">
      <c r="A20" s="346" t="s">
        <v>565</v>
      </c>
    </row>
    <row r="22" ht="15">
      <c r="A22" s="347" t="s">
        <v>566</v>
      </c>
    </row>
    <row r="24" ht="15">
      <c r="A24" s="346" t="s">
        <v>567</v>
      </c>
    </row>
    <row r="25" ht="15">
      <c r="A25" s="346" t="s">
        <v>568</v>
      </c>
    </row>
    <row r="26" ht="15">
      <c r="A26" s="346" t="s">
        <v>569</v>
      </c>
    </row>
    <row r="28" ht="15">
      <c r="A28" s="347" t="s">
        <v>570</v>
      </c>
    </row>
    <row r="30" ht="15">
      <c r="A30" t="s">
        <v>571</v>
      </c>
    </row>
    <row r="31" ht="15">
      <c r="A31" t="s">
        <v>572</v>
      </c>
    </row>
    <row r="32" ht="15">
      <c r="A32" t="s">
        <v>573</v>
      </c>
    </row>
    <row r="33" ht="15">
      <c r="A33" s="346"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46" t="s">
        <v>587</v>
      </c>
    </row>
    <row r="50" ht="15">
      <c r="A50" s="346" t="s">
        <v>588</v>
      </c>
    </row>
    <row r="52" ht="1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3.5">
      <c r="A8" s="366"/>
      <c r="B8" s="912" t="s">
        <v>628</v>
      </c>
      <c r="C8" s="912"/>
      <c r="D8" s="912"/>
      <c r="E8" s="912"/>
      <c r="F8" s="912"/>
      <c r="G8" s="912"/>
      <c r="H8" s="912"/>
      <c r="I8" s="912"/>
      <c r="J8" s="912"/>
      <c r="K8" s="912"/>
      <c r="L8" s="366"/>
    </row>
    <row r="9" spans="1:12" ht="13.5">
      <c r="A9" s="366"/>
      <c r="L9" s="366"/>
    </row>
    <row r="10" spans="1:12" ht="13.5">
      <c r="A10" s="366"/>
      <c r="B10" s="912" t="s">
        <v>629</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07">
        <v>133685008</v>
      </c>
      <c r="G23" s="907"/>
      <c r="L23" s="366"/>
    </row>
    <row r="24" spans="1:12" ht="13.5">
      <c r="A24" s="366"/>
      <c r="L24" s="366"/>
    </row>
    <row r="25" spans="1:12" ht="13.5">
      <c r="A25" s="366"/>
      <c r="C25" s="914">
        <f>F23</f>
        <v>133685008</v>
      </c>
      <c r="D25" s="914"/>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3.5">
      <c r="A31" s="366"/>
      <c r="B31" s="912" t="s">
        <v>641</v>
      </c>
      <c r="C31" s="912"/>
      <c r="D31" s="912"/>
      <c r="E31" s="912"/>
      <c r="F31" s="912"/>
      <c r="G31" s="912"/>
      <c r="H31" s="912"/>
      <c r="I31" s="912"/>
      <c r="J31" s="912"/>
      <c r="K31" s="912"/>
      <c r="L31" s="366"/>
    </row>
    <row r="32" spans="1:12" ht="13.5">
      <c r="A32" s="366"/>
      <c r="L32" s="366"/>
    </row>
    <row r="33" spans="1:12" ht="13.5">
      <c r="A33" s="366"/>
      <c r="B33" s="912" t="s">
        <v>642</v>
      </c>
      <c r="C33" s="912"/>
      <c r="D33" s="912"/>
      <c r="E33" s="912"/>
      <c r="F33" s="912"/>
      <c r="G33" s="912"/>
      <c r="H33" s="912"/>
      <c r="I33" s="912"/>
      <c r="J33" s="912"/>
      <c r="K33" s="912"/>
      <c r="L33" s="366"/>
    </row>
    <row r="34" spans="1:12" ht="13.5">
      <c r="A34" s="366"/>
      <c r="L34" s="366"/>
    </row>
    <row r="35" spans="1:12" ht="89.25" customHeight="1">
      <c r="A35" s="366"/>
      <c r="B35" s="913" t="s">
        <v>643</v>
      </c>
      <c r="C35" s="916"/>
      <c r="D35" s="916"/>
      <c r="E35" s="916"/>
      <c r="F35" s="916"/>
      <c r="G35" s="916"/>
      <c r="H35" s="916"/>
      <c r="I35" s="916"/>
      <c r="J35" s="916"/>
      <c r="K35" s="916"/>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17">
        <v>3120000</v>
      </c>
      <c r="D41" s="917"/>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07">
        <v>133685008</v>
      </c>
      <c r="C48" s="907"/>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18" t="s">
        <v>651</v>
      </c>
      <c r="H50" s="919"/>
      <c r="I50" s="378" t="s">
        <v>637</v>
      </c>
      <c r="J50" s="388">
        <f>B50/F50</f>
        <v>52.8690023342034</v>
      </c>
      <c r="K50" s="380"/>
      <c r="L50" s="366"/>
    </row>
    <row r="51" spans="1:15" ht="14.2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3.5">
      <c r="A53" s="366"/>
      <c r="B53" s="912" t="s">
        <v>653</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07">
        <v>133685008</v>
      </c>
      <c r="D74" s="907"/>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07">
        <v>5000</v>
      </c>
      <c r="D77" s="907"/>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07">
        <v>100000</v>
      </c>
      <c r="D80" s="907"/>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3.5">
      <c r="A86" s="366"/>
      <c r="B86" s="908" t="s">
        <v>675</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676</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07">
        <v>133685008</v>
      </c>
      <c r="D114" s="907"/>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07">
        <v>2500000</v>
      </c>
      <c r="D120" s="907"/>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3.5">
      <c r="A126" s="366"/>
      <c r="B126" s="908" t="s">
        <v>682</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683</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36" t="s">
        <v>685</v>
      </c>
      <c r="D133" s="936"/>
      <c r="E133" s="377"/>
      <c r="F133" s="378" t="s">
        <v>686</v>
      </c>
      <c r="G133" s="377"/>
      <c r="H133" s="936" t="s">
        <v>671</v>
      </c>
      <c r="I133" s="936"/>
      <c r="J133" s="377"/>
      <c r="K133" s="380"/>
      <c r="L133" s="366"/>
    </row>
    <row r="134" spans="1:12" ht="13.5">
      <c r="A134" s="366"/>
      <c r="B134" s="386" t="s">
        <v>664</v>
      </c>
      <c r="C134" s="907">
        <v>100000</v>
      </c>
      <c r="D134" s="907"/>
      <c r="E134" s="378" t="s">
        <v>235</v>
      </c>
      <c r="F134" s="378">
        <v>0.115</v>
      </c>
      <c r="G134" s="378" t="s">
        <v>637</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671</v>
      </c>
      <c r="D136" s="927"/>
      <c r="E136" s="397"/>
      <c r="F136" s="398" t="s">
        <v>687</v>
      </c>
      <c r="G136" s="398"/>
      <c r="H136" s="397"/>
      <c r="I136" s="397"/>
      <c r="J136" s="397" t="s">
        <v>688</v>
      </c>
      <c r="K136" s="399"/>
      <c r="L136" s="366"/>
    </row>
    <row r="137" spans="1:12" ht="13.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26" t="s">
        <v>692</v>
      </c>
      <c r="D147" s="926"/>
      <c r="E147" s="378"/>
      <c r="F147" s="438" t="s">
        <v>693</v>
      </c>
      <c r="G147" s="378"/>
      <c r="H147" s="378"/>
      <c r="I147" s="378"/>
      <c r="J147" s="932" t="s">
        <v>694</v>
      </c>
      <c r="K147" s="933"/>
      <c r="L147" s="366"/>
    </row>
    <row r="148" spans="1:12" ht="13.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0.75">
      <c r="A3" s="460" t="s">
        <v>606</v>
      </c>
    </row>
    <row r="4" ht="15">
      <c r="A4" s="461" t="s">
        <v>607</v>
      </c>
    </row>
    <row r="7" ht="30.75">
      <c r="A7" s="460" t="s">
        <v>608</v>
      </c>
    </row>
    <row r="8" ht="15">
      <c r="A8" s="461" t="s">
        <v>609</v>
      </c>
    </row>
    <row r="11" ht="15">
      <c r="A11" s="459" t="s">
        <v>610</v>
      </c>
    </row>
    <row r="12" ht="15">
      <c r="A12" s="461" t="s">
        <v>611</v>
      </c>
    </row>
    <row r="15" ht="15">
      <c r="A15" s="459" t="s">
        <v>612</v>
      </c>
    </row>
    <row r="16" ht="15">
      <c r="A16" s="461" t="s">
        <v>613</v>
      </c>
    </row>
    <row r="19" ht="15">
      <c r="A19" s="459" t="s">
        <v>614</v>
      </c>
    </row>
    <row r="20" ht="15">
      <c r="A20" s="461" t="s">
        <v>615</v>
      </c>
    </row>
    <row r="23" ht="15">
      <c r="A23" s="459" t="s">
        <v>616</v>
      </c>
    </row>
    <row r="24" ht="15">
      <c r="A24" s="461" t="s">
        <v>617</v>
      </c>
    </row>
    <row r="27" ht="15">
      <c r="A27" s="459" t="s">
        <v>618</v>
      </c>
    </row>
    <row r="28" ht="15">
      <c r="A28" s="461" t="s">
        <v>619</v>
      </c>
    </row>
    <row r="31" ht="15">
      <c r="A31" s="459" t="s">
        <v>620</v>
      </c>
    </row>
    <row r="32" ht="15">
      <c r="A32" s="461" t="s">
        <v>621</v>
      </c>
    </row>
    <row r="35" ht="15">
      <c r="A35" s="459" t="s">
        <v>622</v>
      </c>
    </row>
    <row r="36" ht="15">
      <c r="A36" s="461" t="s">
        <v>623</v>
      </c>
    </row>
    <row r="39" ht="15">
      <c r="A39" s="459" t="s">
        <v>624</v>
      </c>
    </row>
    <row r="40" ht="1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1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757</v>
      </c>
    </row>
    <row r="2" spans="1:10" ht="31.5" customHeight="1">
      <c r="A2" s="804" t="s">
        <v>366</v>
      </c>
      <c r="B2" s="805"/>
      <c r="C2" s="805"/>
      <c r="D2" s="805"/>
      <c r="E2" s="805"/>
      <c r="F2" s="805"/>
      <c r="J2" s="537" t="s">
        <v>758</v>
      </c>
    </row>
    <row r="3" ht="15">
      <c r="J3" s="537" t="s">
        <v>759</v>
      </c>
    </row>
    <row r="4" spans="1:10" ht="15">
      <c r="A4" s="1" t="s">
        <v>769</v>
      </c>
      <c r="B4" s="719" t="s">
        <v>959</v>
      </c>
      <c r="J4" s="537" t="s">
        <v>760</v>
      </c>
    </row>
    <row r="5" spans="1:10" ht="15">
      <c r="A5" s="1"/>
      <c r="B5" s="538"/>
      <c r="J5" s="537" t="s">
        <v>761</v>
      </c>
    </row>
    <row r="6" spans="1:10" ht="15">
      <c r="A6" s="1" t="s">
        <v>770</v>
      </c>
      <c r="B6" s="719" t="s">
        <v>966</v>
      </c>
      <c r="J6" s="537" t="s">
        <v>762</v>
      </c>
    </row>
    <row r="7" spans="4:10" ht="15">
      <c r="D7" s="339"/>
      <c r="J7" s="537" t="s">
        <v>763</v>
      </c>
    </row>
    <row r="8" spans="1:10" ht="15">
      <c r="A8" s="193" t="s">
        <v>361</v>
      </c>
      <c r="B8" s="720" t="s">
        <v>967</v>
      </c>
      <c r="C8" s="340"/>
      <c r="D8" s="193" t="s">
        <v>756</v>
      </c>
      <c r="J8" s="537" t="s">
        <v>764</v>
      </c>
    </row>
    <row r="9" spans="1:10" ht="15">
      <c r="A9" s="193"/>
      <c r="B9" s="341"/>
      <c r="C9" s="342"/>
      <c r="D9" s="539" t="str">
        <f>IF(B8="","",CONCATENATE("Latest date for notice to be published in your newspaper: ",G19," ",G23,", ",G24))</f>
        <v>Latest date for notice to be published in your newspaper: August 6, 2014</v>
      </c>
      <c r="J9" s="537" t="s">
        <v>765</v>
      </c>
    </row>
    <row r="10" spans="1:10" ht="15">
      <c r="A10" s="193" t="s">
        <v>362</v>
      </c>
      <c r="B10" s="720" t="s">
        <v>968</v>
      </c>
      <c r="C10" s="343"/>
      <c r="D10" s="193"/>
      <c r="J10" s="537" t="s">
        <v>766</v>
      </c>
    </row>
    <row r="11" spans="1:10" ht="15">
      <c r="A11" s="193"/>
      <c r="B11" s="193"/>
      <c r="C11" s="193"/>
      <c r="D11" s="193"/>
      <c r="J11" s="537" t="s">
        <v>767</v>
      </c>
    </row>
    <row r="12" spans="1:10" ht="15">
      <c r="A12" s="193" t="s">
        <v>363</v>
      </c>
      <c r="B12" s="721" t="s">
        <v>969</v>
      </c>
      <c r="C12" s="722"/>
      <c r="D12" s="722"/>
      <c r="E12" s="723"/>
      <c r="J12" s="537" t="s">
        <v>768</v>
      </c>
    </row>
    <row r="13" spans="1:4" ht="15">
      <c r="A13" s="193"/>
      <c r="B13" s="193"/>
      <c r="C13" s="193"/>
      <c r="D13" s="193"/>
    </row>
    <row r="14" spans="1:4" ht="15">
      <c r="A14" s="193"/>
      <c r="B14" s="193"/>
      <c r="C14" s="193"/>
      <c r="D14" s="193"/>
    </row>
    <row r="15" spans="1:5" ht="15">
      <c r="A15" s="193" t="s">
        <v>364</v>
      </c>
      <c r="B15" s="721" t="s">
        <v>970</v>
      </c>
      <c r="C15" s="722"/>
      <c r="D15" s="722"/>
      <c r="E15" s="723"/>
    </row>
    <row r="18" spans="1:5" ht="15">
      <c r="A18" s="806" t="s">
        <v>367</v>
      </c>
      <c r="B18" s="806"/>
      <c r="C18" s="193"/>
      <c r="D18" s="193"/>
      <c r="E18" s="193"/>
    </row>
    <row r="19" spans="1:7" ht="15">
      <c r="A19" s="193"/>
      <c r="B19" s="193"/>
      <c r="C19" s="193"/>
      <c r="D19" s="193"/>
      <c r="E19" s="193"/>
      <c r="G19" s="537" t="str">
        <f ca="1">IF(B8="","",INDIRECT(G20))</f>
        <v>August</v>
      </c>
    </row>
    <row r="20" spans="1:7" ht="15">
      <c r="A20" s="193" t="s">
        <v>361</v>
      </c>
      <c r="B20" s="341" t="s">
        <v>365</v>
      </c>
      <c r="C20" s="193"/>
      <c r="D20" s="193"/>
      <c r="E20" s="193"/>
      <c r="G20" s="540" t="str">
        <f>IF(B8="","",CONCATENATE("J",G22))</f>
        <v>J8</v>
      </c>
    </row>
    <row r="21" spans="1:7" ht="15">
      <c r="A21" s="193"/>
      <c r="B21" s="193"/>
      <c r="C21" s="193"/>
      <c r="D21" s="193"/>
      <c r="E21" s="193"/>
      <c r="G21" s="541">
        <f>B8-10</f>
        <v>41857</v>
      </c>
    </row>
    <row r="22" spans="1:7" ht="15">
      <c r="A22" s="193" t="s">
        <v>362</v>
      </c>
      <c r="B22" s="193" t="s">
        <v>368</v>
      </c>
      <c r="C22" s="193"/>
      <c r="D22" s="193"/>
      <c r="E22" s="193"/>
      <c r="G22" s="542">
        <f>IF(B8="","",MONTH(G21))</f>
        <v>8</v>
      </c>
    </row>
    <row r="23" spans="1:7" ht="15">
      <c r="A23" s="193"/>
      <c r="B23" s="193"/>
      <c r="C23" s="193"/>
      <c r="D23" s="193"/>
      <c r="E23" s="193"/>
      <c r="G23" s="543">
        <f>IF(B8="","",DAY(G21))</f>
        <v>6</v>
      </c>
    </row>
    <row r="24" spans="1:7" ht="15">
      <c r="A24" s="193" t="s">
        <v>363</v>
      </c>
      <c r="B24" s="193" t="s">
        <v>369</v>
      </c>
      <c r="C24" s="193"/>
      <c r="D24" s="193"/>
      <c r="E24" s="193"/>
      <c r="G24" s="544">
        <f>IF(B8="","",YEAR(G21))</f>
        <v>2014</v>
      </c>
    </row>
    <row r="25" spans="1:5" ht="15">
      <c r="A25" s="193"/>
      <c r="B25" s="193"/>
      <c r="C25" s="193"/>
      <c r="D25" s="193"/>
      <c r="E25" s="193"/>
    </row>
    <row r="26" spans="1:5" ht="1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P103" sqref="P10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
      <c r="A3" s="819" t="str">
        <f>CONCATENATE("To the Clerk of ",inputPrYr!D4,", State of Kansas")</f>
        <v>To the Clerk of Ellsworth County, State of Kansas</v>
      </c>
      <c r="B3" s="808"/>
      <c r="C3" s="808"/>
      <c r="D3" s="808"/>
      <c r="E3" s="808"/>
      <c r="F3" s="808"/>
    </row>
    <row r="4" spans="1:6" s="48" customFormat="1" ht="15">
      <c r="A4" s="819" t="s">
        <v>83</v>
      </c>
      <c r="B4" s="820"/>
      <c r="C4" s="820"/>
      <c r="D4" s="820"/>
      <c r="E4" s="820"/>
      <c r="F4" s="820"/>
    </row>
    <row r="5" spans="1:6" s="48" customFormat="1" ht="15">
      <c r="A5" s="821" t="str">
        <f>inputPrYr!D3</f>
        <v>Ellsworth Township</v>
      </c>
      <c r="B5" s="820"/>
      <c r="C5" s="820"/>
      <c r="D5" s="820"/>
      <c r="E5" s="820"/>
      <c r="F5" s="820"/>
    </row>
    <row r="6" spans="1:6" s="48" customFormat="1" ht="1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695</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t="str">
        <f>IF(gen!C61&gt;0,gen!C61,"  ")</f>
        <v>  </v>
      </c>
      <c r="D21" s="545">
        <f>IF(gen!$E$50&lt;&gt;0,gen!$E$50,"  ")</f>
        <v>3200</v>
      </c>
      <c r="E21" s="545">
        <f>IF(gen!$E$57&lt;&gt;0,gen!$E$57,0)</f>
        <v>2808</v>
      </c>
      <c r="F21" s="546" t="str">
        <f>IF(AND(gen!E57=0,$B$47&gt;=0)," ",IF(AND(E21&gt;0,$B$47=0)," ",IF(AND(E21&gt;0,$B$47&gt;0),ROUND(E21/$B$47*1000,3))))</f>
        <v> </v>
      </c>
    </row>
    <row r="22" spans="1:6" s="48" customFormat="1" ht="15">
      <c r="A22" s="73" t="s">
        <v>290</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t="str">
        <f>IF(road!C67&gt;0,road!C67,"  ")</f>
        <v>  </v>
      </c>
      <c r="D24" s="545">
        <f>IF(road!$E$43&lt;&gt;0,road!$E$43,"  ")</f>
        <v>38118</v>
      </c>
      <c r="E24" s="545">
        <f>IF(road!$E$50&lt;&gt;0,road!$E$50,"  ")</f>
        <v>22697</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t="str">
        <f>IF(road!C67&gt;0,road!C67,"  ")</f>
        <v>  </v>
      </c>
      <c r="D38" s="547"/>
      <c r="E38" s="547"/>
      <c r="F38" s="546"/>
    </row>
    <row r="39" spans="1:6" s="48" customFormat="1" ht="15.75" thickBot="1">
      <c r="A39" s="81" t="s">
        <v>234</v>
      </c>
      <c r="B39" s="72"/>
      <c r="C39" s="82" t="s">
        <v>235</v>
      </c>
      <c r="D39" s="548">
        <f>SUM(D21:D38)</f>
        <v>41318</v>
      </c>
      <c r="E39" s="548">
        <f>SUM(E21:E38)</f>
        <v>25505</v>
      </c>
      <c r="F39" s="549">
        <f>IF(SUM(F21:F38)&gt;0,SUM(F21:F38),"")</f>
      </c>
    </row>
    <row r="40" spans="1:3" s="48" customFormat="1" ht="15.75" thickTop="1">
      <c r="A40" s="68" t="s">
        <v>95</v>
      </c>
      <c r="B40" s="64"/>
      <c r="C40" s="79">
        <f>summ!C54</f>
        <v>0</v>
      </c>
    </row>
    <row r="41" spans="1:5" s="48" customFormat="1" ht="15">
      <c r="A41" s="740" t="s">
        <v>149</v>
      </c>
      <c r="B41" s="65"/>
      <c r="C41" s="739">
        <f>IF(nhood!C40&gt;0,nhood!C40,"")</f>
      </c>
      <c r="D41" s="752" t="s">
        <v>932</v>
      </c>
      <c r="E41" s="84" t="str">
        <f>IF(E39&gt;1000,IF(E35&gt;computation!J41,"Yes","No"),"No")</f>
        <v>No</v>
      </c>
    </row>
    <row r="42" spans="1:5" s="48" customFormat="1" ht="15">
      <c r="A42" s="737"/>
      <c r="B42" s="155"/>
      <c r="C42" s="738"/>
      <c r="D42" s="85"/>
      <c r="E42" s="86"/>
    </row>
    <row r="43" spans="1:6" s="48" customFormat="1" ht="15">
      <c r="A43" s="68" t="s">
        <v>50</v>
      </c>
      <c r="B43" s="814" t="s">
        <v>67</v>
      </c>
      <c r="C43" s="815"/>
      <c r="D43" s="88"/>
      <c r="F43" s="55" t="s">
        <v>236</v>
      </c>
    </row>
    <row r="44" spans="1:6" s="48" customFormat="1" ht="15">
      <c r="A44" s="63" t="str">
        <f>inputPrYr!D3</f>
        <v>Ellsworth Township</v>
      </c>
      <c r="B44" s="811"/>
      <c r="C44" s="816"/>
      <c r="D44" s="89"/>
      <c r="F44" s="55"/>
    </row>
    <row r="45" spans="1:6" s="48" customFormat="1" ht="15">
      <c r="A45" s="63" t="str">
        <f>inputPrYr!D6</f>
        <v>Ellsworth</v>
      </c>
      <c r="B45" s="811"/>
      <c r="C45" s="812"/>
      <c r="D45" s="89"/>
      <c r="F45" s="55"/>
    </row>
    <row r="46" spans="1:6" s="48" customFormat="1" ht="15">
      <c r="A46" s="63" t="str">
        <f>inputPrYr!D7</f>
        <v>Kanopolis</v>
      </c>
      <c r="B46" s="811"/>
      <c r="C46" s="812"/>
      <c r="D46" s="89"/>
      <c r="F46" s="55"/>
    </row>
    <row r="47" spans="1:6" s="48" customFormat="1" ht="15">
      <c r="A47" s="63" t="s">
        <v>160</v>
      </c>
      <c r="B47" s="809">
        <f>SUM(B44:C46)</f>
        <v>0</v>
      </c>
      <c r="C47" s="810"/>
      <c r="D47" s="89"/>
      <c r="F47" s="55"/>
    </row>
    <row r="48" spans="1:6" s="48" customFormat="1" ht="15">
      <c r="A48" s="90"/>
      <c r="B48" s="817" t="str">
        <f>CONCATENATE("Nov. 1, ",G1-1," Valuation")</f>
        <v>Nov. 1, 2014 Valuation</v>
      </c>
      <c r="C48" s="818"/>
      <c r="D48" s="88"/>
      <c r="F48" s="55"/>
    </row>
    <row r="49" spans="1:6" s="48" customFormat="1" ht="15">
      <c r="A49" s="90" t="s">
        <v>237</v>
      </c>
      <c r="D49" s="54"/>
      <c r="F49" s="55"/>
    </row>
    <row r="50" spans="1:6" s="48" customFormat="1" ht="15">
      <c r="A50" s="92"/>
      <c r="D50" s="88"/>
      <c r="E50" s="54"/>
      <c r="F50" s="54"/>
    </row>
    <row r="51" spans="1:6" s="48" customFormat="1" ht="15">
      <c r="A51" s="93"/>
      <c r="B51" s="53"/>
      <c r="D51" s="813" t="s">
        <v>772</v>
      </c>
      <c r="E51" s="813"/>
      <c r="F51" s="813"/>
    </row>
    <row r="52" spans="1:6" s="48" customFormat="1" ht="15">
      <c r="A52" s="90" t="s">
        <v>76</v>
      </c>
      <c r="D52" s="813"/>
      <c r="E52" s="813"/>
      <c r="F52" s="813"/>
    </row>
    <row r="53" spans="1:6" s="48" customFormat="1" ht="15">
      <c r="A53" s="92"/>
      <c r="C53" s="55"/>
      <c r="D53" s="813" t="s">
        <v>772</v>
      </c>
      <c r="E53" s="813"/>
      <c r="F53" s="813"/>
    </row>
    <row r="54" spans="1:6" s="48" customFormat="1" ht="15">
      <c r="A54" s="93"/>
      <c r="B54" s="55"/>
      <c r="D54" s="813"/>
      <c r="E54" s="813"/>
      <c r="F54" s="813"/>
    </row>
    <row r="55" spans="1:7" ht="15">
      <c r="A55" s="90" t="s">
        <v>771</v>
      </c>
      <c r="B55" s="53"/>
      <c r="C55" s="48"/>
      <c r="D55" s="813" t="s">
        <v>772</v>
      </c>
      <c r="E55" s="813"/>
      <c r="F55" s="813"/>
      <c r="G55" s="94"/>
    </row>
    <row r="56" spans="1:7" ht="15">
      <c r="A56" s="92"/>
      <c r="B56" s="53"/>
      <c r="C56" s="48"/>
      <c r="D56" s="813"/>
      <c r="E56" s="813"/>
      <c r="F56" s="813"/>
      <c r="G56" s="94"/>
    </row>
    <row r="57" spans="1:7" ht="15">
      <c r="A57" s="53"/>
      <c r="B57" s="48"/>
      <c r="C57" s="48"/>
      <c r="D57" s="813" t="s">
        <v>772</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772</v>
      </c>
      <c r="E60" s="54"/>
      <c r="F60" s="54"/>
      <c r="G60" s="94"/>
    </row>
    <row r="61" spans="1:6" ht="1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4">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Ellsworth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24775</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24775</v>
      </c>
    </row>
    <row r="8" spans="1:10" ht="15">
      <c r="A8" s="48"/>
      <c r="B8" s="48"/>
      <c r="C8" s="48"/>
      <c r="D8" s="48"/>
      <c r="E8" s="169"/>
      <c r="F8" s="169"/>
      <c r="G8" s="169"/>
      <c r="H8" s="169"/>
      <c r="I8" s="169"/>
      <c r="J8" s="169"/>
    </row>
    <row r="9" spans="1:10" ht="1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143392</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493971</v>
      </c>
      <c r="F14" s="242"/>
      <c r="G14" s="169"/>
      <c r="H14" s="169"/>
      <c r="I14" s="246"/>
      <c r="J14" s="169"/>
    </row>
    <row r="15" spans="1:10" ht="15">
      <c r="A15" s="241"/>
      <c r="B15" s="48" t="s">
        <v>40</v>
      </c>
      <c r="C15" s="48" t="str">
        <f>CONCATENATE("Personal property ",J1-2,"")</f>
        <v>Personal property 2013</v>
      </c>
      <c r="D15" s="241" t="s">
        <v>35</v>
      </c>
      <c r="E15" s="245">
        <f>inputOth!E31</f>
        <v>685237</v>
      </c>
      <c r="F15" s="242"/>
      <c r="G15" s="246"/>
      <c r="H15" s="246"/>
      <c r="I15" s="169"/>
      <c r="J15" s="169"/>
    </row>
    <row r="16" spans="1:10" ht="15">
      <c r="A16" s="241"/>
      <c r="B16" s="48" t="s">
        <v>41</v>
      </c>
      <c r="C16" s="48" t="s">
        <v>927</v>
      </c>
      <c r="D16" s="48"/>
      <c r="E16" s="169"/>
      <c r="F16" s="169" t="s">
        <v>255</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141325</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284717</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19971623</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19686906</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0.014462252219825705</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358</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25133</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25133</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371.625</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25504.625</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Ellsworth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5" t="s">
        <v>749</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2692</v>
      </c>
      <c r="E11" s="212">
        <f>IF(inputOth!D37&gt;0,inputOth!D37,"  ")</f>
        <v>0.14</v>
      </c>
      <c r="F11" s="213"/>
      <c r="G11" s="73">
        <f>IF(inputPrYr!E20=0,0,G25-SUM(G12:G22))</f>
        <v>363</v>
      </c>
      <c r="H11" s="214"/>
      <c r="I11" s="73">
        <f>IF(inputPrYr!E20=0,0,I27-SUM(I12:I22))</f>
        <v>3</v>
      </c>
      <c r="J11" s="73">
        <f>IF(inputPrYr!E20=0,0,J29-SUM(J12:J22))</f>
        <v>26</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22083</v>
      </c>
      <c r="E14" s="212">
        <f>IF(inputOth!D40&gt;0,inputOth!D40,"  ")</f>
        <v>5.861</v>
      </c>
      <c r="F14" s="213"/>
      <c r="G14" s="73">
        <f>IF(inputPrYr!E23=0,0,ROUND(D14*$G$31,0))</f>
        <v>2982</v>
      </c>
      <c r="H14" s="214"/>
      <c r="I14" s="73">
        <f>IF(inputPrYr!$E$23=0,0,ROUND($D$14*$I$33,0))</f>
        <v>27</v>
      </c>
      <c r="J14" s="73">
        <f>IF(inputPrYr!E23=0,0,ROUND($D14*$J$35,0))</f>
        <v>215</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24775</v>
      </c>
      <c r="E23" s="217">
        <f>SUM(E11:E22)</f>
        <v>6.0009999999999994</v>
      </c>
      <c r="F23" s="218"/>
      <c r="G23" s="216">
        <f t="shared" si="0"/>
        <v>3345</v>
      </c>
      <c r="H23" s="216"/>
      <c r="I23" s="216">
        <f t="shared" si="0"/>
        <v>30</v>
      </c>
      <c r="J23" s="216">
        <f t="shared" si="0"/>
        <v>241</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3345</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30</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241</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0.1350151362260343</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0.0012108980827447023</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0.009727547931382441</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Ellsworth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12725</v>
      </c>
      <c r="D13" s="236">
        <f>road!$D$38</f>
        <v>10000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12725</v>
      </c>
      <c r="D27" s="239">
        <f>SUM(D10:D26)</f>
        <v>10000</v>
      </c>
      <c r="E27" s="239">
        <f>SUM(E10:E26)</f>
        <v>0</v>
      </c>
      <c r="F27" s="171"/>
    </row>
    <row r="28" spans="1:6" ht="15">
      <c r="A28" s="171"/>
      <c r="B28" s="71" t="s">
        <v>595</v>
      </c>
      <c r="C28" s="48"/>
      <c r="D28" s="160"/>
      <c r="E28" s="160"/>
      <c r="F28" s="171"/>
    </row>
    <row r="29" spans="1:6" ht="15">
      <c r="A29" s="171"/>
      <c r="B29" s="71" t="s">
        <v>104</v>
      </c>
      <c r="C29" s="162">
        <f>C27</f>
        <v>12725</v>
      </c>
      <c r="D29" s="162">
        <f>SUM(D27-D28)</f>
        <v>10000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
      <c r="A2" s="95"/>
    </row>
    <row r="3" ht="15">
      <c r="A3" s="95"/>
    </row>
    <row r="4" ht="52.5" customHeight="1">
      <c r="A4" s="196" t="s">
        <v>344</v>
      </c>
    </row>
    <row r="5" ht="15">
      <c r="A5" s="95"/>
    </row>
    <row r="6" ht="15">
      <c r="A6" s="95"/>
    </row>
    <row r="7" ht="70.5" customHeight="1">
      <c r="A7" s="196" t="s">
        <v>345</v>
      </c>
    </row>
    <row r="8" ht="15">
      <c r="A8" s="331"/>
    </row>
    <row r="9" ht="15">
      <c r="A9" s="95"/>
    </row>
    <row r="10" ht="56.25" customHeight="1">
      <c r="A10" s="196" t="s">
        <v>346</v>
      </c>
    </row>
    <row r="11" ht="15">
      <c r="A11" s="331"/>
    </row>
    <row r="12" ht="15">
      <c r="A12" s="331"/>
    </row>
    <row r="13" ht="57.75" customHeight="1">
      <c r="A13" s="196" t="s">
        <v>347</v>
      </c>
    </row>
    <row r="14" ht="15">
      <c r="A14" s="331"/>
    </row>
    <row r="15" ht="15">
      <c r="A15" s="331"/>
    </row>
    <row r="16" ht="87.75" customHeight="1">
      <c r="A16" s="196" t="s">
        <v>348</v>
      </c>
    </row>
    <row r="17" ht="15">
      <c r="A17" s="331"/>
    </row>
    <row r="18" ht="15">
      <c r="A18" s="95"/>
    </row>
    <row r="19" ht="54.75" customHeight="1">
      <c r="A19" s="196" t="s">
        <v>349</v>
      </c>
    </row>
    <row r="20" ht="15">
      <c r="A20" s="95"/>
    </row>
    <row r="21" ht="15">
      <c r="A21" s="95"/>
    </row>
    <row r="22" ht="69" customHeight="1">
      <c r="A22" s="196" t="s">
        <v>350</v>
      </c>
    </row>
    <row r="23" ht="15">
      <c r="A23" s="95"/>
    </row>
    <row r="24" ht="15">
      <c r="A24" s="333"/>
    </row>
    <row r="25" ht="47.25" customHeight="1">
      <c r="A25" s="334" t="s">
        <v>351</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2014-10-08T19:30:55Z</cp:lastPrinted>
  <dcterms:created xsi:type="dcterms:W3CDTF">1998-08-26T16:30:41Z</dcterms:created>
  <dcterms:modified xsi:type="dcterms:W3CDTF">2014-10-08T21:35:06Z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