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<sst xmlns="http://schemas.openxmlformats.org/spreadsheetml/2006/main" count="1575" uniqueCount="955">
  <si>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</si>
  <si>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</si>
  <si>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</si>
  <si>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</si>
  <si>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</si>
  <si>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</si>
  <si>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</si>
  <si>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</si>
  <si>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</si>
  <si>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</si>
  <si>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</si>
  <si>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</si>
  <si>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</si>
  <si>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</si>
  <si>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</si>
  <si>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</si>
  <si>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</si>
  <si>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</si>
  <si>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</si>
  <si>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</si>
  <si>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</si>
  <si>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</si>
  <si>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</si>
  <si>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</si>
  <si>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</si>
  <si>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</si>
  <si>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</si>
  <si>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</si>
  <si>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</si>
  <si>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</si>
  <si>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</si>
  <si>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</si>
  <si>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</si>
  <si>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</si>
  <si>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</si>
  <si>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</si>
  <si>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</si>
  <si>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</si>
  <si>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</si>
  <si>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</si>
  <si>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</si>
  <si>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</si>
  <si>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</si>
  <si>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</si>
  <si>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</si>
  <si>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</si>
  <si>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</si>
  <si>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</si>
  <si>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</si>
  <si>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</si>
  <si>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</si>
  <si>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</si>
  <si>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</si>
  <si>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</si>
  <si>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</si>
  <si>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</si>
  <si>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</si>
  <si>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</si>
  <si>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</si>
  <si>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</si>
  <si>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</si>
  <si>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</si>
  <si>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</si>
  <si>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</si>
  <si>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</si>
  <si>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</si>
  <si>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</si>
  <si>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</si>
  <si>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</si>
  <si>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</si>
  <si>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</si>
  <si>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</si>
  <si>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</si>
  <si>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</si>
  <si>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</si>
  <si>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</si>
  <si>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</si>
  <si>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</si>
  <si>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</si>
  <si>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</si>
  <si>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</si>
  <si>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</si>
  <si>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</si>
  <si>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</si>
  <si>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</si>
  <si>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</si>
  <si>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</si>
  <si>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</si>
  <si>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</si>
  <si>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</si>
  <si>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</si>
  <si>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</si>
  <si>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</si>
  <si>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</si>
  <si>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</si>
  <si>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</si>
  <si>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</si>
  <si>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</si>
  <si>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</si>
  <si>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</si>
  <si>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</si>
  <si>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</si>
  <si>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</si>
  <si>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</si>
  <si>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</si>
  <si>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</si>
  <si>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</si>
  <si>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</si>
  <si>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</si>
  <si>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</si>
  <si>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</si>
  <si>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</si>
  <si>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</si>
  <si>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</si>
  <si>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</si>
  <si>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</si>
  <si>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</si>
  <si>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</si>
  <si>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</si>
  <si>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</si>
  <si>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</si>
  <si>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</si>
  <si>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</si>
  <si>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</si>
  <si>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</si>
  <si>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</si>
  <si>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</si>
  <si>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</si>
  <si>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</si>
  <si>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</si>
  <si>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</si>
  <si>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</si>
  <si>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</si>
  <si>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</si>
  <si>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</si>
  <si>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</si>
  <si>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</si>
  <si>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</si>
  <si>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</si>
  <si>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</si>
  <si>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</si>
  <si>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</si>
  <si>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</si>
  <si>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</si>
  <si>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</si>
  <si>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</si>
  <si>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</si>
  <si>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</si>
  <si>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</si>
  <si>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</si>
  <si>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</si>
  <si>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</si>
  <si>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</si>
  <si>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</si>
  <si>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</si>
  <si>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</si>
  <si>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</si>
  <si>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</si>
  <si>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</si>
  <si>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</si>
  <si>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</si>
  <si>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</si>
  <si>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</si>
  <si>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</si>
  <si>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</si>
  <si>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</si>
  <si>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</si>
  <si>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</si>
  <si>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</si>
  <si>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</si>
  <si>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</si>
  <si>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</si>
  <si>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</si>
  <si>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</si>
  <si>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</si>
  <si>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</si>
  <si>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</si>
  <si>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</si>
  <si>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</si>
  <si>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</si>
  <si>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</si>
  <si>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</si>
  <si>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</si>
  <si>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</si>
  <si>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</si>
  <si>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</si>
  <si>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</si>
  <si>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</si>
  <si>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</si>
  <si>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</si>
  <si>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</si>
  <si>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</si>
  <si>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</si>
  <si>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</si>
  <si>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</si>
  <si>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</si>
  <si>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</si>
  <si>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</si>
  <si>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</si>
  <si>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</si>
  <si>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</si>
  <si>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</si>
  <si>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</si>
  <si>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</si>
  <si>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</si>
  <si>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</si>
  <si>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</si>
  <si>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</si>
  <si>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</si>
  <si>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</si>
  <si>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</si>
  <si>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</si>
  <si>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</si>
  <si>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</si>
  <si>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</si>
  <si>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</si>
  <si>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</si>
  <si>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</si>
  <si>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</si>
  <si>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</si>
  <si>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</si>
  <si>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</si>
  <si>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</si>
  <si>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</si>
  <si>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</si>
  <si>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</si>
  <si>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</si>
  <si>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</si>
  <si>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</si>
  <si>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</si>
  <si>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</si>
  <si>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</si>
  <si>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</si>
  <si>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</si>
  <si>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</si>
  <si>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</si>
  <si>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</si>
  <si>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</si>
  <si>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</si>
  <si>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</si>
  <si>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</si>
  <si>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</si>
  <si>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</si>
  <si>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</si>
  <si>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</si>
  <si>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</si>
  <si>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</si>
  <si>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</si>
  <si>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</si>
  <si>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</si>
  <si>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</si>
  <si>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</si>
  <si>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</si>
  <si>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</si>
  <si>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</si>
  <si>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</si>
  <si>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</si>
  <si>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</si>
  <si>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</si>
  <si>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</si>
  <si>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</si>
  <si>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</si>
  <si>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</si>
  <si>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</si>
  <si>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</si>
  <si>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</si>
  <si>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</si>
  <si>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</si>
  <si>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</si>
  <si>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</si>
  <si>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</si>
  <si>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</si>
  <si>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</si>
  <si>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</si>
  <si>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</si>
  <si>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</si>
  <si>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</si>
  <si>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</si>
  <si>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</si>
  <si>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</si>
  <si>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</si>
  <si>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</si>
  <si>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</si>
  <si>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</si>
  <si>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</si>
  <si>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</si>
  <si>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</si>
  <si>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</si>
  <si>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</si>
  <si>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</si>
  <si>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</si>
  <si>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</si>
  <si>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</si>
  <si>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</si>
  <si>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</si>
  <si>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</si>
  <si>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</si>
  <si>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</si>
  <si>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</si>
  <si>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</si>
  <si>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</si>
  <si>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</si>
  <si>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</si>
  <si>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</si>
  <si>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</si>
  <si>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</si>
  <si>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</si>
  <si>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</si>
  <si>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</si>
  <si>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</si>
  <si>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</si>
  <si>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</si>
  <si>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</si>
  <si>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</si>
  <si>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</si>
  <si>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</si>
  <si>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</si>
  <si>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</si>
  <si>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</si>
  <si>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</si>
  <si>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</si>
  <si>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</si>
  <si>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</si>
  <si>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</si>
  <si>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</si>
  <si>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</si>
  <si>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</si>
  <si>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</si>
  <si>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</si>
  <si>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</si>
  <si>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</si>
  <si>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</si>
  <si>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</si>
  <si>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</si>
  <si>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</si>
  <si>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</si>
  <si>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</si>
  <si>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</si>
  <si>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</si>
  <si>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</si>
  <si>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</si>
  <si>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</si>
  <si>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</si>
  <si>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</si>
  <si>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</si>
  <si>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</si>
  <si>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</si>
  <si>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</si>
  <si>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</si>
  <si>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</si>
  <si>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</si>
  <si>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</si>
  <si>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</si>
  <si>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</si>
  <si>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</si>
  <si>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</si>
  <si>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</si>
  <si>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</si>
  <si>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</si>
  <si>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</si>
  <si>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</si>
  <si>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</si>
  <si>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</si>
  <si>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</si>
  <si>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</si>
  <si>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</si>
  <si>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</si>
  <si>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</si>
  <si>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</si>
  <si>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</si>
  <si>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</si>
  <si>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</si>
  <si>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</si>
  <si>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</si>
  <si>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</si>
  <si>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</si>
  <si>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</si>
  <si>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</si>
  <si>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</si>
  <si>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</si>
  <si>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</si>
  <si>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</si>
  <si>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</si>
  <si>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</si>
  <si>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</si>
  <si>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</si>
  <si>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</si>
  <si>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</si>
  <si>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</si>
  <si>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</si>
  <si>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</si>
  <si>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</si>
  <si>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</si>
  <si>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</si>
  <si>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</si>
  <si>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</si>
  <si>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</si>
  <si>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</si>
  <si>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</si>
  <si>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</si>
  <si>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</si>
  <si>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</si>
  <si>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</si>
  <si>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</si>
  <si>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</si>
  <si>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</si>
  <si>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</si>
  <si>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</si>
  <si>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</si>
  <si>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</si>
  <si>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</si>
  <si>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</si>
  <si>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</si>
  <si>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</si>
  <si>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</si>
  <si>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</si>
  <si>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</si>
  <si>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</si>
  <si>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</si>
  <si>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</si>
  <si>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</si>
  <si>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</si>
  <si>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</si>
  <si>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</si>
  <si>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</si>
  <si>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</si>
  <si>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</si>
  <si>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</si>
  <si>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</si>
  <si>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</si>
  <si>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</si>
  <si>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</si>
  <si>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</si>
  <si>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</si>
  <si>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</si>
  <si>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</si>
  <si>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</si>
  <si>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</si>
  <si>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</si>
  <si>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</si>
  <si>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</si>
  <si>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</si>
  <si>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</si>
  <si>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</si>
  <si>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</si>
  <si>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</si>
  <si>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</si>
  <si>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</si>
  <si>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</si>
  <si>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</si>
  <si>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</si>
  <si>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</si>
  <si>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</si>
  <si>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</si>
  <si>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</si>
  <si>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</si>
  <si>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</si>
  <si>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</si>
  <si>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</si>
  <si>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</si>
  <si>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</si>
  <si>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</si>
  <si>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</si>
  <si>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</si>
  <si>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</si>
  <si>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</si>
  <si>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</si>
  <si>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</si>
  <si>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</si>
  <si>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</si>
  <si>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</si>
  <si>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</si>
  <si>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</si>
  <si>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</si>
  <si>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</si>
  <si>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</si>
  <si>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</si>
  <si>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</si>
  <si>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</si>
  <si>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</si>
  <si>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</si>
  <si>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</si>
  <si>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</si>
  <si>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</si>
  <si>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</si>
  <si>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</si>
  <si>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</si>
  <si>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</si>
  <si>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</si>
  <si>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</si>
  <si>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</si>
  <si>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</si>
  <si>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</si>
  <si>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</si>
  <si>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</si>
  <si>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</si>
  <si>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</si>
  <si>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</si>
  <si>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</si>
  <si>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</si>
  <si>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</si>
  <si>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</si>
  <si>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</si>
  <si>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</si>
  <si>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</si>
  <si>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</si>
  <si>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</si>
  <si>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</si>
  <si>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</si>
  <si>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</si>
  <si>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</si>
  <si>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</si>
  <si>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</si>
  <si>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</si>
  <si>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</si>
  <si>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</si>
  <si>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</si>
  <si>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</si>
  <si>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</si>
  <si>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</si>
  <si>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</si>
  <si>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</si>
  <si>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</si>
  <si>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</si>
  <si>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</si>
  <si>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</si>
  <si>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</si>
  <si>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</si>
  <si>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</si>
  <si>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</si>
  <si>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</si>
  <si>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</si>
  <si>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</si>
  <si>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</si>
  <si>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</si>
  <si>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</si>
  <si>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</si>
  <si>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</si>
  <si>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</si>
  <si>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</si>
  <si>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</si>
  <si>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</si>
  <si>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</si>
  <si>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</si>
  <si>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</si>
  <si>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</si>
  <si>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</si>
  <si>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</si>
  <si>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</si>
  <si>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</si>
  <si>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</si>
  <si>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</si>
  <si>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</si>
  <si>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</si>
  <si>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</si>
  <si>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</si>
  <si>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</si>
  <si>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</si>
  <si>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</si>
  <si>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</si>
  <si>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</si>
  <si>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</si>
  <si>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</si>
  <si>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</si>
  <si>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</si>
  <si>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</si>
  <si>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</si>
  <si>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</si>
  <si>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</si>
  <si>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</si>
  <si>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</si>
  <si>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</si>
  <si>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</si>
  <si>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</si>
  <si>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</si>
  <si>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</si>
  <si>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</si>
  <si>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</si>
  <si>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</si>
  <si>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</si>
  <si>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</si>
  <si>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</si>
  <si>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</si>
  <si>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</si>
  <si>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</si>
  <si>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</si>
  <si>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</si>
  <si>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</si>
  <si>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</si>
  <si>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</si>
  <si>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</si>
  <si>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</si>
  <si>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</si>
  <si>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</si>
  <si>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</si>
  <si>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</si>
  <si>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</si>
  <si>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</si>
  <si>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</si>
  <si>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</si>
  <si>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</si>
  <si>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</si>
  <si>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</si>
  <si>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</si>
  <si>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</si>
  <si>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</si>
  <si>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</si>
  <si>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</si>
  <si>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</si>
  <si>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</si>
  <si>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</si>
  <si>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</si>
  <si>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</si>
  <si>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</si>
  <si>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</si>
  <si>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</si>
  <si>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</si>
  <si>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</si>
  <si>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</si>
  <si>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</si>
  <si>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</si>
  <si>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</si>
  <si>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</si>
  <si>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</si>
  <si>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</si>
  <si>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</si>
  <si>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</si>
  <si>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</si>
  <si>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</si>
  <si>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</si>
  <si>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</si>
  <si>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</si>
  <si>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</si>
  <si>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</si>
  <si>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</si>
  <si>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</si>
  <si>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</si>
  <si>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</si>
  <si>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</si>
  <si>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</si>
  <si>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</si>
  <si>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</si>
  <si>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</si>
  <si>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</si>
  <si>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</si>
  <si>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</si>
  <si>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</si>
  <si>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</si>
  <si>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</si>
  <si>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</si>
  <si>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</si>
  <si>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</si>
  <si>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</si>
  <si>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</si>
  <si>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</si>
  <si>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</si>
  <si>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</si>
  <si>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</si>
  <si>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</si>
  <si>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</si>
  <si>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</si>
  <si>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</si>
  <si>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</si>
  <si>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</si>
  <si>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</si>
  <si>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</si>
  <si>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</si>
  <si>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</si>
  <si>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</si>
  <si>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</si>
  <si>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</si>
  <si>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</si>
  <si>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</si>
  <si>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</si>
  <si>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</si>
  <si>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</si>
  <si>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</si>
  <si>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</si>
  <si>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</si>
  <si>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</si>
  <si>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</si>
  <si>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</si>
  <si>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</si>
  <si>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</si>
  <si>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</si>
  <si>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</si>
  <si>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</si>
  <si>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</si>
  <si>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</si>
  <si>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</si>
  <si>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</si>
  <si>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</si>
  <si>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</si>
  <si>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</si>
  <si>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</si>
  <si>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</si>
  <si>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</si>
  <si>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</si>
  <si>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</si>
  <si>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</si>
  <si>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</si>
  <si>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</si>
  <si>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</si>
  <si>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</si>
  <si>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</si>
  <si>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</si>
  <si>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</si>
  <si>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</si>
  <si>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</si>
  <si>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</si>
  <si>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</si>
  <si>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</si>
  <si>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</si>
  <si>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</si>
  <si>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</si>
  <si>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</si>
  <si>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</si>
  <si>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</si>
  <si>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</si>
  <si>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</si>
  <si>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</si>
  <si>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</si>
  <si>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</si>
  <si>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</si>
  <si>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</si>
  <si>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</si>
  <si>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</si>
  <si>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</si>
  <si>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</si>
  <si>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</si>
  <si>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</si>
  <si>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</si>
  <si>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</si>
  <si>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</si>
  <si>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</si>
  <si>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</si>
  <si>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</si>
  <si>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</si>
  <si>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</si>
  <si>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</si>
  <si>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</si>
  <si>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</si>
  <si>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</si>
  <si>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</si>
  <si>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</si>
  <si>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</si>
  <si>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</si>
  <si>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</si>
  <si>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</si>
  <si>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</si>
  <si>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</si>
  <si>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</si>
  <si>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</si>
  <si>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</si>
  <si>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</si>
  <si>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</si>
  <si>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</si>
  <si>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</si>
  <si>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</si>
  <si>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</si>
  <si>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</si>
  <si>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</si>
  <si>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</si>
  <si>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</si>
  <si>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</si>
  <si>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</si>
  <si>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</si>
  <si>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</si>
  <si>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</si>
  <si>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</si>
  <si>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</si>
  <si>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</si>
  <si>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</si>
  <si>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</si>
  <si>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</si>
  <si>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</si>
  <si>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</si>
  <si>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</si>
  <si>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</si>
  <si>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</si>
  <si>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</si>
  <si>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</si>
  <si>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</si>
  <si>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</si>
  <si>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</si>
  <si>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</si>
  <si>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</si>
  <si>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</si>
  <si>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</si>
  <si>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</si>
  <si>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</si>
  <si>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</si>
  <si>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</si>
  <si>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</si>
  <si>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</si>
  <si>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</si>
  <si>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</si>
  <si>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</si>
  <si>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</si>
  <si>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</si>
  <si>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</si>
  <si>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</si>
  <si>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</si>
  <si>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</si>
  <si>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</si>
  <si>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</si>
  <si>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</si>
  <si>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</si>
  <si>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</si>
  <si>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</si>
  <si>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</si>
  <si>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</si>
  <si>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</si>
  <si>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</si>
  <si>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</si>
  <si>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</si>
  <si>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</si>
  <si>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</si>
  <si>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</si>
  <si>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</si>
  <si>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</si>
  <si>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</si>
  <si>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</si>
  <si>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</si>
  <si>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</si>
  <si>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</si>
  <si>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</si>
  <si>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</si>
  <si>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</si>
  <si>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</si>
  <si>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</si>
  <si>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</si>
  <si>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</si>
  <si>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</si>
  <si>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</si>
  <si>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</si>
  <si>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</si>
  <si>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</si>
  <si>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</si>
  <si>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</si>
  <si>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</si>
  <si>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</si>
  <si>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</si>
  <si>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</si>
  <si>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</si>
  <si>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</si>
  <si>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</si>
  <si>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</si>
  <si>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</si>
  <si>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</si>
  <si>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</si>
  <si>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</si>
  <si>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</si>
  <si>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</si>
  <si>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</si>
  <si>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</si>
  <si>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</si>
  <si>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</si>
  <si>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</si>
  <si>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</si>
  <si>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</si>
  <si>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</si>
  <si>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</si>
  <si>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</si>
  <si>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</si>
  <si>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</si>
  <si>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</si>
  <si>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</si>
  <si>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</si>
  <si>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</si>
  <si>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</si>
  <si>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</si>
  <si>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</si>
  <si>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</si>
  <si>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</si>
  <si>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</si>
  <si>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</si>
  <si>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</si>
  <si>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</si>
  <si>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</si>
  <si>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</si>
  <si>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</si>
  <si>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</si>
  <si>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</si>
  <si>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</si>
  <si>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</si>
  <si>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</si>
  <si>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</si>
  <si>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</si>
  <si>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</si>
  <si>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</si>
  <si>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</si>
  <si>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</si>
  <si>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</si>
  <si>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</si>
  <si>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</si>
  <si>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</si>
  <si>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</si>
  <si>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</si>
  <si>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</si>
  <si>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</si>
  <si>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</si>
  <si>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</si>
  <si>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</si>
  <si>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</si>
  <si>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</si>
  <si>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</si>
  <si>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</si>
  <si>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</si>
  <si>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</si>
  <si>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</si>
  <si>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</si>
  <si>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</si>
  <si>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</si>
  <si>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</si>
  <si>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</si>
  <si>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</si>
  <si>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</si>
  <si>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</si>
  <si>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</si>
  <si>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</si>
  <si>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</si>
  <si>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</si>
  <si>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</si>
  <si>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</si>
  <si>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</si>
  <si>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</si>
  <si>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</si>
  <si>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</si>
  <si>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</si>
  <si>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</si>
  <si>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</si>
  <si>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</si>
  <si>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</si>
  <si>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</si>
  <si>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</si>
  <si>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</si>
  <si>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</si>
  <si>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</si>
  <si>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</si>
  <si>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</si>
  <si>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</si>
  <si>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Columbia Township</t>
  </si>
  <si>
    <t>Ellsworth County</t>
  </si>
  <si>
    <t>Special Highway</t>
  </si>
  <si>
    <t>Reimbursement-Windfarm</t>
  </si>
  <si>
    <t>Road Fund (Includes Windfarm Reimb)</t>
  </si>
  <si>
    <t>Cemetery</t>
  </si>
  <si>
    <t>Mowing</t>
  </si>
  <si>
    <t>Fire</t>
  </si>
  <si>
    <t>Linda Vague, Treasurer</t>
  </si>
  <si>
    <t>August 18, 2014</t>
  </si>
  <si>
    <t>7:30 p.m.</t>
  </si>
  <si>
    <t>Frances Claussen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</si>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</sst>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Columbia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Columbia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1412713</v>
      </c>
      <c r="F27" s="531"/>
      <c r="G27" s="536">
        <f>summ!G37</f>
        <v>1629960</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61" sqref="E6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Columbia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0</v>
      </c>
      <c r="D6" s="364">
        <f>C51</f>
        <v>0</v>
      </c>
      <c r="E6" s="21">
        <f>D51</f>
        <v>0</v>
      </c>
    </row>
    <row r="7" spans="2:5" ht="15">
      <c r="B7" s="16" t="s">
        <v>111</v>
      </c>
      <c r="C7" s="364"/>
      <c r="D7" s="364"/>
      <c r="E7" s="22"/>
    </row>
    <row r="8" spans="2:5" ht="15">
      <c r="B8" s="16" t="s">
        <v>16</v>
      </c>
      <c r="C8" s="18">
        <v>30937</v>
      </c>
      <c r="D8" s="364">
        <f>IF(inputPrYr!H15&gt;0,inputPrYr!G16,inputPrYr!E16)</f>
        <v>32005</v>
      </c>
      <c r="E8" s="22" t="s">
        <v>266</v>
      </c>
    </row>
    <row r="9" spans="2:5" ht="15">
      <c r="B9" s="16" t="s">
        <v>17</v>
      </c>
      <c r="C9" s="18">
        <v>108</v>
      </c>
      <c r="D9" s="18"/>
      <c r="E9" s="23"/>
    </row>
    <row r="10" spans="2:5" ht="15">
      <c r="B10" s="16" t="s">
        <v>18</v>
      </c>
      <c r="C10" s="18">
        <v>2825</v>
      </c>
      <c r="D10" s="18">
        <v>3395</v>
      </c>
      <c r="E10" s="21">
        <f>mvalloc!G11</f>
        <v>2652</v>
      </c>
    </row>
    <row r="11" spans="2:5" ht="15">
      <c r="B11" s="16" t="s">
        <v>19</v>
      </c>
      <c r="C11" s="18"/>
      <c r="D11" s="18">
        <v>767</v>
      </c>
      <c r="E11" s="21">
        <f>mvalloc!I11</f>
        <v>0</v>
      </c>
    </row>
    <row r="12" spans="2:5" ht="15">
      <c r="B12" s="24" t="s">
        <v>69</v>
      </c>
      <c r="C12" s="18">
        <v>813</v>
      </c>
      <c r="D12" s="18"/>
      <c r="E12" s="21">
        <f>mvalloc!J11</f>
        <v>809</v>
      </c>
    </row>
    <row r="13" spans="2:5" ht="15">
      <c r="B13" s="24" t="s">
        <v>138</v>
      </c>
      <c r="C13" s="18"/>
      <c r="D13" s="18"/>
      <c r="E13" s="21">
        <f>inputOth!E35</f>
        <v>0</v>
      </c>
    </row>
    <row r="14" spans="2:5" ht="15">
      <c r="B14" s="16" t="s">
        <v>20</v>
      </c>
      <c r="C14" s="18"/>
      <c r="D14" s="18"/>
      <c r="E14" s="21">
        <f>inputOth!E12</f>
        <v>0</v>
      </c>
    </row>
    <row r="15" spans="2:5" ht="15">
      <c r="B15" s="26" t="s">
        <v>944</v>
      </c>
      <c r="C15" s="18">
        <v>2516</v>
      </c>
      <c r="D15" s="18">
        <v>2558</v>
      </c>
      <c r="E15" s="25">
        <v>2578</v>
      </c>
    </row>
    <row r="16" spans="2:5" ht="15">
      <c r="B16" s="26" t="s">
        <v>945</v>
      </c>
      <c r="C16" s="18">
        <v>4212</v>
      </c>
      <c r="D16" s="18"/>
      <c r="E16" s="23"/>
    </row>
    <row r="17" spans="2:5" ht="15">
      <c r="B17" s="26" t="s">
        <v>21</v>
      </c>
      <c r="C17" s="18">
        <v>83</v>
      </c>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41494</v>
      </c>
      <c r="D26" s="366">
        <f>SUM(D8:D24)</f>
        <v>38725</v>
      </c>
      <c r="E26" s="31">
        <f>SUM(E8:E24)</f>
        <v>6039</v>
      </c>
    </row>
    <row r="27" spans="2:5" ht="15">
      <c r="B27" s="32" t="s">
        <v>24</v>
      </c>
      <c r="C27" s="366">
        <f>C26+C6</f>
        <v>41494</v>
      </c>
      <c r="D27" s="366">
        <f>D26+D6</f>
        <v>38725</v>
      </c>
      <c r="E27" s="31">
        <f>E26+E6</f>
        <v>6039</v>
      </c>
    </row>
    <row r="28" spans="2:5" ht="15">
      <c r="B28" s="16" t="s">
        <v>25</v>
      </c>
      <c r="C28" s="364"/>
      <c r="D28" s="364"/>
      <c r="E28" s="21"/>
    </row>
    <row r="29" spans="2:5" ht="15">
      <c r="B29" s="26"/>
      <c r="C29" s="18"/>
      <c r="D29" s="18"/>
      <c r="E29" s="23"/>
    </row>
    <row r="30" spans="2:5" ht="15">
      <c r="B30" s="27" t="s">
        <v>101</v>
      </c>
      <c r="C30" s="18">
        <v>1316</v>
      </c>
      <c r="D30" s="18">
        <v>1600</v>
      </c>
      <c r="E30" s="23">
        <v>1600</v>
      </c>
    </row>
    <row r="31" spans="2:5" ht="15">
      <c r="B31" s="27" t="s">
        <v>116</v>
      </c>
      <c r="C31" s="18">
        <v>4482</v>
      </c>
      <c r="D31" s="18"/>
      <c r="E31" s="23"/>
    </row>
    <row r="32" spans="2:5" ht="15">
      <c r="B32" s="27" t="s">
        <v>102</v>
      </c>
      <c r="C32" s="18">
        <v>1546</v>
      </c>
      <c r="D32" s="18"/>
      <c r="E32" s="23"/>
    </row>
    <row r="33" spans="2:5" ht="15">
      <c r="B33" s="27" t="s">
        <v>36</v>
      </c>
      <c r="C33" s="18"/>
      <c r="D33" s="18"/>
      <c r="E33" s="23"/>
    </row>
    <row r="34" spans="2:5" ht="15">
      <c r="B34" s="26" t="s">
        <v>103</v>
      </c>
      <c r="C34" s="18">
        <v>4041</v>
      </c>
      <c r="D34" s="18"/>
      <c r="E34" s="23"/>
    </row>
    <row r="35" spans="2:5" ht="15">
      <c r="B35" s="26" t="s">
        <v>117</v>
      </c>
      <c r="C35" s="18"/>
      <c r="D35" s="18"/>
      <c r="E35" s="23"/>
    </row>
    <row r="36" spans="2:5" ht="15">
      <c r="B36" s="27" t="s">
        <v>119</v>
      </c>
      <c r="C36" s="18">
        <v>3027</v>
      </c>
      <c r="D36" s="18">
        <v>2800</v>
      </c>
      <c r="E36" s="23">
        <v>2800</v>
      </c>
    </row>
    <row r="37" spans="2:5" ht="15">
      <c r="B37" s="27" t="s">
        <v>946</v>
      </c>
      <c r="C37" s="18">
        <v>15572</v>
      </c>
      <c r="D37" s="18">
        <v>29325</v>
      </c>
      <c r="E37" s="23">
        <v>29783</v>
      </c>
    </row>
    <row r="38" spans="2:5" ht="15">
      <c r="B38" s="26" t="s">
        <v>947</v>
      </c>
      <c r="C38" s="18">
        <v>660</v>
      </c>
      <c r="D38" s="18"/>
      <c r="E38" s="23"/>
    </row>
    <row r="39" spans="2:5" ht="15">
      <c r="B39" s="27" t="s">
        <v>948</v>
      </c>
      <c r="C39" s="18">
        <v>1169</v>
      </c>
      <c r="D39" s="18"/>
      <c r="E39" s="23"/>
    </row>
    <row r="40" spans="2:5" ht="15">
      <c r="B40" s="27" t="s">
        <v>949</v>
      </c>
      <c r="C40" s="18"/>
      <c r="D40" s="18">
        <v>5000</v>
      </c>
      <c r="E40" s="23">
        <v>5000</v>
      </c>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9681</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41494</v>
      </c>
      <c r="D50" s="358">
        <f>SUM(D29:D48)</f>
        <v>38725</v>
      </c>
      <c r="E50" s="36">
        <f>SUM(E29:E43,E45,E47:E48)</f>
        <v>39183</v>
      </c>
      <c r="G50" s="459">
        <f>D51</f>
        <v>0</v>
      </c>
      <c r="H50" s="460" t="str">
        <f>CONCATENATE("",E1-1," Ending Cash Balance (est.)")</f>
        <v>2014 Ending Cash Balance (est.)</v>
      </c>
      <c r="I50" s="461"/>
      <c r="J50" s="245"/>
    </row>
    <row r="51" spans="2:10" ht="15">
      <c r="B51" s="16" t="s">
        <v>110</v>
      </c>
      <c r="C51" s="359">
        <f>C27-C50</f>
        <v>0</v>
      </c>
      <c r="D51" s="359">
        <f>SUM(D27-D50)</f>
        <v>0</v>
      </c>
      <c r="E51" s="22" t="s">
        <v>266</v>
      </c>
      <c r="G51" s="459">
        <f>E26</f>
        <v>6039</v>
      </c>
      <c r="H51" s="462" t="str">
        <f>CONCATENATE("",E1," Non-AV Receipts (est.)")</f>
        <v>2015 Non-AV Receipts (est.)</v>
      </c>
      <c r="I51" s="461"/>
      <c r="J51" s="245"/>
    </row>
    <row r="52" spans="2:11" ht="15">
      <c r="B52" s="266" t="str">
        <f>CONCATENATE("",E1-2,"/",E1-1,"/",E1," Budget Authority Amount:")</f>
        <v>2013/2014/2015 Budget Authority Amount:</v>
      </c>
      <c r="C52" s="52">
        <f>inputOth!B46</f>
        <v>35717</v>
      </c>
      <c r="D52" s="52">
        <f>inputPrYr!D16</f>
        <v>38725</v>
      </c>
      <c r="E52" s="21">
        <f>E50</f>
        <v>39183</v>
      </c>
      <c r="F52" s="39"/>
      <c r="G52" s="463">
        <f>IF(D56&gt;0,E55,E57)</f>
        <v>33144</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39183</v>
      </c>
      <c r="H53" s="462" t="str">
        <f>CONCATENATE("Total ",E1," Resources Available")</f>
        <v>Total 2015 Resources Available</v>
      </c>
      <c r="I53" s="461"/>
      <c r="J53" s="245"/>
    </row>
    <row r="54" spans="2:10" ht="15">
      <c r="B54" s="370" t="str">
        <f>CONCATENATE(C72,"     ",D72)</f>
        <v>See Tab A     </v>
      </c>
      <c r="C54" s="836" t="s">
        <v>588</v>
      </c>
      <c r="D54" s="837"/>
      <c r="E54" s="21">
        <f>E50+E53</f>
        <v>39183</v>
      </c>
      <c r="G54" s="464"/>
      <c r="H54" s="462"/>
      <c r="I54" s="462"/>
      <c r="J54" s="245"/>
    </row>
    <row r="55" spans="2:10" ht="15">
      <c r="B55" s="370" t="str">
        <f>CONCATENATE(C73,"     ",D73)</f>
        <v>     </v>
      </c>
      <c r="C55" s="49"/>
      <c r="D55" s="41" t="s">
        <v>28</v>
      </c>
      <c r="E55" s="35">
        <f>IF(E54-E27&gt;0,E54-E27,0)</f>
        <v>33144</v>
      </c>
      <c r="G55" s="463">
        <f>ROUND(C50*0.05+C50,0)</f>
        <v>43569</v>
      </c>
      <c r="H55" s="462" t="str">
        <f>CONCATENATE("Less ",E1-2," Expenditures + 5%")</f>
        <v>Less 2013 Expenditures + 5%</v>
      </c>
      <c r="I55" s="461"/>
      <c r="J55" s="245"/>
    </row>
    <row r="56" spans="2:10" ht="15">
      <c r="B56" s="41"/>
      <c r="C56" s="374" t="s">
        <v>589</v>
      </c>
      <c r="D56" s="662">
        <f>inputOth!$E$40</f>
        <v>0</v>
      </c>
      <c r="E56" s="21">
        <f>ROUND(IF(D56&gt;0,(E55*D56),0),0)</f>
        <v>0</v>
      </c>
      <c r="G56" s="465">
        <f>G53-G55</f>
        <v>-4386</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33144</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20.334</v>
      </c>
      <c r="H60" s="460" t="str">
        <f>CONCATENATE("",E1," Fund Mill Rate")</f>
        <v>2015 Fund Mill Rate</v>
      </c>
      <c r="I60" s="664"/>
      <c r="J60" s="676"/>
      <c r="K60" s="5"/>
    </row>
    <row r="61" spans="2:10" ht="15">
      <c r="B61" s="41" t="s">
        <v>9</v>
      </c>
      <c r="C61" s="376">
        <f>IF(inputPrYr!D18&gt;0,7,6)</f>
        <v>6</v>
      </c>
      <c r="D61" s="3"/>
      <c r="E61" s="44"/>
      <c r="G61" s="678">
        <f>summ!F18</f>
        <v>22.655</v>
      </c>
      <c r="H61" s="460" t="str">
        <f>CONCATENATE("",E1-1," Fund Mill Rate")</f>
        <v>2014 Fund Mill Rate</v>
      </c>
      <c r="I61" s="664"/>
      <c r="J61" s="676"/>
    </row>
    <row r="62" spans="7:10" ht="15">
      <c r="G62" s="679">
        <f>summ!I32</f>
        <v>20.334</v>
      </c>
      <c r="H62" s="460" t="str">
        <f>CONCATENATE("Total ",E1," Mill Rate")</f>
        <v>Total 2015 Mill Rate</v>
      </c>
      <c r="I62" s="664"/>
      <c r="J62" s="676"/>
    </row>
    <row r="63" spans="2:10" ht="15">
      <c r="B63" s="1"/>
      <c r="G63" s="678">
        <f>summ!F32</f>
        <v>22.655</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t="str">
        <f>IF(C50&gt;C52,"See Tab A","")</f>
        <v>See Tab A</v>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Columbia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20.334</v>
      </c>
      <c r="H45" s="607" t="str">
        <f>CONCATENATE("Total ",E1," Mill Rate")</f>
        <v>Total 2015 Mill Rate</v>
      </c>
      <c r="I45" s="629"/>
      <c r="J45" s="630"/>
    </row>
    <row r="46" spans="2:10" ht="15">
      <c r="B46" s="569" t="s">
        <v>123</v>
      </c>
      <c r="C46" s="574">
        <v>0</v>
      </c>
      <c r="D46" s="571">
        <f>C74</f>
        <v>0</v>
      </c>
      <c r="E46" s="572">
        <f>D74</f>
        <v>0</v>
      </c>
      <c r="F46" s="610"/>
      <c r="G46" s="632">
        <f>summ!F32</f>
        <v>22.655</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20.334</v>
      </c>
      <c r="H85" s="607" t="str">
        <f>CONCATENATE("Total ",E1," Mill Rate")</f>
        <v>Total 2015 Mill Rate</v>
      </c>
      <c r="I85" s="629"/>
      <c r="J85" s="630"/>
    </row>
    <row r="86" spans="7:10" ht="15">
      <c r="G86" s="632">
        <f>summ!F32</f>
        <v>22.655</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4">
      <selection activeCell="C66" sqref="C6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Columbia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29119</v>
      </c>
      <c r="D55" s="3"/>
      <c r="E55" s="3"/>
      <c r="G55" s="679">
        <f>summ!I32</f>
        <v>20.334</v>
      </c>
      <c r="H55" s="460" t="str">
        <f>CONCATENATE("Total ",E1," Mill Rate")</f>
        <v>Total 2015 Mill Rate</v>
      </c>
      <c r="I55" s="664"/>
      <c r="J55" s="676"/>
    </row>
    <row r="56" spans="2:10" ht="15">
      <c r="B56" s="61" t="s">
        <v>33</v>
      </c>
      <c r="C56" s="121"/>
      <c r="D56" s="3"/>
      <c r="E56" s="3"/>
      <c r="G56" s="678">
        <f>summ!F32</f>
        <v>22.655</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9681</v>
      </c>
      <c r="D59" s="857"/>
      <c r="E59" s="856"/>
    </row>
    <row r="60" spans="2:5" ht="15">
      <c r="B60" s="65"/>
      <c r="C60" s="119"/>
      <c r="D60" s="3"/>
      <c r="E60" s="3"/>
    </row>
    <row r="61" spans="2:5" ht="15">
      <c r="B61" s="65" t="s">
        <v>22</v>
      </c>
      <c r="C61" s="119"/>
      <c r="D61" s="3"/>
      <c r="E61" s="3"/>
    </row>
    <row r="62" spans="2:5" ht="15">
      <c r="B62" s="65" t="s">
        <v>21</v>
      </c>
      <c r="C62" s="119">
        <v>8254</v>
      </c>
      <c r="D62" s="3"/>
      <c r="E62" s="3"/>
    </row>
    <row r="63" spans="2:5" ht="15">
      <c r="B63" s="66" t="s">
        <v>24</v>
      </c>
      <c r="C63" s="121">
        <f>SUM(C55:C62)</f>
        <v>47054</v>
      </c>
      <c r="D63" s="3"/>
      <c r="E63" s="3"/>
    </row>
    <row r="64" spans="2:5" ht="15">
      <c r="B64" s="66" t="s">
        <v>26</v>
      </c>
      <c r="C64" s="119">
        <v>22000</v>
      </c>
      <c r="D64" s="3"/>
      <c r="E64" s="3"/>
    </row>
    <row r="65" spans="2:5" ht="15">
      <c r="B65" s="66" t="s">
        <v>27</v>
      </c>
      <c r="C65" s="372">
        <f>SUM(C63-C64)</f>
        <v>25054</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Columbia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20.334</v>
      </c>
      <c r="H45" s="607" t="str">
        <f>CONCATENATE("Total ",E1," Mill Rate")</f>
        <v>Total 2015 Mill Rate</v>
      </c>
      <c r="I45" s="629"/>
      <c r="J45" s="630"/>
      <c r="K45" s="557"/>
    </row>
    <row r="46" spans="2:11" ht="15">
      <c r="B46" s="16" t="s">
        <v>109</v>
      </c>
      <c r="C46" s="18"/>
      <c r="D46" s="364">
        <f>C74</f>
        <v>0</v>
      </c>
      <c r="E46" s="21">
        <f>D74</f>
        <v>0</v>
      </c>
      <c r="G46" s="632">
        <f>summ!F32</f>
        <v>22.655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20.334</v>
      </c>
      <c r="H85" s="607" t="str">
        <f>CONCATENATE("Total ",E1," Mill Rate")</f>
        <v>Total 2015 Mill Rate</v>
      </c>
      <c r="I85" s="629"/>
      <c r="J85" s="630"/>
      <c r="K85" s="557"/>
    </row>
    <row r="86" spans="7:11" ht="15">
      <c r="G86" s="632">
        <f>summ!F32</f>
        <v>22.655</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Columbia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20.334</v>
      </c>
      <c r="H45" s="607" t="str">
        <f>CONCATENATE("Total ",E1," Mill Rate")</f>
        <v>Total 2015 Mill Rate</v>
      </c>
      <c r="I45" s="629"/>
      <c r="J45" s="630"/>
      <c r="K45" s="557"/>
    </row>
    <row r="46" spans="2:11" ht="15">
      <c r="B46" s="16" t="s">
        <v>109</v>
      </c>
      <c r="C46" s="18"/>
      <c r="D46" s="364">
        <f>C74</f>
        <v>0</v>
      </c>
      <c r="E46" s="21">
        <f>D74</f>
        <v>0</v>
      </c>
      <c r="G46" s="632">
        <f>summ!F32</f>
        <v>22.655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20.334</v>
      </c>
      <c r="H85" s="607" t="str">
        <f>CONCATENATE("Total ",E1," Mill Rate")</f>
        <v>Total 2015 Mill Rate</v>
      </c>
      <c r="I85" s="629"/>
      <c r="J85" s="630"/>
      <c r="K85" s="557"/>
    </row>
    <row r="86" spans="7:11" ht="15">
      <c r="G86" s="632">
        <f>summ!F32</f>
        <v>22.655</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Columbia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20.334</v>
      </c>
      <c r="H45" s="607" t="str">
        <f>CONCATENATE("Total ",E1," Mill Rate")</f>
        <v>Total 2015 Mill Rate</v>
      </c>
      <c r="I45" s="629"/>
      <c r="J45" s="630"/>
      <c r="K45" s="557"/>
    </row>
    <row r="46" spans="2:11" ht="15">
      <c r="B46" s="16" t="s">
        <v>109</v>
      </c>
      <c r="C46" s="18"/>
      <c r="D46" s="364">
        <f>C74</f>
        <v>0</v>
      </c>
      <c r="E46" s="21">
        <f>D74</f>
        <v>0</v>
      </c>
      <c r="G46" s="632">
        <f>summ!F32</f>
        <v>22.655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20.334</v>
      </c>
      <c r="H85" s="607" t="str">
        <f>CONCATENATE("Total ",E1," Mill Rate")</f>
        <v>Total 2015 Mill Rate</v>
      </c>
      <c r="I85" s="629"/>
      <c r="J85" s="630"/>
      <c r="K85" s="557"/>
    </row>
    <row r="86" spans="7:11" ht="15">
      <c r="G86" s="632">
        <f>summ!F32</f>
        <v>22.655</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Columbia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Columbia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9">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38725</v>
      </c>
      <c r="E16" s="176">
        <v>32005</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32005</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38725</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23.604</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23.604</v>
      </c>
      <c r="E52" s="3"/>
    </row>
    <row r="53" spans="1:5" ht="15.75" thickTop="1">
      <c r="A53" s="3"/>
      <c r="B53" s="3"/>
      <c r="C53" s="3"/>
      <c r="D53" s="3"/>
      <c r="E53" s="3"/>
    </row>
    <row r="54" spans="1:5" ht="15">
      <c r="A54" s="307" t="str">
        <f>CONCATENATE("Total Tax Levied (",D5-2," budget column)")</f>
        <v>Total Tax Levied (2013 budget column)</v>
      </c>
      <c r="B54" s="308"/>
      <c r="C54" s="9"/>
      <c r="D54" s="247"/>
      <c r="E54" s="176">
        <v>30946</v>
      </c>
    </row>
    <row r="55" spans="1:5" ht="15">
      <c r="A55" s="309" t="str">
        <f>CONCATENATE("Assessed Valuation (",D5-2," budget column)")</f>
        <v>Assessed Valuation (2013 budget column)</v>
      </c>
      <c r="B55" s="310"/>
      <c r="C55" s="255"/>
      <c r="D55" s="17"/>
      <c r="E55" s="176">
        <v>1311076</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Columbia Township</v>
      </c>
      <c r="C5" s="816"/>
      <c r="D5" s="816"/>
      <c r="E5" s="816"/>
      <c r="F5" s="816"/>
      <c r="G5" s="816"/>
      <c r="H5" s="816"/>
      <c r="I5" s="816"/>
    </row>
    <row r="6" spans="2:9" ht="15">
      <c r="B6" s="816" t="str">
        <f>inputPrYr!D3</f>
        <v>Ellsworth County</v>
      </c>
      <c r="C6" s="816"/>
      <c r="D6" s="816"/>
      <c r="E6" s="816"/>
      <c r="F6" s="816"/>
      <c r="G6" s="816"/>
      <c r="H6" s="816"/>
      <c r="I6" s="816"/>
    </row>
    <row r="7" spans="2:9" ht="15">
      <c r="B7" s="807" t="str">
        <f>CONCATENATE("will meet on ",inputBudSum!B8," at ",inputBudSum!B10," at ",inputBudSum!B12," for the purpose of hearing and")</f>
        <v>will meet on August 18, 2014 at 7:30 p.m. at Frances Claussen Residence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41494</v>
      </c>
      <c r="D18" s="499">
        <f>IF(inputPrYr!D42&gt;0,inputPrYr!D42,"  ")</f>
        <v>23.604</v>
      </c>
      <c r="E18" s="21">
        <f>IF(gen!$D$50&lt;&gt;0,gen!$D$50,"  ")</f>
        <v>38725</v>
      </c>
      <c r="F18" s="224">
        <f>IF(inputOth!D17&gt;0,inputOth!D17,"  ")</f>
        <v>22.655</v>
      </c>
      <c r="G18" s="21">
        <f>IF(gen!$E$50&lt;&gt;0,gen!$E$50,"  ")</f>
        <v>39183</v>
      </c>
      <c r="H18" s="21">
        <f>IF(gen!$E$57&lt;&gt;0,gen!$E$57," ")</f>
        <v>33144</v>
      </c>
      <c r="I18" s="501">
        <f>IF(gen!E57&gt;0,ROUND(H18/$G$37*1000,3)," ")</f>
        <v>20.334</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1630</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22.655</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3783</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f>IF(road!C64&lt;&gt;0,road!C64,"  ")</f>
        <v>22000</v>
      </c>
      <c r="D31" s="455"/>
      <c r="E31" s="500"/>
      <c r="F31" s="455"/>
      <c r="G31" s="500"/>
      <c r="H31" s="500"/>
      <c r="I31" s="455"/>
      <c r="K31" s="489"/>
      <c r="L31" s="489"/>
      <c r="M31" s="489"/>
      <c r="N31" s="489"/>
    </row>
    <row r="32" spans="2:14" ht="15">
      <c r="B32" s="61" t="s">
        <v>265</v>
      </c>
      <c r="C32" s="502">
        <f aca="true" t="shared" si="0" ref="C32:I32">SUM(C18:C31)</f>
        <v>63494</v>
      </c>
      <c r="D32" s="453">
        <f t="shared" si="0"/>
        <v>23.604</v>
      </c>
      <c r="E32" s="502">
        <f t="shared" si="0"/>
        <v>38725</v>
      </c>
      <c r="F32" s="453">
        <f t="shared" si="0"/>
        <v>22.655</v>
      </c>
      <c r="G32" s="502">
        <f t="shared" si="0"/>
        <v>39183</v>
      </c>
      <c r="H32" s="502">
        <f t="shared" si="0"/>
        <v>33144</v>
      </c>
      <c r="I32" s="505">
        <f t="shared" si="0"/>
        <v>20.334</v>
      </c>
      <c r="K32" s="864" t="str">
        <f>CONCATENATE("Impact On Keeping The Same Mill Rate As For ",I1-1,"")</f>
        <v>Impact On Keeping The Same Mill Rate As For 2014</v>
      </c>
      <c r="L32" s="865"/>
      <c r="M32" s="865"/>
      <c r="N32" s="866"/>
    </row>
    <row r="33" spans="2:14" ht="15">
      <c r="B33" s="261" t="s">
        <v>44</v>
      </c>
      <c r="C33" s="21">
        <f>transfer!C29</f>
        <v>9681</v>
      </c>
      <c r="D33" s="3"/>
      <c r="E33" s="21">
        <f>transfer!D29</f>
        <v>0</v>
      </c>
      <c r="F33" s="50"/>
      <c r="G33" s="21">
        <f>transfer!E29</f>
        <v>0</v>
      </c>
      <c r="H33" s="3"/>
      <c r="I33" s="3"/>
      <c r="K33" s="482"/>
      <c r="L33" s="476"/>
      <c r="M33" s="476"/>
      <c r="N33" s="483"/>
    </row>
    <row r="34" spans="2:14" ht="15.75" thickBot="1">
      <c r="B34" s="261" t="s">
        <v>45</v>
      </c>
      <c r="C34" s="503">
        <f>C32-C33</f>
        <v>53813</v>
      </c>
      <c r="D34" s="3"/>
      <c r="E34" s="503">
        <f>E32-E33</f>
        <v>38725</v>
      </c>
      <c r="F34" s="3"/>
      <c r="G34" s="503">
        <f>G32-G33</f>
        <v>39183</v>
      </c>
      <c r="H34" s="3"/>
      <c r="I34" s="3"/>
      <c r="K34" s="482" t="str">
        <f>CONCATENATE("",I1," Ad Valorem Tax Revenue:")</f>
        <v>2015 Ad Valorem Tax Revenue:</v>
      </c>
      <c r="L34" s="476"/>
      <c r="M34" s="476"/>
      <c r="N34" s="477">
        <f>H32</f>
        <v>33144</v>
      </c>
    </row>
    <row r="35" spans="2:14" ht="15.75" thickTop="1">
      <c r="B35" s="261" t="s">
        <v>46</v>
      </c>
      <c r="C35" s="504">
        <f>inputPrYr!E54</f>
        <v>30946</v>
      </c>
      <c r="D35" s="50"/>
      <c r="E35" s="504">
        <f>inputPrYr!E26</f>
        <v>32005</v>
      </c>
      <c r="F35" s="3"/>
      <c r="G35" s="495" t="s">
        <v>266</v>
      </c>
      <c r="H35" s="3"/>
      <c r="I35" s="3"/>
      <c r="K35" s="482" t="str">
        <f>CONCATENATE("",I1-1," Ad Valorem Tax Revenue:")</f>
        <v>2014 Ad Valorem Tax Revenue:</v>
      </c>
      <c r="L35" s="476"/>
      <c r="M35" s="476"/>
      <c r="N35" s="490">
        <f>ROUND(G37*N27/1000,0)</f>
        <v>36927</v>
      </c>
    </row>
    <row r="36" spans="2:14" ht="15">
      <c r="B36" s="261" t="s">
        <v>47</v>
      </c>
      <c r="C36" s="44"/>
      <c r="D36" s="50"/>
      <c r="E36" s="44"/>
      <c r="F36" s="50"/>
      <c r="G36" s="3"/>
      <c r="H36" s="3"/>
      <c r="I36" s="3"/>
      <c r="K36" s="487" t="s">
        <v>682</v>
      </c>
      <c r="L36" s="488"/>
      <c r="M36" s="488"/>
      <c r="N36" s="480">
        <f>N34-N35</f>
        <v>-3783</v>
      </c>
    </row>
    <row r="37" spans="2:14" ht="15">
      <c r="B37" s="261" t="s">
        <v>48</v>
      </c>
      <c r="C37" s="21">
        <f>inputPrYr!E55</f>
        <v>1311076</v>
      </c>
      <c r="D37" s="3"/>
      <c r="E37" s="21">
        <f>inputOth!E29</f>
        <v>1412713</v>
      </c>
      <c r="F37" s="3"/>
      <c r="G37" s="21">
        <f>inputOth!E7</f>
        <v>1629960</v>
      </c>
      <c r="H37" s="3"/>
      <c r="I37" s="3"/>
      <c r="K37" s="481"/>
      <c r="L37" s="481"/>
      <c r="M37" s="481"/>
      <c r="N37" s="489"/>
    </row>
    <row r="38" spans="2:14" ht="1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20.334</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Columbia Township</v>
      </c>
      <c r="C46" s="863"/>
      <c r="D46" s="3"/>
      <c r="E46" s="3"/>
      <c r="F46" s="3"/>
      <c r="G46" s="3"/>
      <c r="H46" s="3"/>
      <c r="I46" s="3"/>
    </row>
    <row r="47" spans="2:9" ht="15">
      <c r="B47" s="861" t="str">
        <f>inputBudSum!B6</f>
        <v>Linda Vague, 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Columbia Township</v>
      </c>
      <c r="B1" s="3"/>
      <c r="C1" s="3"/>
      <c r="D1" s="3"/>
      <c r="E1" s="3"/>
      <c r="F1" s="3">
        <f>inputPrYr!D5</f>
        <v>2015</v>
      </c>
    </row>
    <row r="2" spans="1:6" ht="15">
      <c r="A2" s="3"/>
      <c r="B2" s="3"/>
      <c r="C2" s="3"/>
      <c r="D2" s="3"/>
      <c r="E2" s="3"/>
      <c r="F2" s="3"/>
    </row>
    <row r="3" spans="1:6" ht="15">
      <c r="A3" s="3"/>
      <c r="B3" s="798" t="str">
        <f>CONCATENATE("",F1," Neighborhood Revitalization Rebate")</f>
        <v>2015 Neighborhood Revitalization Rebate</v>
      </c>
      <c r="C3" s="806"/>
      <c r="D3" s="806"/>
      <c r="E3" s="806"/>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1629960</v>
      </c>
      <c r="E19" s="3"/>
      <c r="F19" s="118"/>
    </row>
    <row r="20" spans="1:6" ht="15">
      <c r="A20" s="3"/>
      <c r="B20" s="3"/>
      <c r="C20" s="3"/>
      <c r="D20" s="3"/>
      <c r="E20" s="3"/>
      <c r="F20" s="118"/>
    </row>
    <row r="21" spans="1:6" ht="15">
      <c r="A21" s="3"/>
      <c r="B21" s="875" t="s">
        <v>338</v>
      </c>
      <c r="C21" s="875"/>
      <c r="D21" s="126">
        <f>IF(D19&gt;0,(D19*0.001),"")</f>
        <v>1629.96</v>
      </c>
      <c r="E21" s="3"/>
      <c r="F21" s="118"/>
    </row>
    <row r="22" spans="1:6" ht="15">
      <c r="A22" s="3"/>
      <c r="B22" s="37"/>
      <c r="C22" s="37"/>
      <c r="D22" s="127"/>
      <c r="E22" s="3"/>
      <c r="F22" s="118"/>
    </row>
    <row r="23" spans="1:6" ht="15">
      <c r="A23" s="873" t="s">
        <v>340</v>
      </c>
      <c r="B23" s="797"/>
      <c r="C23" s="797"/>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Columbia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Columbia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32005</v>
      </c>
      <c r="F9" s="767"/>
      <c r="G9" s="767"/>
      <c r="H9" s="768"/>
    </row>
    <row r="10" spans="3:8" ht="15">
      <c r="C10" s="769" t="str">
        <f>CONCATENATE(H2," Budget")</f>
        <v>2015 Budget</v>
      </c>
      <c r="D10" s="773" t="s">
        <v>2</v>
      </c>
      <c r="E10" s="776">
        <f>cert!F35</f>
        <v>33144</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E12" sqref="E12"/>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Columbia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1629960</v>
      </c>
    </row>
    <row r="8" spans="1:5" ht="15">
      <c r="A8" s="11" t="str">
        <f>CONCATENATE("New Improvements for ",E1-1,"")</f>
        <v>New Improvements for 2014</v>
      </c>
      <c r="B8" s="8"/>
      <c r="C8" s="8"/>
      <c r="D8" s="8"/>
      <c r="E8" s="721">
        <v>19333</v>
      </c>
    </row>
    <row r="9" spans="1:5" ht="15">
      <c r="A9" s="11" t="str">
        <f>CONCATENATE("Personal Property excluding oil, gas, and mobile homes - ",E1-1,"")</f>
        <v>Personal Property excluding oil, gas, and mobile homes - 2014</v>
      </c>
      <c r="B9" s="8"/>
      <c r="C9" s="8"/>
      <c r="D9" s="8"/>
      <c r="E9" s="721">
        <v>52858</v>
      </c>
    </row>
    <row r="10" spans="1:5" ht="15">
      <c r="A10" s="11" t="str">
        <f>CONCATENATE("Property that has changed in use for ",E1-1,"")</f>
        <v>Property that has changed in use for 2014</v>
      </c>
      <c r="B10" s="8"/>
      <c r="C10" s="8"/>
      <c r="D10" s="8"/>
      <c r="E10" s="721">
        <v>13561</v>
      </c>
    </row>
    <row r="11" spans="1:5" ht="15">
      <c r="A11" s="11" t="str">
        <f>CONCATENATE("Personal Property excluding oil, gas, and mobile homes- ",E1-2,"")</f>
        <v>Personal Property excluding oil, gas, and mobile homes- 2013</v>
      </c>
      <c r="B11" s="8"/>
      <c r="C11" s="8"/>
      <c r="D11" s="8"/>
      <c r="E11" s="721">
        <v>68986</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22.655</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22.655</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1412713</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2652</v>
      </c>
    </row>
    <row r="33" spans="1:5" ht="15">
      <c r="A33" s="278" t="s">
        <v>253</v>
      </c>
      <c r="B33" s="255"/>
      <c r="C33" s="255"/>
      <c r="D33" s="20"/>
      <c r="E33" s="23">
        <v>0</v>
      </c>
    </row>
    <row r="34" spans="1:5" ht="15">
      <c r="A34" s="278" t="s">
        <v>137</v>
      </c>
      <c r="B34" s="255"/>
      <c r="C34" s="255"/>
      <c r="D34" s="20"/>
      <c r="E34" s="23">
        <v>809</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35717</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950</v>
      </c>
      <c r="J6" s="684" t="s">
        <v>805</v>
      </c>
    </row>
    <row r="7" spans="1:10" ht="15">
      <c r="A7" s="335"/>
      <c r="B7" s="335"/>
      <c r="C7" s="335"/>
      <c r="D7" s="337"/>
      <c r="E7" s="335"/>
      <c r="F7" s="335"/>
      <c r="J7" s="684" t="s">
        <v>806</v>
      </c>
    </row>
    <row r="8" spans="1:10" ht="15">
      <c r="A8" s="336" t="s">
        <v>345</v>
      </c>
      <c r="B8" s="724" t="s">
        <v>951</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August 8, 2014</v>
      </c>
      <c r="E9" s="335"/>
      <c r="F9" s="335"/>
      <c r="J9" s="684" t="s">
        <v>808</v>
      </c>
    </row>
    <row r="10" spans="1:10" ht="15">
      <c r="A10" s="336" t="s">
        <v>346</v>
      </c>
      <c r="B10" s="724" t="s">
        <v>952</v>
      </c>
      <c r="C10" s="341"/>
      <c r="D10" s="336"/>
      <c r="E10" s="335"/>
      <c r="F10" s="335"/>
      <c r="J10" s="684" t="s">
        <v>809</v>
      </c>
    </row>
    <row r="11" spans="1:10" ht="15">
      <c r="A11" s="336"/>
      <c r="B11" s="336"/>
      <c r="C11" s="336"/>
      <c r="D11" s="336"/>
      <c r="E11" s="335"/>
      <c r="F11" s="335"/>
      <c r="J11" s="684" t="s">
        <v>810</v>
      </c>
    </row>
    <row r="12" spans="1:10" ht="15">
      <c r="A12" s="336" t="s">
        <v>347</v>
      </c>
      <c r="B12" s="725" t="s">
        <v>953</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954</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August</v>
      </c>
    </row>
    <row r="20" spans="1:7" ht="15">
      <c r="A20" s="336" t="s">
        <v>345</v>
      </c>
      <c r="B20" s="339" t="s">
        <v>350</v>
      </c>
      <c r="C20" s="336"/>
      <c r="D20" s="336"/>
      <c r="E20" s="336"/>
      <c r="G20" s="685" t="str">
        <f>IF(B8="","",CONCATENATE("J",G22))</f>
        <v>J8</v>
      </c>
    </row>
    <row r="21" spans="1:7" ht="15">
      <c r="A21" s="336"/>
      <c r="B21" s="336"/>
      <c r="C21" s="336"/>
      <c r="D21" s="336"/>
      <c r="E21" s="336"/>
      <c r="G21" s="686">
        <f>B8-10</f>
        <v>41859</v>
      </c>
    </row>
    <row r="22" spans="1:7" ht="15">
      <c r="A22" s="336" t="s">
        <v>346</v>
      </c>
      <c r="B22" s="336" t="s">
        <v>351</v>
      </c>
      <c r="C22" s="336"/>
      <c r="D22" s="336"/>
      <c r="E22" s="336"/>
      <c r="G22" s="687">
        <f>IF(B8="","",MONTH(G21))</f>
        <v>8</v>
      </c>
    </row>
    <row r="23" spans="1:7" ht="15">
      <c r="A23" s="336"/>
      <c r="B23" s="336"/>
      <c r="C23" s="336"/>
      <c r="D23" s="336"/>
      <c r="E23" s="336"/>
      <c r="G23" s="688">
        <f>IF(B8="","",DAY(G21))</f>
        <v>8</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2">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
      <c r="B3" s="807" t="str">
        <f>CONCATENATE("To the Clerk of ",inputPrYr!D3,", State of Kansas")</f>
        <v>To the Clerk of Ellsworth County, State of Kansas</v>
      </c>
      <c r="C3" s="806"/>
      <c r="D3" s="806"/>
      <c r="E3" s="806"/>
      <c r="F3" s="806"/>
      <c r="G3" s="806"/>
      <c r="H3" s="806"/>
    </row>
    <row r="4" spans="2:7" s="3" customFormat="1" ht="15">
      <c r="B4" s="807" t="s">
        <v>131</v>
      </c>
      <c r="C4" s="815"/>
      <c r="D4" s="815"/>
      <c r="E4" s="815"/>
      <c r="F4" s="815"/>
      <c r="G4" s="815"/>
    </row>
    <row r="5" spans="2:7" s="3" customFormat="1" ht="15">
      <c r="B5" s="816" t="str">
        <f>inputPrYr!D2</f>
        <v>Columbia Township</v>
      </c>
      <c r="C5" s="815"/>
      <c r="D5" s="815"/>
      <c r="E5" s="815"/>
      <c r="F5" s="815"/>
      <c r="G5" s="815"/>
    </row>
    <row r="6" spans="2:7" s="3" customFormat="1" ht="1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39183</v>
      </c>
      <c r="F21" s="695">
        <f>IF(gen!$E$57&lt;&gt;0,gen!$E$57,0)</f>
        <v>33144</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39183</v>
      </c>
      <c r="F35" s="697">
        <f>SUM(F21:F30)</f>
        <v>33144</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
      <c r="B39" s="53" t="s">
        <v>97</v>
      </c>
      <c r="C39" s="809" t="s">
        <v>115</v>
      </c>
      <c r="D39" s="810"/>
      <c r="E39" s="259"/>
      <c r="G39" s="11" t="s">
        <v>267</v>
      </c>
    </row>
    <row r="40" spans="2:7" s="3" customFormat="1" ht="15">
      <c r="B40" s="16" t="s">
        <v>98</v>
      </c>
      <c r="C40" s="811"/>
      <c r="D40" s="812"/>
      <c r="E40" s="260"/>
      <c r="G40" s="11"/>
    </row>
    <row r="41" spans="2:7" s="3" customFormat="1" ht="15">
      <c r="B41" s="261"/>
      <c r="C41" s="813" t="str">
        <f>CONCATENATE("Nov. 1, ",H1-1," Valuation")</f>
        <v>Nov. 1, 2014 Valuation</v>
      </c>
      <c r="D41" s="814"/>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5">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Columbia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32005</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32005</v>
      </c>
    </row>
    <row r="8" spans="1:10" ht="15">
      <c r="A8" s="3"/>
      <c r="B8" s="3"/>
      <c r="C8" s="3"/>
      <c r="D8" s="3"/>
      <c r="E8" s="44"/>
      <c r="F8" s="44"/>
      <c r="G8" s="44"/>
      <c r="H8" s="44"/>
      <c r="I8" s="44"/>
      <c r="J8" s="44"/>
    </row>
    <row r="9" spans="1:10" ht="1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19333</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52858</v>
      </c>
      <c r="F14" s="235"/>
      <c r="G14" s="44"/>
      <c r="H14" s="44"/>
      <c r="I14" s="42"/>
      <c r="J14" s="44"/>
    </row>
    <row r="15" spans="1:10" ht="15">
      <c r="A15" s="234"/>
      <c r="B15" s="3" t="s">
        <v>87</v>
      </c>
      <c r="C15" s="3" t="str">
        <f>CONCATENATE("Personal property ",J1-2,"")</f>
        <v>Personal property 2013</v>
      </c>
      <c r="D15" s="234" t="s">
        <v>82</v>
      </c>
      <c r="E15" s="238">
        <f>inputOth!E11</f>
        <v>68986</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13561</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32894</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1629960</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1597066</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0.020596518866471392</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659</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32664</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32664</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480.075</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33144.075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Columbia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797"/>
      <c r="D6" s="797"/>
      <c r="E6" s="797"/>
      <c r="F6" s="797"/>
      <c r="G6" s="797"/>
      <c r="H6" s="797"/>
      <c r="I6" s="797"/>
      <c r="J6" s="79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32005</v>
      </c>
      <c r="E11" s="120">
        <f>IF(inputOth!D17&gt;0,inputOth!D17,"  ")</f>
        <v>22.655</v>
      </c>
      <c r="F11" s="690"/>
      <c r="G11" s="150">
        <f>IF(inputPrYr!E16=0,0,G23-SUM(G12:G20))</f>
        <v>2652</v>
      </c>
      <c r="H11" s="691"/>
      <c r="I11" s="150">
        <f>IF(inputPrYr!E16=0,0,I25-SUM(I12:I20))</f>
        <v>0</v>
      </c>
      <c r="J11" s="150">
        <f>IF(inputPrYr!E16=0,0,J27-SUM(J12:J20))</f>
        <v>809</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32005</v>
      </c>
      <c r="E21" s="693">
        <f>SUM(E11:E20)</f>
        <v>22.655</v>
      </c>
      <c r="F21" s="694"/>
      <c r="G21" s="692">
        <f>SUM(G11:G20)</f>
        <v>2652</v>
      </c>
      <c r="H21" s="692"/>
      <c r="I21" s="692">
        <f>SUM(I11:I20)</f>
        <v>0</v>
      </c>
      <c r="J21" s="692">
        <f>SUM(J11:J20)</f>
        <v>809</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2652</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809</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0.08286205280424934</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0.025277300421809094</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Columbia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9681</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9681</v>
      </c>
      <c r="D27" s="217">
        <f>SUM(D10:D26)</f>
        <v>0</v>
      </c>
      <c r="E27" s="217">
        <f>SUM(E10:E26)</f>
        <v>0</v>
      </c>
      <c r="F27" s="118"/>
    </row>
    <row r="28" spans="1:6" ht="15">
      <c r="A28" s="118"/>
      <c r="B28" s="216" t="s">
        <v>576</v>
      </c>
      <c r="C28" s="118"/>
      <c r="D28" s="213"/>
      <c r="E28" s="213"/>
      <c r="F28" s="118"/>
    </row>
    <row r="29" spans="1:6" ht="15">
      <c r="A29" s="118"/>
      <c r="B29" s="168" t="s">
        <v>154</v>
      </c>
      <c r="C29" s="218">
        <f>C27</f>
        <v>9681</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2014-07-17T22:05:44Z</cp:lastPrinted>
  <dcterms:created xsi:type="dcterms:W3CDTF">1998-08-26T16:30:41Z</dcterms:created>
  <dcterms:modified xsi:type="dcterms:W3CDTF">2014-07-17T22:20:54Z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