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5"/>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hood" sheetId="19" r:id="rId19"/>
    <sheet name="publication" sheetId="20" r:id="rId20"/>
    <sheet name="publication 2" sheetId="21" r:id="rId21"/>
    <sheet name="Pub. Notice Option 1" sheetId="22" r:id="rId22"/>
    <sheet name="Pub. Notice Option 2"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heet2" sheetId="32" r:id="rId32"/>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<sst xmlns="http://schemas.openxmlformats.org/spreadsheetml/2006/main" count="1195" uniqueCount="814">
  <si>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</si>
  <si>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</si>
  <si>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</si>
  <si>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</si>
  <si>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</si>
  <si>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</si>
  <si>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</si>
  <si>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</si>
  <si>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</si>
  <si>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</si>
  <si>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</si>
  <si>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</si>
  <si>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</si>
  <si>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</si>
  <si>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</si>
  <si>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</si>
  <si>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</si>
  <si>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</si>
  <si>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</si>
  <si>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</si>
  <si>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</si>
  <si>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</si>
  <si>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</si>
  <si>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</si>
  <si>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</si>
  <si>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</si>
  <si>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</si>
  <si>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</si>
  <si>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</si>
  <si>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</si>
  <si>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</si>
  <si>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</si>
  <si>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</si>
  <si>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</si>
  <si>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</si>
  <si>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</si>
  <si>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</si>
  <si>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</si>
  <si>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</si>
  <si>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</si>
  <si>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</si>
  <si>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</si>
  <si>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</si>
  <si>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</si>
  <si>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</si>
  <si>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</si>
  <si>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</si>
  <si>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</si>
  <si>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</si>
  <si>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</si>
  <si>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</si>
  <si>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</si>
  <si>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</si>
  <si>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</si>
  <si>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</si>
  <si>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</si>
  <si>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</si>
  <si>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</si>
  <si>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</si>
  <si>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</si>
  <si>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</si>
  <si>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</si>
  <si>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</si>
  <si>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</si>
  <si>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</si>
  <si>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</si>
  <si>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</si>
  <si>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</si>
  <si>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</si>
  <si>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</si>
  <si>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</si>
  <si>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</si>
  <si>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</si>
  <si>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</si>
  <si>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</si>
  <si>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</si>
  <si>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</si>
  <si>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</si>
  <si>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</si>
  <si>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</si>
  <si>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</si>
  <si>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</si>
  <si>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</si>
  <si>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</si>
  <si>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</si>
  <si>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</si>
  <si>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</si>
  <si>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</si>
  <si>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</si>
  <si>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</si>
  <si>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</si>
  <si>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</si>
  <si>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</si>
  <si>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</si>
  <si>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</si>
  <si>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</si>
  <si>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</si>
  <si>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</si>
  <si>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</si>
  <si>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</si>
  <si>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</si>
  <si>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</si>
  <si>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</si>
  <si>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</si>
  <si>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</si>
  <si>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</si>
  <si>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</si>
  <si>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</si>
  <si>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</si>
  <si>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</si>
  <si>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</si>
  <si>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</si>
  <si>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</si>
  <si>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</si>
  <si>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</si>
  <si>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</si>
  <si>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</si>
  <si>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</si>
  <si>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</si>
  <si>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</si>
  <si>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</si>
  <si>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</si>
  <si>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</si>
  <si>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</si>
  <si>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</si>
  <si>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</si>
  <si>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</si>
  <si>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</si>
  <si>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</si>
  <si>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</si>
  <si>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</si>
  <si>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</si>
  <si>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</si>
  <si>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</si>
  <si>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</si>
  <si>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</si>
  <si>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</si>
  <si>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</si>
  <si>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</si>
  <si>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</si>
  <si>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</si>
  <si>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</si>
  <si>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</si>
  <si>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</si>
  <si>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</si>
  <si>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</si>
  <si>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</si>
  <si>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</si>
  <si>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</si>
  <si>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</si>
  <si>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</si>
  <si>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</si>
  <si>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</si>
  <si>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</si>
  <si>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</si>
  <si>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</si>
  <si>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</si>
  <si>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</si>
  <si>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</si>
  <si>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</si>
  <si>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</si>
  <si>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</si>
  <si>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</si>
  <si>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</si>
  <si>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</si>
  <si>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</si>
  <si>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</si>
  <si>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</si>
  <si>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</si>
  <si>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</si>
  <si>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</si>
  <si>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</si>
  <si>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</si>
  <si>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</si>
  <si>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</si>
  <si>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</si>
  <si>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</si>
  <si>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</si>
  <si>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</si>
  <si>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</si>
  <si>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</si>
  <si>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</si>
  <si>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</si>
  <si>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</si>
  <si>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</si>
  <si>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</si>
  <si>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</si>
  <si>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</si>
  <si>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</si>
  <si>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</si>
  <si>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</si>
  <si>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</si>
  <si>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</si>
  <si>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</si>
  <si>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</si>
  <si>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</si>
  <si>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</si>
  <si>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</si>
  <si>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</si>
  <si>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</si>
  <si>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</si>
  <si>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</si>
  <si>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</si>
  <si>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</si>
  <si>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</si>
  <si>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</si>
  <si>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</si>
  <si>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</si>
  <si>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</si>
  <si>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</si>
  <si>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</si>
  <si>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</si>
  <si>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</si>
  <si>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</si>
  <si>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</si>
  <si>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</si>
  <si>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</si>
  <si>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</si>
  <si>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</si>
  <si>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</si>
  <si>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</si>
  <si>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</si>
  <si>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</si>
  <si>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</si>
  <si>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</si>
  <si>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</si>
  <si>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</si>
  <si>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</si>
  <si>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</si>
  <si>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</si>
  <si>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</si>
  <si>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</si>
  <si>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</si>
  <si>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</si>
  <si>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</si>
  <si>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</si>
  <si>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</si>
  <si>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</si>
  <si>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</si>
  <si>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</si>
  <si>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</si>
  <si>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</si>
  <si>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</si>
  <si>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</si>
  <si>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</si>
  <si>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</si>
  <si>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</si>
  <si>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</si>
  <si>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</si>
  <si>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</si>
  <si>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</si>
  <si>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</si>
  <si>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</si>
  <si>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</si>
  <si>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</si>
  <si>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</si>
  <si>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</si>
  <si>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</si>
  <si>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</si>
  <si>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</si>
  <si>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</si>
  <si>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</si>
  <si>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</si>
  <si>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</si>
  <si>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</si>
  <si>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</si>
  <si>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</si>
  <si>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</si>
  <si>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</si>
  <si>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</si>
  <si>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</si>
  <si>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</si>
  <si>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</si>
  <si>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</si>
  <si>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</si>
  <si>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</si>
  <si>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</si>
  <si>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</si>
  <si>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</si>
  <si>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</si>
  <si>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</si>
  <si>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</si>
  <si>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</si>
  <si>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</si>
  <si>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</si>
  <si>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</si>
  <si>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</si>
  <si>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</si>
  <si>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</si>
  <si>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</si>
  <si>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</si>
  <si>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</si>
  <si>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</si>
  <si>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</si>
  <si>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</si>
  <si>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</si>
  <si>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</si>
  <si>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</si>
  <si>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</si>
  <si>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</si>
  <si>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</si>
  <si>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</si>
  <si>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</si>
  <si>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</si>
  <si>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</si>
  <si>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</si>
  <si>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</si>
  <si>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</si>
  <si>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</si>
  <si>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</si>
  <si>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</si>
  <si>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</si>
  <si>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</si>
  <si>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</si>
  <si>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</si>
  <si>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</si>
  <si>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</si>
  <si>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</si>
  <si>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</si>
  <si>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</si>
  <si>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</si>
  <si>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</si>
  <si>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</si>
  <si>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</si>
  <si>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</si>
  <si>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</si>
  <si>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</si>
  <si>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</si>
  <si>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</si>
  <si>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</si>
  <si>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</si>
  <si>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</si>
  <si>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</si>
  <si>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</si>
  <si>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</si>
  <si>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</si>
  <si>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</si>
  <si>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</si>
  <si>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</si>
  <si>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</si>
  <si>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</si>
  <si>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</si>
  <si>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</si>
  <si>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</si>
  <si>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</si>
  <si>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</si>
  <si>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</si>
  <si>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</si>
  <si>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</si>
  <si>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</si>
  <si>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</si>
  <si>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</si>
  <si>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</si>
  <si>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</si>
  <si>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</si>
  <si>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</si>
  <si>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</si>
  <si>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</si>
  <si>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</si>
  <si>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</si>
  <si>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</si>
  <si>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</si>
  <si>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</si>
  <si>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</si>
  <si>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</si>
  <si>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</si>
  <si>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</si>
  <si>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</si>
  <si>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</si>
  <si>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</si>
  <si>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</si>
  <si>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</si>
  <si>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</si>
  <si>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</si>
  <si>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</si>
  <si>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</si>
  <si>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</si>
  <si>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</si>
  <si>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</si>
  <si>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</si>
  <si>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</si>
  <si>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</si>
  <si>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</si>
  <si>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</si>
  <si>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</si>
  <si>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</si>
  <si>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</si>
  <si>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</si>
  <si>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</si>
  <si>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</si>
  <si>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</si>
  <si>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</si>
  <si>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</si>
  <si>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</si>
  <si>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</si>
  <si>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</si>
  <si>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</si>
  <si>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</si>
  <si>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</si>
  <si>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</si>
  <si>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</si>
  <si>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</si>
  <si>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</si>
  <si>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</si>
  <si>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</si>
  <si>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</si>
  <si>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</si>
  <si>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</si>
  <si>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</si>
  <si>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</si>
  <si>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</si>
  <si>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</si>
  <si>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</si>
  <si>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</si>
  <si>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</si>
  <si>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</si>
  <si>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</si>
  <si>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</si>
  <si>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</si>
  <si>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</si>
  <si>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</si>
  <si>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</si>
  <si>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</si>
  <si>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</si>
  <si>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</si>
  <si>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</si>
  <si>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</si>
  <si>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</si>
  <si>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</si>
  <si>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</si>
  <si>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</si>
  <si>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</si>
  <si>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</si>
  <si>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</si>
  <si>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</si>
  <si>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</si>
  <si>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</si>
  <si>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</si>
  <si>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</si>
  <si>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</si>
  <si>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</si>
  <si>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</si>
  <si>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</si>
  <si>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</si>
  <si>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</si>
  <si>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</si>
  <si>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</si>
  <si>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</si>
  <si>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</si>
  <si>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</si>
  <si>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</si>
  <si>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</si>
  <si>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</si>
  <si>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</si>
  <si>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</si>
  <si>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</si>
  <si>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</si>
  <si>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</si>
  <si>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</si>
  <si>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</si>
  <si>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</si>
  <si>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</si>
  <si>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</si>
  <si>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</si>
  <si>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</si>
  <si>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</si>
  <si>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</si>
  <si>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</si>
  <si>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</si>
  <si>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</si>
  <si>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</si>
  <si>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</si>
  <si>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</si>
  <si>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</si>
  <si>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</si>
  <si>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</si>
  <si>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</si>
  <si>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</si>
  <si>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</si>
  <si>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</si>
  <si>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</si>
  <si>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</si>
  <si>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</si>
  <si>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</si>
  <si>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</si>
  <si>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</si>
  <si>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</si>
  <si>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</si>
  <si>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</si>
  <si>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</si>
  <si>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</si>
  <si>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</si>
  <si>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</si>
  <si>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</si>
  <si>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</si>
  <si>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</si>
  <si>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</si>
  <si>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</si>
  <si>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</si>
  <si>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</si>
  <si>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</si>
  <si>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</si>
  <si>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</si>
  <si>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</si>
  <si>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</si>
  <si>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</si>
  <si>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</si>
  <si>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</si>
  <si>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</si>
  <si>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</si>
  <si>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</si>
  <si>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</si>
  <si>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</si>
  <si>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</si>
  <si>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</si>
  <si>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</si>
  <si>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</si>
  <si>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</si>
  <si>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</si>
  <si>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</si>
  <si>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</si>
  <si>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</si>
  <si>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</si>
  <si>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</si>
  <si>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</si>
  <si>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</si>
  <si>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</si>
  <si>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</si>
  <si>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</si>
  <si>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</si>
  <si>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</si>
  <si>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</si>
  <si>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</si>
  <si>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</si>
  <si>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</si>
  <si>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</si>
  <si>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</si>
  <si>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</si>
  <si>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</si>
  <si>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</si>
  <si>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</si>
  <si>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</si>
  <si>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</si>
  <si>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</si>
  <si>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</si>
  <si>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</si>
  <si>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</si>
  <si>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</si>
  <si>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</si>
  <si>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</si>
  <si>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</si>
  <si>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</si>
  <si>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</si>
  <si>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</si>
  <si>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</si>
  <si>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</si>
  <si>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</si>
  <si>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</si>
  <si>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</si>
  <si>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</si>
  <si>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</si>
  <si>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</si>
  <si>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</si>
  <si>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</si>
  <si>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</si>
  <si>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</si>
  <si>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</si>
  <si>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</si>
  <si>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</si>
  <si>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</si>
  <si>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</si>
  <si>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</si>
  <si>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</si>
  <si>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</si>
  <si>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</si>
  <si>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</si>
  <si>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</si>
  <si>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</si>
  <si>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</si>
  <si>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</si>
  <si>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</si>
  <si>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</si>
  <si>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</si>
  <si>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</si>
  <si>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</si>
  <si>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</si>
  <si>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</si>
  <si>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</si>
  <si>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</si>
  <si>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</si>
  <si>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</si>
  <si>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</si>
  <si>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</si>
  <si>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</si>
  <si>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</si>
  <si>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</si>
  <si>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</si>
  <si>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</si>
  <si>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</si>
  <si>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</si>
  <si>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</si>
  <si>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</si>
  <si>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</si>
  <si>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</si>
  <si>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</si>
  <si>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</si>
  <si>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</si>
  <si>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</si>
  <si>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</si>
  <si>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</si>
  <si>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</si>
  <si>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</si>
  <si>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</si>
  <si>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</si>
  <si>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</si>
  <si>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</si>
  <si>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</si>
  <si>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</si>
  <si>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</si>
  <si>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</si>
  <si>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</si>
  <si>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</si>
  <si>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</si>
  <si>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</si>
  <si>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</si>
  <si>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</si>
  <si>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</si>
  <si>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</si>
  <si>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</si>
  <si>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</si>
  <si>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</si>
  <si>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</si>
  <si>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</si>
  <si>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</si>
  <si>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</si>
  <si>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</si>
  <si>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</si>
  <si>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</si>
  <si>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</si>
  <si>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</si>
  <si>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</si>
  <si>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</si>
  <si>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</si>
  <si>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</si>
  <si>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</si>
  <si>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</si>
  <si>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</si>
  <si>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</si>
  <si>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</si>
  <si>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</si>
  <si>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</si>
  <si>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</si>
  <si>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</si>
  <si>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</si>
  <si>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</si>
  <si>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</si>
  <si>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</si>
  <si>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</si>
  <si>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</si>
  <si>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</si>
  <si>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</si>
  <si>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</si>
  <si>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</si>
  <si>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</si>
  <si>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</si>
  <si>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</si>
  <si>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</si>
  <si>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</si>
  <si>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</si>
  <si>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</si>
  <si>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</si>
  <si>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</si>
  <si>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</si>
  <si>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</si>
  <si>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</si>
  <si>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</si>
  <si>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</si>
  <si>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</si>
  <si>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</si>
  <si>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</si>
  <si>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</si>
  <si>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</si>
  <si>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</si>
  <si>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</si>
  <si>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</si>
  <si>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</si>
  <si>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</si>
  <si>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</si>
  <si>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</si>
  <si>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</si>
  <si>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</si>
  <si>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</si>
  <si>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</si>
  <si>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</si>
  <si>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</si>
  <si>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</si>
  <si>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</si>
  <si>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</si>
  <si>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</si>
  <si>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</si>
  <si>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</si>
  <si>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</si>
  <si>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</si>
  <si>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</si>
  <si>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</si>
  <si>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</si>
  <si>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</si>
  <si>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</si>
  <si>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</si>
  <si>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</si>
  <si>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</si>
  <si>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</si>
  <si>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</si>
  <si>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</si>
  <si>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</si>
  <si>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</si>
  <si>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</si>
  <si>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</si>
  <si>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</si>
  <si>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</si>
  <si>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</si>
  <si>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</si>
  <si>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</si>
  <si>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</si>
  <si>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</si>
  <si>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</si>
  <si>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</si>
  <si>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</si>
  <si>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</si>
  <si>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</si>
  <si>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</si>
  <si>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</si>
  <si>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</si>
  <si>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</si>
  <si>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</si>
  <si>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</si>
  <si>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</si>
  <si>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</si>
  <si>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</si>
  <si>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</si>
  <si>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</si>
  <si>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</si>
  <si>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</si>
  <si>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</si>
  <si>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</si>
  <si>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</si>
  <si>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</si>
  <si>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</si>
  <si>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</si>
  <si>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</si>
  <si>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</si>
  <si>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</si>
  <si>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</si>
  <si>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</si>
  <si>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</si>
  <si>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</si>
  <si>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</si>
  <si>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</si>
  <si>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</si>
  <si>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</si>
  <si>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</si>
  <si>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</si>
  <si>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</si>
  <si>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</si>
  <si>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</si>
  <si>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</si>
  <si>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</si>
  <si>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</si>
  <si>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</si>
  <si>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</si>
  <si>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</si>
  <si>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</si>
  <si>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</si>
  <si>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</si>
  <si>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</si>
  <si>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</si>
  <si>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</si>
  <si>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</si>
  <si>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</si>
  <si>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</si>
  <si>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</si>
  <si>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</si>
  <si>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</si>
  <si>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</si>
  <si>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</si>
  <si>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</si>
  <si>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</si>
  <si>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</si>
  <si>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</si>
  <si>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</si>
  <si>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</si>
  <si>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</si>
  <si>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</si>
  <si>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</si>
  <si>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</si>
  <si>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</si>
  <si>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Springfield #7</t>
  </si>
  <si>
    <t>Anderson County</t>
  </si>
  <si>
    <t>17-1330</t>
  </si>
  <si>
    <t>Equipment Reserve</t>
  </si>
  <si>
    <t>Phyllis Gettler</t>
  </si>
  <si>
    <t>Anderson County Clerk</t>
  </si>
  <si>
    <t>Anderson County Clerk's Office</t>
  </si>
  <si>
    <t>General Fund</t>
  </si>
  <si>
    <t>KSA 17-1336a</t>
  </si>
  <si>
    <t>NONE</t>
  </si>
  <si>
    <t>Supplies</t>
  </si>
  <si>
    <t>Mowing</t>
  </si>
  <si>
    <t>Repairs</t>
  </si>
  <si>
    <t>Imrovements</t>
  </si>
  <si>
    <t>Equipment</t>
  </si>
  <si>
    <t>Transfer to Equipment Reserve</t>
  </si>
  <si>
    <t>Transfer from Equipment Reserve</t>
  </si>
  <si>
    <t>Transfer from General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</si>
</sst>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22</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83820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3">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5" sqref="A15"/>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63" sqref="B63"/>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Springfield #7</v>
      </c>
      <c r="C1" s="3"/>
      <c r="D1" s="3"/>
      <c r="E1" s="3"/>
      <c r="F1" s="3"/>
      <c r="G1" s="3"/>
      <c r="H1" s="3"/>
      <c r="I1" s="3"/>
      <c r="J1" s="3"/>
      <c r="K1" s="3"/>
      <c r="L1" s="154">
        <f>inputPrYr!D6</f>
        <v>2015</v>
      </c>
    </row>
    <row r="2" spans="2:12" ht="15.75">
      <c r="B2" s="3" t="str">
        <f>inputPrYr!$D$4</f>
        <v>Anderson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t="s">
        <v>805</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t="s">
        <v>805</v>
      </c>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E65" sqref="E65"/>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Springfield #7</v>
      </c>
      <c r="C1" s="194"/>
      <c r="D1" s="3"/>
      <c r="E1" s="154">
        <f>inputPrYr!$D$6</f>
        <v>2015</v>
      </c>
    </row>
    <row r="2" spans="2:5" ht="15.75">
      <c r="B2" s="3" t="str">
        <f>inputPrYr!D4</f>
        <v>Anderson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6630</v>
      </c>
      <c r="D7" s="342">
        <f>C62</f>
        <v>2446</v>
      </c>
      <c r="E7" s="30">
        <f>D62</f>
        <v>23</v>
      </c>
    </row>
    <row r="8" spans="2:5" ht="15.75">
      <c r="B8" s="198" t="s">
        <v>118</v>
      </c>
      <c r="C8" s="199"/>
      <c r="D8" s="199"/>
      <c r="E8" s="104"/>
    </row>
    <row r="9" spans="2:5" ht="15.75">
      <c r="B9" s="100" t="s">
        <v>33</v>
      </c>
      <c r="C9" s="335">
        <v>1701</v>
      </c>
      <c r="D9" s="342">
        <f>IF(inputPrYr!H18&gt;0,inputPrYr!G19,inputPrYr!E19)</f>
        <v>1519</v>
      </c>
      <c r="E9" s="109" t="s">
        <v>28</v>
      </c>
    </row>
    <row r="10" spans="2:5" ht="15.75">
      <c r="B10" s="100" t="s">
        <v>34</v>
      </c>
      <c r="C10" s="335"/>
      <c r="D10" s="335"/>
      <c r="E10" s="170"/>
    </row>
    <row r="11" spans="2:5" ht="15.75">
      <c r="B11" s="100" t="s">
        <v>35</v>
      </c>
      <c r="C11" s="335">
        <v>148</v>
      </c>
      <c r="D11" s="335">
        <v>130</v>
      </c>
      <c r="E11" s="30">
        <f>mvalloc!D11</f>
        <v>124</v>
      </c>
    </row>
    <row r="12" spans="2:5" ht="15.75">
      <c r="B12" s="100" t="s">
        <v>36</v>
      </c>
      <c r="C12" s="335">
        <v>3</v>
      </c>
      <c r="D12" s="335">
        <v>4</v>
      </c>
      <c r="E12" s="30">
        <f>mvalloc!E11</f>
        <v>3</v>
      </c>
    </row>
    <row r="13" spans="2:5" ht="15.75">
      <c r="B13" s="199" t="s">
        <v>109</v>
      </c>
      <c r="C13" s="335">
        <v>38</v>
      </c>
      <c r="D13" s="335">
        <v>74</v>
      </c>
      <c r="E13" s="30">
        <f>mvalloc!F11</f>
        <v>38</v>
      </c>
    </row>
    <row r="14" spans="2:5" ht="15.75">
      <c r="B14" s="199" t="s">
        <v>141</v>
      </c>
      <c r="C14" s="335"/>
      <c r="D14" s="335"/>
      <c r="E14" s="30">
        <f>inputOth!E30</f>
        <v>0</v>
      </c>
    </row>
    <row r="15" spans="2:5" ht="15.75">
      <c r="B15" s="200" t="s">
        <v>37</v>
      </c>
      <c r="C15" s="335"/>
      <c r="D15" s="335"/>
      <c r="E15" s="170"/>
    </row>
    <row r="16" spans="2:5" ht="15.75">
      <c r="B16" s="200" t="s">
        <v>812</v>
      </c>
      <c r="C16" s="335"/>
      <c r="D16" s="335"/>
      <c r="E16" s="170">
        <v>0</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10</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1900</v>
      </c>
      <c r="D33" s="337">
        <f>SUM(D9:D31)</f>
        <v>1727</v>
      </c>
      <c r="E33" s="206">
        <f>SUM(E9:E31)</f>
        <v>165</v>
      </c>
    </row>
    <row r="34" spans="2:5" ht="15.75">
      <c r="B34" s="205" t="s">
        <v>40</v>
      </c>
      <c r="C34" s="337">
        <f>C7+C33</f>
        <v>8530</v>
      </c>
      <c r="D34" s="337">
        <f>D7+D33</f>
        <v>4173</v>
      </c>
      <c r="E34" s="206">
        <f>E7+E33</f>
        <v>188</v>
      </c>
    </row>
    <row r="35" spans="2:5" ht="15.75">
      <c r="B35" s="100" t="s">
        <v>41</v>
      </c>
      <c r="C35" s="102"/>
      <c r="D35" s="102"/>
      <c r="E35" s="21"/>
    </row>
    <row r="36" spans="2:5" ht="15.75">
      <c r="B36" s="200" t="s">
        <v>806</v>
      </c>
      <c r="C36" s="335">
        <v>100</v>
      </c>
      <c r="D36" s="335">
        <v>75</v>
      </c>
      <c r="E36" s="170">
        <v>100</v>
      </c>
    </row>
    <row r="37" spans="2:5" ht="15.75">
      <c r="B37" s="200" t="s">
        <v>807</v>
      </c>
      <c r="C37" s="335">
        <v>3125</v>
      </c>
      <c r="D37" s="335">
        <v>3200</v>
      </c>
      <c r="E37" s="170">
        <v>4000</v>
      </c>
    </row>
    <row r="38" spans="2:5" ht="15.75">
      <c r="B38" s="200" t="s">
        <v>808</v>
      </c>
      <c r="C38" s="335">
        <v>435</v>
      </c>
      <c r="D38" s="335">
        <v>75</v>
      </c>
      <c r="E38" s="170">
        <v>200</v>
      </c>
    </row>
    <row r="39" spans="2:5" ht="15.75">
      <c r="B39" s="200" t="s">
        <v>809</v>
      </c>
      <c r="C39" s="335">
        <v>1000</v>
      </c>
      <c r="D39" s="335">
        <v>0</v>
      </c>
      <c r="E39" s="170">
        <v>1000</v>
      </c>
    </row>
    <row r="40" spans="2:5" ht="15.75">
      <c r="B40" s="200" t="s">
        <v>810</v>
      </c>
      <c r="C40" s="335">
        <v>149</v>
      </c>
      <c r="D40" s="335"/>
      <c r="E40" s="170">
        <v>300</v>
      </c>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65</v>
      </c>
      <c r="K54" s="1"/>
    </row>
    <row r="55" spans="2:11" ht="15.75">
      <c r="B55" s="200"/>
      <c r="C55" s="335"/>
      <c r="D55" s="335"/>
      <c r="E55" s="170"/>
      <c r="F55" s="1"/>
      <c r="G55" s="442" t="s">
        <v>636</v>
      </c>
      <c r="H55" s="53"/>
      <c r="I55" s="53"/>
      <c r="J55" s="542">
        <f>IF(J54=0,"",ROUND((J54+E68-G67)/inputOth!E7*1000,3)-G72)</f>
        <v>1.641</v>
      </c>
      <c r="K55" s="1"/>
    </row>
    <row r="56" spans="2:11" ht="15.75">
      <c r="B56" s="200"/>
      <c r="C56" s="335"/>
      <c r="D56" s="335"/>
      <c r="E56" s="170"/>
      <c r="F56" s="1"/>
      <c r="G56" s="543" t="str">
        <f>CONCATENATE("",E1," Tot Exp/Non-Appr Must Be:")</f>
        <v>2015 Tot Exp/Non-Appr Must Be:</v>
      </c>
      <c r="H56" s="533"/>
      <c r="I56" s="532"/>
      <c r="J56" s="544">
        <f>IF(J54&gt;0,IF(E65&lt;E34,IF(J54=G67,E65,((J54-G67)*(1-D67))+E34),E65+(J54-G67)),0)</f>
        <v>6453</v>
      </c>
      <c r="K56" s="1"/>
    </row>
    <row r="57" spans="2:11" ht="15.75">
      <c r="B57" s="200" t="s">
        <v>811</v>
      </c>
      <c r="C57" s="335">
        <v>1275</v>
      </c>
      <c r="D57" s="335">
        <v>800</v>
      </c>
      <c r="E57" s="170">
        <v>0</v>
      </c>
      <c r="F57" s="1"/>
      <c r="G57" s="545" t="s">
        <v>700</v>
      </c>
      <c r="H57" s="546"/>
      <c r="I57" s="546"/>
      <c r="J57" s="547">
        <f>IF(J54&gt;0,J56-E65,0)</f>
        <v>603</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6084</v>
      </c>
      <c r="D61" s="337">
        <f>SUM(D36:D59)</f>
        <v>4150</v>
      </c>
      <c r="E61" s="206">
        <f>SUM(E36:E59)</f>
        <v>5600</v>
      </c>
      <c r="F61" s="1"/>
      <c r="G61" s="456">
        <f>D62</f>
        <v>23</v>
      </c>
      <c r="H61" s="455" t="str">
        <f>CONCATENATE("",E1-1," Ending Cash Balance (est.)")</f>
        <v>2014 Ending Cash Balance (est.)</v>
      </c>
      <c r="I61" s="548"/>
      <c r="J61" s="450"/>
      <c r="K61" s="1"/>
    </row>
    <row r="62" spans="2:11" ht="15.75">
      <c r="B62" s="100" t="s">
        <v>117</v>
      </c>
      <c r="C62" s="338">
        <f>C34-C61</f>
        <v>2446</v>
      </c>
      <c r="D62" s="338">
        <f>D34-D61</f>
        <v>23</v>
      </c>
      <c r="E62" s="109" t="s">
        <v>28</v>
      </c>
      <c r="F62" s="1"/>
      <c r="G62" s="456">
        <f>E33</f>
        <v>165</v>
      </c>
      <c r="H62" s="449" t="str">
        <f>CONCATENATE("",E1," Non-AV Receipts (est.)")</f>
        <v>2015 Non-AV Receipts (est.)</v>
      </c>
      <c r="I62" s="548"/>
      <c r="J62" s="450"/>
      <c r="K62" s="1"/>
    </row>
    <row r="63" spans="2:11" ht="15.75">
      <c r="B63" s="2" t="str">
        <f>CONCATENATE("",E1-2,"/",E1-1,"/",E1," Budget Authority Amount:")</f>
        <v>2013/2014/2015 Budget Authority Amount:</v>
      </c>
      <c r="C63" s="215">
        <f>inputOth!B41</f>
        <v>6375</v>
      </c>
      <c r="D63" s="524">
        <f>inputPrYr!D19</f>
        <v>5900</v>
      </c>
      <c r="E63" s="30">
        <f>E61</f>
        <v>5600</v>
      </c>
      <c r="F63" s="223"/>
      <c r="G63" s="448">
        <f>IF(E67&gt;0,E66,E68)</f>
        <v>5662</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v>250</v>
      </c>
      <c r="F64" s="550">
        <f>IF(E61/0.95-E61&lt;E64,"Exceeds 5%","")</f>
      </c>
      <c r="G64" s="456">
        <f>SUM(G61:G63)</f>
        <v>5850</v>
      </c>
      <c r="H64" s="449" t="str">
        <f>CONCATENATE("Total ",E1," Resources Available")</f>
        <v>Total 2015 Resources Available</v>
      </c>
      <c r="I64" s="548"/>
      <c r="J64" s="450"/>
      <c r="K64" s="1"/>
    </row>
    <row r="65" spans="2:11" ht="15.75">
      <c r="B65" s="354" t="str">
        <f>CONCATENATE(C81,"     ",D81)</f>
        <v>     </v>
      </c>
      <c r="C65" s="715" t="s">
        <v>630</v>
      </c>
      <c r="D65" s="716"/>
      <c r="E65" s="30">
        <f>E61+E64</f>
        <v>5850</v>
      </c>
      <c r="F65" s="1"/>
      <c r="G65" s="447"/>
      <c r="H65" s="449"/>
      <c r="I65" s="449"/>
      <c r="J65" s="450"/>
      <c r="K65" s="1"/>
    </row>
    <row r="66" spans="2:11" ht="15.75">
      <c r="B66" s="354" t="str">
        <f>CONCATENATE(C82,"     ",D82)</f>
        <v>     </v>
      </c>
      <c r="C66" s="460"/>
      <c r="D66" s="459" t="s">
        <v>631</v>
      </c>
      <c r="E66" s="27">
        <f>IF(E65-E34&gt;0,E65-E34,0)</f>
        <v>5662</v>
      </c>
      <c r="F66" s="1"/>
      <c r="G66" s="448">
        <f>ROUND(C61*0.05+C61,0)</f>
        <v>6388</v>
      </c>
      <c r="H66" s="449" t="str">
        <f>CONCATENATE("Less ",E1-2," Expenditures + 5%")</f>
        <v>Less 2013 Expenditures + 5%</v>
      </c>
      <c r="I66" s="548"/>
      <c r="J66" s="450"/>
      <c r="K66" s="1"/>
    </row>
    <row r="67" spans="2:11" ht="15.75">
      <c r="B67" s="127"/>
      <c r="C67" s="458" t="s">
        <v>632</v>
      </c>
      <c r="D67" s="560">
        <f>inputOth!$E$35</f>
        <v>0.02</v>
      </c>
      <c r="E67" s="30">
        <f>ROUND(IF(D67&gt;0,(E66*D67),0),0)</f>
        <v>113</v>
      </c>
      <c r="F67" s="1"/>
      <c r="G67" s="446">
        <f>G64-G66</f>
        <v>-538</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5775</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2</v>
      </c>
      <c r="H71" s="455" t="str">
        <f>CONCATENATE("",E1," Fund Mill Rate")</f>
        <v>2015 Fund Mill Rate</v>
      </c>
      <c r="I71" s="534"/>
      <c r="J71" s="553"/>
      <c r="K71" s="1"/>
    </row>
    <row r="72" spans="2:11" ht="15.75">
      <c r="B72" s="3"/>
      <c r="C72" s="3"/>
      <c r="D72" s="3"/>
      <c r="E72" s="3"/>
      <c r="F72" s="555"/>
      <c r="G72" s="556">
        <f>summ!E16</f>
        <v>0.568</v>
      </c>
      <c r="H72" s="455" t="str">
        <f>CONCATENATE("",E1-1," Fund Mill Rate")</f>
        <v>2014 Fund Mill Rate</v>
      </c>
      <c r="I72" s="534"/>
      <c r="J72" s="553"/>
      <c r="K72" s="1"/>
    </row>
    <row r="73" spans="2:11" ht="15.75">
      <c r="B73" s="3"/>
      <c r="C73" s="194"/>
      <c r="D73" s="194"/>
      <c r="E73" s="194"/>
      <c r="F73" s="539"/>
      <c r="G73" s="557">
        <f>summ!H23</f>
        <v>2</v>
      </c>
      <c r="H73" s="455" t="str">
        <f>CONCATENATE("Total ",E1," Mill Rate")</f>
        <v>Total 2015 Mill Rate</v>
      </c>
      <c r="I73" s="534"/>
      <c r="J73" s="553"/>
      <c r="K73" s="1"/>
    </row>
    <row r="74" spans="2:11" ht="15.75">
      <c r="B74" s="115"/>
      <c r="C74" s="3" t="s">
        <v>205</v>
      </c>
      <c r="D74" s="3"/>
      <c r="E74" s="3"/>
      <c r="F74" s="539"/>
      <c r="G74" s="556">
        <f>summ!E23</f>
        <v>0.568</v>
      </c>
      <c r="H74" s="558" t="str">
        <f>CONCATENATE("Total ",E1-1," Mill Rate")</f>
        <v>Total 2014 Mill Rate</v>
      </c>
      <c r="I74" s="559"/>
      <c r="J74" s="59"/>
      <c r="K74" s="1"/>
    </row>
    <row r="76" spans="2:9" ht="15.75">
      <c r="B76" s="46"/>
      <c r="G76" s="634"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Springfield #7</v>
      </c>
      <c r="C1" s="3"/>
      <c r="D1" s="3"/>
      <c r="E1" s="208">
        <f>inputPrYr!$D$6</f>
        <v>2015</v>
      </c>
    </row>
    <row r="2" spans="2:5" ht="15.75">
      <c r="B2" s="128" t="str">
        <f>inputPrYr!D4</f>
        <v>Anderson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0.02</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2</v>
      </c>
      <c r="H65" s="455" t="str">
        <f>CONCATENATE("Total ",E1," Mill Rate")</f>
        <v>Total 2015 Mill Rate</v>
      </c>
      <c r="I65" s="534"/>
      <c r="J65" s="553"/>
      <c r="K65" s="561"/>
    </row>
    <row r="66" spans="6:11" ht="15.75">
      <c r="F66"/>
      <c r="G66" s="556">
        <f>summ!E23</f>
        <v>0.568</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Springfield #7</v>
      </c>
      <c r="C1" s="3"/>
      <c r="D1" s="3"/>
      <c r="E1" s="154">
        <f>inputPrYr!D6</f>
        <v>2015</v>
      </c>
    </row>
    <row r="2" spans="2:5" ht="15.75">
      <c r="B2" s="3" t="str">
        <f>inputPrYr!D4</f>
        <v>Anderson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0.02</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2</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0.568</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0.02</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2</v>
      </c>
      <c r="H86" s="455" t="str">
        <f>CONCATENATE("Total ",E3," Mill Rate")</f>
        <v>Total  Mill Rate</v>
      </c>
      <c r="I86" s="534"/>
      <c r="J86" s="553"/>
      <c r="K86" s="1"/>
    </row>
    <row r="87" spans="3:11" ht="15.75" customHeight="1">
      <c r="C87" s="76">
        <f>IF(C33&gt;C35,"See Tab A","")</f>
      </c>
      <c r="D87" s="76">
        <f>IF(D33&gt;D35,"See Tab C","")</f>
      </c>
      <c r="F87" s="1"/>
      <c r="G87" s="556">
        <f>summ!E23</f>
        <v>0.568</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Springfield #7</v>
      </c>
      <c r="C1" s="194"/>
      <c r="D1" s="3"/>
      <c r="E1" s="154">
        <f>inputPrYr!D6</f>
        <v>2015</v>
      </c>
    </row>
    <row r="2" spans="2:5" ht="15.75">
      <c r="B2" s="3" t="str">
        <f>inputPrYr!D4</f>
        <v>Anderson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Springfield #7</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t="str">
        <f>inputPrYr!B30</f>
        <v>Equipment Reserve</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v>900</v>
      </c>
      <c r="C7" s="240" t="s">
        <v>217</v>
      </c>
      <c r="D7" s="239"/>
      <c r="E7" s="240" t="s">
        <v>217</v>
      </c>
      <c r="F7" s="239"/>
      <c r="G7" s="240" t="s">
        <v>217</v>
      </c>
      <c r="H7" s="239"/>
      <c r="I7" s="240" t="s">
        <v>217</v>
      </c>
      <c r="J7" s="239"/>
      <c r="K7" s="241">
        <f>SUM(B7+D7+F7+H7+J7)</f>
        <v>900</v>
      </c>
    </row>
    <row r="8" spans="1:11" ht="15.75">
      <c r="A8" s="242" t="s">
        <v>118</v>
      </c>
      <c r="B8" s="243"/>
      <c r="C8" s="242" t="s">
        <v>118</v>
      </c>
      <c r="D8" s="244"/>
      <c r="E8" s="242" t="s">
        <v>118</v>
      </c>
      <c r="F8" s="227"/>
      <c r="G8" s="242" t="s">
        <v>118</v>
      </c>
      <c r="H8" s="45"/>
      <c r="I8" s="242" t="s">
        <v>118</v>
      </c>
      <c r="J8" s="45"/>
      <c r="K8" s="227"/>
    </row>
    <row r="9" spans="1:11" ht="15.75">
      <c r="A9" s="245" t="s">
        <v>813</v>
      </c>
      <c r="B9" s="239">
        <v>1275</v>
      </c>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1275</v>
      </c>
      <c r="C17" s="242" t="s">
        <v>39</v>
      </c>
      <c r="D17" s="241">
        <f>SUM(D9:D16)</f>
        <v>0</v>
      </c>
      <c r="E17" s="242" t="s">
        <v>39</v>
      </c>
      <c r="F17" s="255">
        <f>SUM(F9:F16)</f>
        <v>0</v>
      </c>
      <c r="G17" s="242" t="s">
        <v>39</v>
      </c>
      <c r="H17" s="241">
        <f>SUM(H9:H16)</f>
        <v>0</v>
      </c>
      <c r="I17" s="242" t="s">
        <v>39</v>
      </c>
      <c r="J17" s="241">
        <f>SUM(J9:J16)</f>
        <v>0</v>
      </c>
      <c r="K17" s="241">
        <f>SUM(B17+D17+F17+H17+J17)</f>
        <v>1275</v>
      </c>
    </row>
    <row r="18" spans="1:11" ht="15.75">
      <c r="A18" s="242" t="s">
        <v>40</v>
      </c>
      <c r="B18" s="241">
        <f>SUM(B7+B17)</f>
        <v>2175</v>
      </c>
      <c r="C18" s="242" t="s">
        <v>40</v>
      </c>
      <c r="D18" s="241">
        <f>SUM(D7+D17)</f>
        <v>0</v>
      </c>
      <c r="E18" s="242" t="s">
        <v>40</v>
      </c>
      <c r="F18" s="241">
        <f>SUM(F7+F17)</f>
        <v>0</v>
      </c>
      <c r="G18" s="242" t="s">
        <v>40</v>
      </c>
      <c r="H18" s="241">
        <f>SUM(H7+H17)</f>
        <v>0</v>
      </c>
      <c r="I18" s="242" t="s">
        <v>40</v>
      </c>
      <c r="J18" s="241">
        <f>SUM(J7+J17)</f>
        <v>0</v>
      </c>
      <c r="K18" s="241">
        <f>SUM(B18+D18+F18+H18+J18)</f>
        <v>2175</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2175</v>
      </c>
      <c r="C29" s="242" t="s">
        <v>218</v>
      </c>
      <c r="D29" s="241">
        <f>SUM(D18-D28)</f>
        <v>0</v>
      </c>
      <c r="E29" s="242" t="s">
        <v>218</v>
      </c>
      <c r="F29" s="241">
        <f>SUM(F18-F28)</f>
        <v>0</v>
      </c>
      <c r="G29" s="242" t="s">
        <v>218</v>
      </c>
      <c r="H29" s="241">
        <f>SUM(H18-H28)</f>
        <v>0</v>
      </c>
      <c r="I29" s="242" t="s">
        <v>218</v>
      </c>
      <c r="J29" s="241">
        <f>SUM(J18-J28)</f>
        <v>0</v>
      </c>
      <c r="K29" s="256">
        <f>SUM(B29+D29+F29+H29+J29)</f>
        <v>2175</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2175</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v>7</v>
      </c>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C1">
      <selection activeCell="E42" sqref="E42"/>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3"/>
    </row>
    <row r="2" spans="1:8" ht="15.75">
      <c r="A2" s="3"/>
      <c r="B2" s="3"/>
      <c r="C2" s="3"/>
      <c r="D2" s="3"/>
      <c r="E2" s="3"/>
      <c r="F2" s="3"/>
      <c r="G2" s="3"/>
      <c r="H2" s="3"/>
    </row>
    <row r="3" spans="1:9" ht="15.75">
      <c r="A3" s="736" t="s">
        <v>110</v>
      </c>
      <c r="B3" s="736"/>
      <c r="C3" s="736"/>
      <c r="D3" s="736"/>
      <c r="E3" s="736"/>
      <c r="F3" s="736"/>
      <c r="G3" s="736"/>
      <c r="H3" s="736"/>
      <c r="I3" s="37">
        <f>inputPrYr!D6</f>
        <v>2015</v>
      </c>
    </row>
    <row r="4" spans="1:8" ht="15.75">
      <c r="A4" s="668" t="str">
        <f>inputPrYr!D3</f>
        <v>Springfield #7</v>
      </c>
      <c r="B4" s="668"/>
      <c r="C4" s="668"/>
      <c r="D4" s="668"/>
      <c r="E4" s="668"/>
      <c r="F4" s="668"/>
      <c r="G4" s="668"/>
      <c r="H4" s="668"/>
    </row>
    <row r="5" spans="1:8" ht="15.75">
      <c r="A5" s="737" t="str">
        <f>inputPrYr!D4</f>
        <v>Anderson County</v>
      </c>
      <c r="B5" s="737"/>
      <c r="C5" s="737"/>
      <c r="D5" s="737"/>
      <c r="E5" s="737"/>
      <c r="F5" s="737"/>
      <c r="G5" s="737"/>
      <c r="H5" s="737"/>
    </row>
    <row r="6" spans="1:8" ht="15.75">
      <c r="A6" s="688" t="str">
        <f>CONCATENATE("will meet on ",inputBudSum!B7," at ",inputBudSum!B9," at ",inputBudSum!B11," for the purpose of hearing and")</f>
        <v>will meet on  at  at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Anderson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5" t="str">
        <f>CONCATENATE("Estimated Value Of One Mill For ",I3,"")</f>
        <v>Estimated Value Of One Mill For 2015</v>
      </c>
      <c r="K12" s="726"/>
      <c r="L12" s="726"/>
      <c r="M12" s="727"/>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2887</v>
      </c>
    </row>
    <row r="15" spans="1:13" ht="15.75">
      <c r="A15" s="141" t="s">
        <v>52</v>
      </c>
      <c r="B15" s="95" t="s">
        <v>53</v>
      </c>
      <c r="C15" s="266" t="s">
        <v>177</v>
      </c>
      <c r="D15" s="95" t="s">
        <v>53</v>
      </c>
      <c r="E15" s="266" t="s">
        <v>177</v>
      </c>
      <c r="F15" s="95" t="s">
        <v>531</v>
      </c>
      <c r="G15" s="735"/>
      <c r="H15" s="266" t="s">
        <v>177</v>
      </c>
      <c r="J15" s="1"/>
      <c r="K15" s="1"/>
      <c r="L15" s="1"/>
      <c r="M15" s="1"/>
    </row>
    <row r="16" spans="1:13" ht="15.75">
      <c r="A16" s="21" t="str">
        <f>inputPrYr!B19</f>
        <v>General</v>
      </c>
      <c r="B16" s="104">
        <f>IF(gen!$C$61&lt;&gt;0,gen!$C$61,"  ")</f>
        <v>6084</v>
      </c>
      <c r="C16" s="585">
        <f>IF(inputPrYr!D38&gt;0,inputPrYr!D38,"  ")</f>
        <v>0.578</v>
      </c>
      <c r="D16" s="524">
        <f>IF(gen!$D$61&lt;&gt;0,gen!$D$61,"  ")</f>
        <v>4150</v>
      </c>
      <c r="E16" s="588">
        <f>IF(inputOth!D16&gt;0,inputOth!D16,"  ")</f>
        <v>0.568</v>
      </c>
      <c r="F16" s="524">
        <f>IF(gen!$E$61&lt;&gt;0,gen!$E$61,"  ")</f>
        <v>5600</v>
      </c>
      <c r="G16" s="215">
        <f>IF(gen!$E$68&lt;&gt;0,gen!$E$68,"  ")</f>
        <v>5775</v>
      </c>
      <c r="H16" s="585">
        <f>IF(gen!E68&gt;0,ROUND(G16/$F$27*1000,3)," ")</f>
        <v>2</v>
      </c>
      <c r="J16" s="725" t="str">
        <f>CONCATENATE("Want The Mill Rate The Same As For ",I3-1,"?")</f>
        <v>Want The Mill Rate The Same As For 2014?</v>
      </c>
      <c r="K16" s="728"/>
      <c r="L16" s="728"/>
      <c r="M16" s="729"/>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0.568</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-4135</v>
      </c>
    </row>
    <row r="22" spans="1:13" ht="16.5" thickBot="1">
      <c r="A22" s="105" t="str">
        <f>IF((inputPrYr!$B$30&gt;" "),(NonBud!$A$3),"")</f>
        <v>Non-Budgeted Funds</v>
      </c>
      <c r="B22" s="452">
        <f>IF(NonBud!K28&gt;0,NonBud!K28,"")</f>
      </c>
      <c r="C22" s="586"/>
      <c r="D22" s="584"/>
      <c r="E22" s="589"/>
      <c r="F22" s="584"/>
      <c r="G22" s="591"/>
      <c r="H22" s="586"/>
      <c r="J22" s="478"/>
      <c r="K22" s="478"/>
      <c r="L22" s="478"/>
      <c r="M22" s="478"/>
    </row>
    <row r="23" spans="1:13" ht="15.75">
      <c r="A23" s="18" t="s">
        <v>125</v>
      </c>
      <c r="B23" s="582">
        <f>SUM(B16:B22)</f>
        <v>6084</v>
      </c>
      <c r="C23" s="587">
        <f aca="true" t="shared" si="0" ref="C23:H23">SUM(C16:C21)</f>
        <v>0.578</v>
      </c>
      <c r="D23" s="582">
        <f t="shared" si="0"/>
        <v>4150</v>
      </c>
      <c r="E23" s="590">
        <f t="shared" si="0"/>
        <v>0.568</v>
      </c>
      <c r="F23" s="582">
        <f t="shared" si="0"/>
        <v>5600</v>
      </c>
      <c r="G23" s="582">
        <f t="shared" si="0"/>
        <v>5775</v>
      </c>
      <c r="H23" s="590">
        <f t="shared" si="0"/>
        <v>2</v>
      </c>
      <c r="J23" s="725" t="str">
        <f>CONCATENATE("Impact On Keeping The Same Mill Rate As For ",I3-1,"")</f>
        <v>Impact On Keeping The Same Mill Rate As For 2014</v>
      </c>
      <c r="K23" s="730"/>
      <c r="L23" s="730"/>
      <c r="M23" s="731"/>
    </row>
    <row r="24" spans="1:13" ht="15.75">
      <c r="A24" s="18" t="s">
        <v>150</v>
      </c>
      <c r="B24" s="27">
        <f>transfers!C26</f>
        <v>1275</v>
      </c>
      <c r="C24" s="107"/>
      <c r="D24" s="27">
        <f>transfers!D26</f>
        <v>800</v>
      </c>
      <c r="E24" s="107"/>
      <c r="F24" s="583">
        <f>transfers!E26</f>
        <v>0</v>
      </c>
      <c r="G24" s="210"/>
      <c r="H24" s="267"/>
      <c r="J24" s="470"/>
      <c r="K24" s="465"/>
      <c r="L24" s="465"/>
      <c r="M24" s="471"/>
    </row>
    <row r="25" spans="1:13" ht="16.5" thickBot="1">
      <c r="A25" s="18" t="s">
        <v>151</v>
      </c>
      <c r="B25" s="110">
        <f>SUM(B23-B24)</f>
        <v>4809</v>
      </c>
      <c r="C25" s="268"/>
      <c r="D25" s="110">
        <f>SUM(D23-D24)</f>
        <v>3350</v>
      </c>
      <c r="E25" s="268"/>
      <c r="F25" s="451">
        <f>SUM(F23-F24)</f>
        <v>5600</v>
      </c>
      <c r="G25" s="210"/>
      <c r="H25" s="267"/>
      <c r="J25" s="470" t="str">
        <f>CONCATENATE("",I3," Ad Valorem Tax Revenue:")</f>
        <v>2015 Ad Valorem Tax Revenue:</v>
      </c>
      <c r="K25" s="465"/>
      <c r="L25" s="465"/>
      <c r="M25" s="466">
        <f>G23</f>
        <v>5775</v>
      </c>
    </row>
    <row r="26" spans="1:13" ht="16.5" thickTop="1">
      <c r="A26" s="18" t="s">
        <v>54</v>
      </c>
      <c r="B26" s="582">
        <f>inputPrYr!E44</f>
        <v>1501</v>
      </c>
      <c r="C26" s="187"/>
      <c r="D26" s="582">
        <f>inputPrYr!E24</f>
        <v>1519</v>
      </c>
      <c r="E26" s="187"/>
      <c r="F26" s="64" t="s">
        <v>156</v>
      </c>
      <c r="G26" s="3"/>
      <c r="H26" s="3"/>
      <c r="J26" s="470" t="str">
        <f>CONCATENATE("",I3-1," Ad Valorem Tax Revenue:")</f>
        <v>2014 Ad Valorem Tax Revenue:</v>
      </c>
      <c r="K26" s="465"/>
      <c r="L26" s="465"/>
      <c r="M26" s="479">
        <f>ROUND(F27*M18/1000,0)</f>
        <v>1640</v>
      </c>
    </row>
    <row r="27" spans="1:13" ht="15.75">
      <c r="A27" s="18" t="s">
        <v>152</v>
      </c>
      <c r="B27" s="27">
        <f>inputPrYr!E45</f>
        <v>2598952</v>
      </c>
      <c r="C27" s="187"/>
      <c r="D27" s="27">
        <f>inputOth!E24</f>
        <v>2673092</v>
      </c>
      <c r="E27" s="187"/>
      <c r="F27" s="27">
        <f>inputOth!E7</f>
        <v>2887354</v>
      </c>
      <c r="G27" s="3"/>
      <c r="H27" s="3"/>
      <c r="J27" s="480" t="s">
        <v>638</v>
      </c>
      <c r="K27" s="481"/>
      <c r="L27" s="481"/>
      <c r="M27" s="469">
        <f>M25-M26</f>
        <v>4135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5" t="s">
        <v>639</v>
      </c>
      <c r="K29" s="728"/>
      <c r="L29" s="728"/>
      <c r="M29" s="729"/>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2</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2" t="str">
        <f>inputBudSum!B3</f>
        <v>Phyllis Gettler</v>
      </c>
      <c r="B40" s="696"/>
      <c r="C40" s="80"/>
      <c r="D40" s="3"/>
      <c r="E40" s="3"/>
      <c r="F40" s="3"/>
      <c r="G40" s="3"/>
      <c r="H40" s="37"/>
    </row>
    <row r="41" spans="1:8" ht="15.75">
      <c r="A41" s="738" t="str">
        <f>inputBudSum!B5</f>
        <v>Anderson County Clerk</v>
      </c>
      <c r="B41" s="739"/>
      <c r="C41" s="3"/>
      <c r="D41" s="115" t="s">
        <v>44</v>
      </c>
      <c r="E41" s="453">
        <v>8</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Springfield #7</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3"/>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2887354</v>
      </c>
      <c r="E16" s="3"/>
      <c r="F16" s="37"/>
    </row>
    <row r="17" spans="1:6" ht="15.75">
      <c r="A17" s="3"/>
      <c r="B17" s="3"/>
      <c r="C17" s="3"/>
      <c r="D17" s="3"/>
      <c r="E17" s="3"/>
      <c r="F17" s="37"/>
    </row>
    <row r="18" spans="1:6" ht="15.75">
      <c r="A18" s="3"/>
      <c r="B18" s="743" t="s">
        <v>295</v>
      </c>
      <c r="C18" s="743"/>
      <c r="D18" s="281">
        <f>IF(D16&gt;0,(D16*0.001),"")</f>
        <v>2887.3540000000003</v>
      </c>
      <c r="E18" s="3"/>
      <c r="F18" s="37"/>
    </row>
    <row r="19" spans="1:6" ht="15.75">
      <c r="A19" s="3"/>
      <c r="B19" s="115"/>
      <c r="C19" s="115"/>
      <c r="D19" s="282"/>
      <c r="E19" s="3"/>
      <c r="F19" s="37"/>
    </row>
    <row r="20" spans="1:6" ht="15.75">
      <c r="A20" s="740" t="s">
        <v>293</v>
      </c>
      <c r="B20" s="733"/>
      <c r="C20" s="733"/>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5">
      <selection activeCell="C22" sqref="C22"/>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796</v>
      </c>
      <c r="E3" s="5"/>
    </row>
    <row r="4" spans="1:5" ht="15.75">
      <c r="A4" s="4" t="s">
        <v>204</v>
      </c>
      <c r="B4" s="3"/>
      <c r="C4" s="3"/>
      <c r="D4" s="602" t="s">
        <v>797</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798</v>
      </c>
      <c r="D19" s="20">
        <v>5900</v>
      </c>
      <c r="E19" s="20">
        <v>1519</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1519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5900</v>
      </c>
      <c r="E28" s="22"/>
    </row>
    <row r="29" spans="1:5" ht="15.75">
      <c r="A29" s="3" t="s">
        <v>221</v>
      </c>
      <c r="B29" s="3"/>
      <c r="C29" s="3"/>
      <c r="D29" s="3"/>
      <c r="E29" s="22"/>
    </row>
    <row r="30" spans="1:5" ht="15.75">
      <c r="A30" s="3">
        <v>1</v>
      </c>
      <c r="B30" s="31" t="s">
        <v>799</v>
      </c>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0.578</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0.578</v>
      </c>
      <c r="E42" s="22"/>
    </row>
    <row r="43" spans="1:5" ht="16.5" thickTop="1">
      <c r="A43" s="3"/>
      <c r="B43" s="3"/>
      <c r="C43" s="3"/>
      <c r="D43" s="3"/>
      <c r="E43" s="22"/>
    </row>
    <row r="44" spans="1:5" ht="15.75">
      <c r="A44" s="34" t="str">
        <f>CONCATENATE("Total Tax Levied (",D6-2," budget column)")</f>
        <v>Total Tax Levied (2013 budget column)</v>
      </c>
      <c r="B44" s="12"/>
      <c r="C44" s="3"/>
      <c r="D44" s="3"/>
      <c r="E44" s="35">
        <v>1501</v>
      </c>
    </row>
    <row r="45" spans="1:5" ht="15.75">
      <c r="A45" s="34" t="str">
        <f>CONCATENATE("Assessed Valuation (",D6-2," budget column)")</f>
        <v>Assessed Valuation (2013 budget column)</v>
      </c>
      <c r="B45" s="12"/>
      <c r="C45" s="3"/>
      <c r="D45" s="3"/>
      <c r="E45" s="36">
        <v>2598952</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0</v>
      </c>
      <c r="E49" s="41">
        <v>0</v>
      </c>
    </row>
    <row r="50" spans="1:5" ht="15.75">
      <c r="A50" s="42" t="s">
        <v>634</v>
      </c>
      <c r="B50" s="42"/>
      <c r="C50" s="43"/>
      <c r="D50" s="41">
        <v>0</v>
      </c>
      <c r="E50" s="41">
        <v>0</v>
      </c>
    </row>
    <row r="51" spans="1:5" ht="15.75">
      <c r="A51" s="42" t="s">
        <v>136</v>
      </c>
      <c r="B51" s="42"/>
      <c r="C51" s="43"/>
      <c r="D51" s="41">
        <v>0</v>
      </c>
      <c r="E51" s="41">
        <v>0</v>
      </c>
    </row>
    <row r="52" spans="1:5" ht="15.75">
      <c r="A52" s="42"/>
      <c r="B52" s="42"/>
      <c r="C52" s="44"/>
      <c r="D52" s="41">
        <v>0</v>
      </c>
      <c r="E52" s="41">
        <v>0</v>
      </c>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I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Springfield #7</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Springfield #7</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1519</v>
      </c>
      <c r="F9" s="644"/>
      <c r="G9" s="644"/>
      <c r="H9" s="645"/>
    </row>
    <row r="10" spans="3:8" ht="15.75">
      <c r="C10" s="646" t="str">
        <f>CONCATENATE(H2," Budget")</f>
        <v>2015 Budget</v>
      </c>
      <c r="D10" s="650" t="s">
        <v>93</v>
      </c>
      <c r="E10" s="653">
        <f>cert!F30</f>
        <v>5775</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7">
      <selection activeCell="E36" sqref="E36"/>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Springfield #7</v>
      </c>
      <c r="B1" s="45"/>
      <c r="C1" s="45"/>
      <c r="D1" s="45"/>
      <c r="E1" s="45">
        <f>inputPrYr!D6</f>
        <v>2015</v>
      </c>
    </row>
    <row r="2" spans="1:5" ht="15.75">
      <c r="A2" s="45" t="str">
        <f>inputPrYr!D4</f>
        <v>Anderson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2887354</v>
      </c>
    </row>
    <row r="8" spans="1:5" ht="15.75">
      <c r="A8" s="51" t="str">
        <f>CONCATENATE("New Improvements for ",inputPrYr!D6-1,"")</f>
        <v>New Improvements for 2014</v>
      </c>
      <c r="B8" s="52"/>
      <c r="C8" s="52"/>
      <c r="D8" s="52"/>
      <c r="E8" s="603">
        <v>12340</v>
      </c>
    </row>
    <row r="9" spans="1:5" ht="15.75">
      <c r="A9" s="51" t="str">
        <f>CONCATENATE("Personal Property excluding oil, gas, and mobile homes- ",inputPrYr!D6-1,"")</f>
        <v>Personal Property excluding oil, gas, and mobile homes- 2014</v>
      </c>
      <c r="B9" s="52"/>
      <c r="C9" s="52"/>
      <c r="D9" s="52"/>
      <c r="E9" s="603">
        <v>60897</v>
      </c>
    </row>
    <row r="10" spans="1:5" ht="15.75">
      <c r="A10" s="51" t="str">
        <f>CONCATENATE("Property that has changed in use for ",inputPrYr!D6-1,"")</f>
        <v>Property that has changed in use for 2014</v>
      </c>
      <c r="B10" s="52"/>
      <c r="C10" s="52"/>
      <c r="D10" s="52"/>
      <c r="E10" s="603">
        <v>31053</v>
      </c>
    </row>
    <row r="11" spans="1:5" ht="15.75">
      <c r="A11" s="50" t="str">
        <f>CONCATENATE("Personal Property excluding oil, gas, and mobile homes- ",inputPrYr!D6-2,"")</f>
        <v>Personal Property excluding oil, gas, and mobile homes- 2013</v>
      </c>
      <c r="B11" s="25"/>
      <c r="C11" s="25"/>
      <c r="D11" s="25"/>
      <c r="E11" s="603">
        <v>66814</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0.568</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0.568</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2673092</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124</v>
      </c>
    </row>
    <row r="28" spans="1:5" ht="15.75">
      <c r="A28" s="51" t="s">
        <v>15</v>
      </c>
      <c r="B28" s="52"/>
      <c r="C28" s="52"/>
      <c r="D28" s="65"/>
      <c r="E28" s="20">
        <v>3</v>
      </c>
    </row>
    <row r="29" spans="1:5" ht="15.75">
      <c r="A29" s="51" t="s">
        <v>153</v>
      </c>
      <c r="B29" s="52"/>
      <c r="C29" s="52"/>
      <c r="D29" s="65"/>
      <c r="E29" s="20">
        <v>38</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0.00562</v>
      </c>
    </row>
    <row r="35" spans="1:5" ht="15.75">
      <c r="A35" s="51" t="s">
        <v>676</v>
      </c>
      <c r="B35" s="67"/>
      <c r="C35" s="53"/>
      <c r="D35" s="53"/>
      <c r="E35" s="501">
        <v>0.02</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6375</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800</v>
      </c>
      <c r="C3" s="606"/>
      <c r="J3" s="503" t="s">
        <v>682</v>
      </c>
    </row>
    <row r="4" spans="1:10" ht="15.75">
      <c r="A4" s="311"/>
      <c r="B4" s="311"/>
      <c r="C4" s="311"/>
      <c r="D4" s="312"/>
      <c r="E4" s="311"/>
      <c r="F4" s="311"/>
      <c r="J4" s="503" t="s">
        <v>683</v>
      </c>
    </row>
    <row r="5" spans="1:10" ht="15.75">
      <c r="A5" s="502" t="s">
        <v>679</v>
      </c>
      <c r="B5" s="607" t="s">
        <v>801</v>
      </c>
      <c r="C5" s="311"/>
      <c r="D5" s="312"/>
      <c r="E5" s="311"/>
      <c r="F5" s="311"/>
      <c r="J5" s="503" t="s">
        <v>684</v>
      </c>
    </row>
    <row r="6" spans="1:10" ht="15.75">
      <c r="A6" s="311"/>
      <c r="B6" s="311"/>
      <c r="C6" s="311"/>
      <c r="D6" s="312"/>
      <c r="E6" s="311"/>
      <c r="F6" s="311"/>
      <c r="J6" s="503" t="s">
        <v>685</v>
      </c>
    </row>
    <row r="7" spans="1:10" ht="15.75">
      <c r="A7" s="313" t="s">
        <v>297</v>
      </c>
      <c r="B7" s="608"/>
      <c r="C7" s="314"/>
      <c r="D7" s="313" t="s">
        <v>677</v>
      </c>
      <c r="E7" s="311"/>
      <c r="F7" s="311"/>
      <c r="J7" s="503" t="s">
        <v>686</v>
      </c>
    </row>
    <row r="8" spans="1:10" ht="15.75">
      <c r="A8" s="313"/>
      <c r="B8" s="315"/>
      <c r="C8" s="316"/>
      <c r="D8" s="504">
        <f>IF(B7="","",CONCATENATE("Latest date for notice to be published in your newspaper: ",G18," ",G22,", ",G23))</f>
      </c>
      <c r="E8" s="311"/>
      <c r="F8" s="311"/>
      <c r="J8" s="503" t="s">
        <v>687</v>
      </c>
    </row>
    <row r="9" spans="1:10" ht="15.75">
      <c r="A9" s="313" t="s">
        <v>298</v>
      </c>
      <c r="B9" s="608"/>
      <c r="C9" s="317"/>
      <c r="D9" s="313"/>
      <c r="E9" s="311"/>
      <c r="F9" s="311"/>
      <c r="J9" s="503" t="s">
        <v>688</v>
      </c>
    </row>
    <row r="10" spans="1:10" ht="15.75">
      <c r="A10" s="313"/>
      <c r="B10" s="313"/>
      <c r="C10" s="313"/>
      <c r="D10" s="313"/>
      <c r="E10" s="311"/>
      <c r="F10" s="311"/>
      <c r="J10" s="503" t="s">
        <v>689</v>
      </c>
    </row>
    <row r="11" spans="1:10" ht="15.75">
      <c r="A11" s="313" t="s">
        <v>299</v>
      </c>
      <c r="B11" s="609"/>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802</v>
      </c>
      <c r="C14" s="610"/>
      <c r="D14" s="610"/>
      <c r="E14" s="611"/>
      <c r="F14" s="311"/>
    </row>
    <row r="17" spans="1:6" ht="15.75">
      <c r="A17" s="683" t="s">
        <v>301</v>
      </c>
      <c r="B17" s="683"/>
      <c r="C17" s="313"/>
      <c r="D17" s="313"/>
      <c r="E17" s="313"/>
      <c r="F17" s="311"/>
    </row>
    <row r="18" spans="1:7" ht="15.75">
      <c r="A18" s="313"/>
      <c r="B18" s="313"/>
      <c r="C18" s="313"/>
      <c r="D18" s="313"/>
      <c r="E18" s="313"/>
      <c r="F18" s="311"/>
      <c r="G18" s="503">
        <f ca="1">IF(B7="","",INDIRECT(G19))</f>
      </c>
    </row>
    <row r="19" spans="1:7" ht="15.75">
      <c r="A19" s="313" t="s">
        <v>297</v>
      </c>
      <c r="B19" s="315" t="s">
        <v>302</v>
      </c>
      <c r="C19" s="313"/>
      <c r="D19" s="313"/>
      <c r="E19" s="313"/>
      <c r="G19" s="505">
        <f>IF(B7="","",CONCATENATE("J",G21))</f>
      </c>
    </row>
    <row r="20" spans="1:7" ht="15.75">
      <c r="A20" s="313"/>
      <c r="B20" s="313"/>
      <c r="C20" s="313"/>
      <c r="D20" s="313"/>
      <c r="E20" s="313"/>
      <c r="G20" s="506">
        <f>B7-10</f>
        <v>-10</v>
      </c>
    </row>
    <row r="21" spans="1:7" ht="15.75">
      <c r="A21" s="313" t="s">
        <v>298</v>
      </c>
      <c r="B21" s="313" t="s">
        <v>303</v>
      </c>
      <c r="C21" s="313"/>
      <c r="D21" s="313"/>
      <c r="E21" s="313"/>
      <c r="G21" s="507">
        <f>IF(B7="","",MONTH(G20))</f>
      </c>
    </row>
    <row r="22" spans="1:7" ht="15.75">
      <c r="A22" s="313"/>
      <c r="B22" s="313"/>
      <c r="C22" s="313"/>
      <c r="D22" s="313"/>
      <c r="E22" s="313"/>
      <c r="G22" s="508">
        <f>IF(B7="","",DAY(G20))</f>
      </c>
    </row>
    <row r="23" spans="1:7" ht="15.75">
      <c r="A23" s="313" t="s">
        <v>299</v>
      </c>
      <c r="B23" s="313" t="s">
        <v>305</v>
      </c>
      <c r="C23" s="313"/>
      <c r="D23" s="313"/>
      <c r="E23" s="313"/>
      <c r="G23" s="509">
        <f>IF(B7="","",YEAR(G20))</f>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7">
      <selection activeCell="A36" sqref="A36"/>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Anderson County, State of Kansas</v>
      </c>
      <c r="B4" s="688"/>
      <c r="C4" s="688"/>
      <c r="D4" s="688"/>
      <c r="E4" s="688"/>
      <c r="F4" s="688"/>
      <c r="G4" s="688"/>
    </row>
    <row r="5" spans="1:7" ht="15.75">
      <c r="A5" s="78" t="s">
        <v>138</v>
      </c>
      <c r="B5" s="9"/>
      <c r="C5" s="9"/>
      <c r="D5" s="9"/>
      <c r="E5" s="9"/>
      <c r="F5" s="9"/>
      <c r="G5" s="9"/>
    </row>
    <row r="6" spans="1:7" ht="15.75">
      <c r="A6" s="668" t="str">
        <f>inputPrYr!D3</f>
        <v>Springfield #7</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5600</v>
      </c>
      <c r="F23" s="522">
        <f>IF(gen!$E$68&lt;&gt;0,gen!$E$68,"  ")</f>
        <v>5775</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t="str">
        <f>IF((inputPrYr!$B$30&gt;" "),(NonBud!$A$3),"")</f>
        <v>Non-Budgeted Funds</v>
      </c>
      <c r="B29" s="106"/>
      <c r="C29" s="84"/>
      <c r="D29" s="101">
        <f>IF(NonBud!F33&gt;0,NonBud!F33,"")</f>
        <v>7</v>
      </c>
      <c r="E29" s="525"/>
      <c r="F29" s="526"/>
      <c r="G29" s="527"/>
    </row>
    <row r="30" spans="1:7" ht="15.75">
      <c r="A30" s="108" t="s">
        <v>125</v>
      </c>
      <c r="B30" s="52"/>
      <c r="C30" s="97"/>
      <c r="D30" s="109" t="s">
        <v>28</v>
      </c>
      <c r="E30" s="528">
        <f>SUM(E23:E28)</f>
        <v>5600</v>
      </c>
      <c r="F30" s="529">
        <f>SUM(F23:F28)</f>
        <v>5775</v>
      </c>
      <c r="G30" s="530">
        <f>IF(SUM(G23:G28)=0,"",SUM(G23:G28))</f>
      </c>
    </row>
    <row r="31" spans="1:7" ht="15.75">
      <c r="A31" s="100" t="s">
        <v>182</v>
      </c>
      <c r="B31" s="52"/>
      <c r="C31" s="97"/>
      <c r="D31" s="112">
        <f>summ!E41</f>
        <v>8</v>
      </c>
      <c r="E31" s="633" t="s">
        <v>769</v>
      </c>
      <c r="F31" s="352" t="str">
        <f>IF(F30&gt;1000,IF(F30&gt;computation!J41,"Yes","No"),"No")</f>
        <v>Yes</v>
      </c>
      <c r="G31" s="353" t="s">
        <v>127</v>
      </c>
    </row>
    <row r="32" spans="1:7" ht="15.75">
      <c r="A32" s="660" t="s">
        <v>197</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B1">
      <selection activeCell="B1" sqref="B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Springfield #7</v>
      </c>
      <c r="D1" s="3"/>
      <c r="E1" s="3"/>
      <c r="F1" s="3"/>
      <c r="G1" s="3"/>
      <c r="H1" s="3"/>
      <c r="I1" s="3"/>
      <c r="J1" s="3">
        <f>inputPrYr!D6</f>
        <v>2015</v>
      </c>
    </row>
    <row r="2" spans="1:10" ht="15.75" customHeight="1">
      <c r="A2" s="3"/>
      <c r="B2" s="3"/>
      <c r="C2" s="3" t="str">
        <f>inputPrYr!D4</f>
        <v>Anderson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1519</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1519</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12340</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60897</v>
      </c>
      <c r="F14" s="123"/>
      <c r="G14" s="22"/>
      <c r="H14" s="22"/>
      <c r="I14" s="617"/>
      <c r="J14" s="22"/>
    </row>
    <row r="15" spans="1:10" ht="15.75">
      <c r="A15" s="122"/>
      <c r="B15" s="3" t="s">
        <v>99</v>
      </c>
      <c r="C15" s="3" t="str">
        <f>CONCATENATE("Personal property ",J1-2,"")</f>
        <v>Personal property 2013</v>
      </c>
      <c r="D15" s="122" t="s">
        <v>95</v>
      </c>
      <c r="E15" s="26">
        <f>inputOth!E11</f>
        <v>66814</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31053</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43393</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2887354</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2843961</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0.015257944817105438</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23</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1542</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1542</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23</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1565</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Springfield #7</v>
      </c>
      <c r="C1" s="3"/>
      <c r="D1" s="3"/>
      <c r="E1" s="3"/>
      <c r="F1" s="3"/>
      <c r="G1" s="3"/>
      <c r="H1" s="3"/>
      <c r="I1" s="127"/>
      <c r="J1" s="3"/>
    </row>
    <row r="2" spans="1:10" ht="15.75">
      <c r="A2" s="3"/>
      <c r="B2" s="3" t="str">
        <f>inputPrYr!D4</f>
        <v>Anderson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1519</v>
      </c>
      <c r="D11" s="104">
        <f>IF(E17=0,0,E17-D12-D13-D14)</f>
        <v>124</v>
      </c>
      <c r="E11" s="104">
        <f>IF(E19=0,0,E19-E12-E13-E14)</f>
        <v>3</v>
      </c>
      <c r="F11" s="104">
        <f>IF(E21=0,0,E21-F12-F13-F14)</f>
        <v>38</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1519</v>
      </c>
      <c r="D15" s="111">
        <f>SUM(D11:D14)</f>
        <v>124</v>
      </c>
      <c r="E15" s="111">
        <f>SUM(E11:E14)</f>
        <v>3</v>
      </c>
      <c r="F15" s="175">
        <f>SUM(F11:F14)</f>
        <v>38</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124</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3</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38</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0.08163265306122448</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0.0019749835418038184</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0.025016458196181698</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7">
      <selection activeCell="D11" sqref="D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Springfield #7</v>
      </c>
      <c r="B2" s="137"/>
      <c r="C2" s="3"/>
      <c r="D2" s="3"/>
      <c r="E2" s="127"/>
      <c r="F2" s="3"/>
    </row>
    <row r="3" spans="1:6" ht="15.75">
      <c r="A3" s="137" t="str">
        <f>inputPrYr!D4</f>
        <v>Anderson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803</v>
      </c>
      <c r="B10" s="144" t="s">
        <v>799</v>
      </c>
      <c r="C10" s="145">
        <v>1275</v>
      </c>
      <c r="D10" s="145">
        <v>800</v>
      </c>
      <c r="E10" s="145"/>
      <c r="F10" s="144" t="s">
        <v>804</v>
      </c>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1275</v>
      </c>
      <c r="D24" s="148">
        <f>SUM(D10:D23)</f>
        <v>800</v>
      </c>
      <c r="E24" s="148">
        <f>SUM(E10:E23)</f>
        <v>0</v>
      </c>
      <c r="F24" s="149"/>
      <c r="G24" s="46"/>
    </row>
    <row r="25" spans="1:7" ht="15.75">
      <c r="A25" s="15"/>
      <c r="B25" s="150" t="s">
        <v>522</v>
      </c>
      <c r="C25" s="151"/>
      <c r="D25" s="152"/>
      <c r="E25" s="152"/>
      <c r="F25" s="149"/>
      <c r="G25" s="46"/>
    </row>
    <row r="26" spans="1:7" ht="15.75">
      <c r="A26" s="15"/>
      <c r="B26" s="147" t="s">
        <v>148</v>
      </c>
      <c r="C26" s="148">
        <f>C24</f>
        <v>1275</v>
      </c>
      <c r="D26" s="148">
        <f>SUM(D24-D25)</f>
        <v>800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2014-10-11T19:25:32Z</cp:lastPrinted>
  <dcterms:created xsi:type="dcterms:W3CDTF">1999-08-06T13:59:57Z</dcterms:created>
  <dcterms:modified xsi:type="dcterms:W3CDTF">2015-01-03T16:47:50Z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