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<sst xmlns="http://schemas.openxmlformats.org/spreadsheetml/2006/main" count="1186" uniqueCount="809">
  <si>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</si>
  <si>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</si>
  <si>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</si>
  <si>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</si>
  <si>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</si>
  <si>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</si>
  <si>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</si>
  <si>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</si>
  <si>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</si>
  <si>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</si>
  <si>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</si>
  <si>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</si>
  <si>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</si>
  <si>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</si>
  <si>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</si>
  <si>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</si>
  <si>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</si>
  <si>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</si>
  <si>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</si>
  <si>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</si>
  <si>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</si>
  <si>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</si>
  <si>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</si>
  <si>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</si>
  <si>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</si>
  <si>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</si>
  <si>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</si>
  <si>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</si>
  <si>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</si>
  <si>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</si>
  <si>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</si>
  <si>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</si>
  <si>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</si>
  <si>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</si>
  <si>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</si>
  <si>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</si>
  <si>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</si>
  <si>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</si>
  <si>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</si>
  <si>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</si>
  <si>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</si>
  <si>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</si>
  <si>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</si>
  <si>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</si>
  <si>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</si>
  <si>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</si>
  <si>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</si>
  <si>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</si>
  <si>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</si>
  <si>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</si>
  <si>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</si>
  <si>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</si>
  <si>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</si>
  <si>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</si>
  <si>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</si>
  <si>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</si>
  <si>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</si>
  <si>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</si>
  <si>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</si>
  <si>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</si>
  <si>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</si>
  <si>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</si>
  <si>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</si>
  <si>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</si>
  <si>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</si>
  <si>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</si>
  <si>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</si>
  <si>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</si>
  <si>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</si>
  <si>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</si>
  <si>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</si>
  <si>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</si>
  <si>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</si>
  <si>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</si>
  <si>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</si>
  <si>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</si>
  <si>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</si>
  <si>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</si>
  <si>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</si>
  <si>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</si>
  <si>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</si>
  <si>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</si>
  <si>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</si>
  <si>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</si>
  <si>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</si>
  <si>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</si>
  <si>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</si>
  <si>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</si>
  <si>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</si>
  <si>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</si>
  <si>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</si>
  <si>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</si>
  <si>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</si>
  <si>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</si>
  <si>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</si>
  <si>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</si>
  <si>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</si>
  <si>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</si>
  <si>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</si>
  <si>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</si>
  <si>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</si>
  <si>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</si>
  <si>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</si>
  <si>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</si>
  <si>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</si>
  <si>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</si>
  <si>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</si>
  <si>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</si>
  <si>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</si>
  <si>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</si>
  <si>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</si>
  <si>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</si>
  <si>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</si>
  <si>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</si>
  <si>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</si>
  <si>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</si>
  <si>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</si>
  <si>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</si>
  <si>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</si>
  <si>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</si>
  <si>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</si>
  <si>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</si>
  <si>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</si>
  <si>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</si>
  <si>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</si>
  <si>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</si>
  <si>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</si>
  <si>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</si>
  <si>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</si>
  <si>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</si>
  <si>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</si>
  <si>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</si>
  <si>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</si>
  <si>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</si>
  <si>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</si>
  <si>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</si>
  <si>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</si>
  <si>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</si>
  <si>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</si>
  <si>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</si>
  <si>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</si>
  <si>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</si>
  <si>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</si>
  <si>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</si>
  <si>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</si>
  <si>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</si>
  <si>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</si>
  <si>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</si>
  <si>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</si>
  <si>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</si>
  <si>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</si>
  <si>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</si>
  <si>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</si>
  <si>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</si>
  <si>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</si>
  <si>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</si>
  <si>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</si>
  <si>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</si>
  <si>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</si>
  <si>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</si>
  <si>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</si>
  <si>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</si>
  <si>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</si>
  <si>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</si>
  <si>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</si>
  <si>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</si>
  <si>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</si>
  <si>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</si>
  <si>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</si>
  <si>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</si>
  <si>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</si>
  <si>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</si>
  <si>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</si>
  <si>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</si>
  <si>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</si>
  <si>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</si>
  <si>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</si>
  <si>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</si>
  <si>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</si>
  <si>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</si>
  <si>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</si>
  <si>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</si>
  <si>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</si>
  <si>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</si>
  <si>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</si>
  <si>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</si>
  <si>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</si>
  <si>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</si>
  <si>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</si>
  <si>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</si>
  <si>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</si>
  <si>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</si>
  <si>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</si>
  <si>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</si>
  <si>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</si>
  <si>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</si>
  <si>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</si>
  <si>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</si>
  <si>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</si>
  <si>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</si>
  <si>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</si>
  <si>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</si>
  <si>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</si>
  <si>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</si>
  <si>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</si>
  <si>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</si>
  <si>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</si>
  <si>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</si>
  <si>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</si>
  <si>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</si>
  <si>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</si>
  <si>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</si>
  <si>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</si>
  <si>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</si>
  <si>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</si>
  <si>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</si>
  <si>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</si>
  <si>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</si>
  <si>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</si>
  <si>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</si>
  <si>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</si>
  <si>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</si>
  <si>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</si>
  <si>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</si>
  <si>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</si>
  <si>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</si>
  <si>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</si>
  <si>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</si>
  <si>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</si>
  <si>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</si>
  <si>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</si>
  <si>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</si>
  <si>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</si>
  <si>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</si>
  <si>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</si>
  <si>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</si>
  <si>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</si>
  <si>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</si>
  <si>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</si>
  <si>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</si>
  <si>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</si>
  <si>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</si>
  <si>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</si>
  <si>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</si>
  <si>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</si>
  <si>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</si>
  <si>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</si>
  <si>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</si>
  <si>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</si>
  <si>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</si>
  <si>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</si>
  <si>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</si>
  <si>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</si>
  <si>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</si>
  <si>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</si>
  <si>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</si>
  <si>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</si>
  <si>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</si>
  <si>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</si>
  <si>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</si>
  <si>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</si>
  <si>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</si>
  <si>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</si>
  <si>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</si>
  <si>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</si>
  <si>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</si>
  <si>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</si>
  <si>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</si>
  <si>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</si>
  <si>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</si>
  <si>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</si>
  <si>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</si>
  <si>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</si>
  <si>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</si>
  <si>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</si>
  <si>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</si>
  <si>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</si>
  <si>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</si>
  <si>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</si>
  <si>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</si>
  <si>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</si>
  <si>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</si>
  <si>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</si>
  <si>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</si>
  <si>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</si>
  <si>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</si>
  <si>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</si>
  <si>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</si>
  <si>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</si>
  <si>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</si>
  <si>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</si>
  <si>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</si>
  <si>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</si>
  <si>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</si>
  <si>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</si>
  <si>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</si>
  <si>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</si>
  <si>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</si>
  <si>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</si>
  <si>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</si>
  <si>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</si>
  <si>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</si>
  <si>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</si>
  <si>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</si>
  <si>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</si>
  <si>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</si>
  <si>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</si>
  <si>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</si>
  <si>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</si>
  <si>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</si>
  <si>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</si>
  <si>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</si>
  <si>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</si>
  <si>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</si>
  <si>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</si>
  <si>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</si>
  <si>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</si>
  <si>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</si>
  <si>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</si>
  <si>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</si>
  <si>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</si>
  <si>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</si>
  <si>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</si>
  <si>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</si>
  <si>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</si>
  <si>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</si>
  <si>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</si>
  <si>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</si>
  <si>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</si>
  <si>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</si>
  <si>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</si>
  <si>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</si>
  <si>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</si>
  <si>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</si>
  <si>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</si>
  <si>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</si>
  <si>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</si>
  <si>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</si>
  <si>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</si>
  <si>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</si>
  <si>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</si>
  <si>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</si>
  <si>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</si>
  <si>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</si>
  <si>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</si>
  <si>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</si>
  <si>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</si>
  <si>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</si>
  <si>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</si>
  <si>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</si>
  <si>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</si>
  <si>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</si>
  <si>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</si>
  <si>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</si>
  <si>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</si>
  <si>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</si>
  <si>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</si>
  <si>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</si>
  <si>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</si>
  <si>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</si>
  <si>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</si>
  <si>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</si>
  <si>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</si>
  <si>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</si>
  <si>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</si>
  <si>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</si>
  <si>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</si>
  <si>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</si>
  <si>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</si>
  <si>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</si>
  <si>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</si>
  <si>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</si>
  <si>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</si>
  <si>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</si>
  <si>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</si>
  <si>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</si>
  <si>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</si>
  <si>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</si>
  <si>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</si>
  <si>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</si>
  <si>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</si>
  <si>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</si>
  <si>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</si>
  <si>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</si>
  <si>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</si>
  <si>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</si>
  <si>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</si>
  <si>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</si>
  <si>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</si>
  <si>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</si>
  <si>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</si>
  <si>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</si>
  <si>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</si>
  <si>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</si>
  <si>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</si>
  <si>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</si>
  <si>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</si>
  <si>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</si>
  <si>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</si>
  <si>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</si>
  <si>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</si>
  <si>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</si>
  <si>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</si>
  <si>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</si>
  <si>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</si>
  <si>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</si>
  <si>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</si>
  <si>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</si>
  <si>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</si>
  <si>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</si>
  <si>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</si>
  <si>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</si>
  <si>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</si>
  <si>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</si>
  <si>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</si>
  <si>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</si>
  <si>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</si>
  <si>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</si>
  <si>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</si>
  <si>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</si>
  <si>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</si>
  <si>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</si>
  <si>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</si>
  <si>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</si>
  <si>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</si>
  <si>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</si>
  <si>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</si>
  <si>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</si>
  <si>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</si>
  <si>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</si>
  <si>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</si>
  <si>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</si>
  <si>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</si>
  <si>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</si>
  <si>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</si>
  <si>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</si>
  <si>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</si>
  <si>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</si>
  <si>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</si>
  <si>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</si>
  <si>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</si>
  <si>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</si>
  <si>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</si>
  <si>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</si>
  <si>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</si>
  <si>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</si>
  <si>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</si>
  <si>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</si>
  <si>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</si>
  <si>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</si>
  <si>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</si>
  <si>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</si>
  <si>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</si>
  <si>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</si>
  <si>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</si>
  <si>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</si>
  <si>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</si>
  <si>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</si>
  <si>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</si>
  <si>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</si>
  <si>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</si>
  <si>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</si>
  <si>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</si>
  <si>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</si>
  <si>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</si>
  <si>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</si>
  <si>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</si>
  <si>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</si>
  <si>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</si>
  <si>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</si>
  <si>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</si>
  <si>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</si>
  <si>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</si>
  <si>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</si>
  <si>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</si>
  <si>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</si>
  <si>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</si>
  <si>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</si>
  <si>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</si>
  <si>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</si>
  <si>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</si>
  <si>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</si>
  <si>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</si>
  <si>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</si>
  <si>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</si>
  <si>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</si>
  <si>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</si>
  <si>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</si>
  <si>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</si>
  <si>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</si>
  <si>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</si>
  <si>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</si>
  <si>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</si>
  <si>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</si>
  <si>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</si>
  <si>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</si>
  <si>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</si>
  <si>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</si>
  <si>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</si>
  <si>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</si>
  <si>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</si>
  <si>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</si>
  <si>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</si>
  <si>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</si>
  <si>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</si>
  <si>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</si>
  <si>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</si>
  <si>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</si>
  <si>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</si>
  <si>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</si>
  <si>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</si>
  <si>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</si>
  <si>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</si>
  <si>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</si>
  <si>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</si>
  <si>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</si>
  <si>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</si>
  <si>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</si>
  <si>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</si>
  <si>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</si>
  <si>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</si>
  <si>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</si>
  <si>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</si>
  <si>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</si>
  <si>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</si>
  <si>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</si>
  <si>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</si>
  <si>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</si>
  <si>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</si>
  <si>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</si>
  <si>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</si>
  <si>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</si>
  <si>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</si>
  <si>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</si>
  <si>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</si>
  <si>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</si>
  <si>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</si>
  <si>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</si>
  <si>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</si>
  <si>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</si>
  <si>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</si>
  <si>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</si>
  <si>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</si>
  <si>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</si>
  <si>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</si>
  <si>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</si>
  <si>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</si>
  <si>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</si>
  <si>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</si>
  <si>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</si>
  <si>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</si>
  <si>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</si>
  <si>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</si>
  <si>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</si>
  <si>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</si>
  <si>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</si>
  <si>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</si>
  <si>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</si>
  <si>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</si>
  <si>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</si>
  <si>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</si>
  <si>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</si>
  <si>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</si>
  <si>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</si>
  <si>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</si>
  <si>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</si>
  <si>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</si>
  <si>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</si>
  <si>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</si>
  <si>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</si>
  <si>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</si>
  <si>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</si>
  <si>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</si>
  <si>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</si>
  <si>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</si>
  <si>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</si>
  <si>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</si>
  <si>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</si>
  <si>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</si>
  <si>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</si>
  <si>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</si>
  <si>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</si>
  <si>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</si>
  <si>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</si>
  <si>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</si>
  <si>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</si>
  <si>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</si>
  <si>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</si>
  <si>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</si>
  <si>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</si>
  <si>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</si>
  <si>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</si>
  <si>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</si>
  <si>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</si>
  <si>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</si>
  <si>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</si>
  <si>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</si>
  <si>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</si>
  <si>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</si>
  <si>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</si>
  <si>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</si>
  <si>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</si>
  <si>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</si>
  <si>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</si>
  <si>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</si>
  <si>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</si>
  <si>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</si>
  <si>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</si>
  <si>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</si>
  <si>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</si>
  <si>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</si>
  <si>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</si>
  <si>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</si>
  <si>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</si>
  <si>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</si>
  <si>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</si>
  <si>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</si>
  <si>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</si>
  <si>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</si>
  <si>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</si>
  <si>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</si>
  <si>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</si>
  <si>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</si>
  <si>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</si>
  <si>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</si>
  <si>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</si>
  <si>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</si>
  <si>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</si>
  <si>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</si>
  <si>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</si>
  <si>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</si>
  <si>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</si>
  <si>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</si>
  <si>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</si>
  <si>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</si>
  <si>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</si>
  <si>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</si>
  <si>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</si>
  <si>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</si>
  <si>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</si>
  <si>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</si>
  <si>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</si>
  <si>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</si>
  <si>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</si>
  <si>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</si>
  <si>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</si>
  <si>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</si>
  <si>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</si>
  <si>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</si>
  <si>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</si>
  <si>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</si>
  <si>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</si>
  <si>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</si>
  <si>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</si>
  <si>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</si>
  <si>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</si>
  <si>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</si>
  <si>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</si>
  <si>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</si>
  <si>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</si>
  <si>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</si>
  <si>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</si>
  <si>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</si>
  <si>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</si>
  <si>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</si>
  <si>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</si>
  <si>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</si>
  <si>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</si>
  <si>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</si>
  <si>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</si>
  <si>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</si>
  <si>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</si>
  <si>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</si>
  <si>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</si>
  <si>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</si>
  <si>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</si>
  <si>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</si>
  <si>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</si>
  <si>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</si>
  <si>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</si>
  <si>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</si>
  <si>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</si>
  <si>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</si>
  <si>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</si>
  <si>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</si>
  <si>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</si>
  <si>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</si>
  <si>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</si>
  <si>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</si>
  <si>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</si>
  <si>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</si>
  <si>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</si>
  <si>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</si>
  <si>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</si>
  <si>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</si>
  <si>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</si>
  <si>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</si>
  <si>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</si>
  <si>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</si>
  <si>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</si>
  <si>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</si>
  <si>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</si>
  <si>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</si>
  <si>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</si>
  <si>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</si>
  <si>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</si>
  <si>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</si>
  <si>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</si>
  <si>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</si>
  <si>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</si>
  <si>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</si>
  <si>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</si>
  <si>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</si>
  <si>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</si>
  <si>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</si>
  <si>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</si>
  <si>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</si>
  <si>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</si>
  <si>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</si>
  <si>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</si>
  <si>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</si>
  <si>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</si>
  <si>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</si>
  <si>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</si>
  <si>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</si>
  <si>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</si>
  <si>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</si>
  <si>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</si>
  <si>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</si>
  <si>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</si>
  <si>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</si>
  <si>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</si>
  <si>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</si>
  <si>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</si>
  <si>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</si>
  <si>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</si>
  <si>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</si>
  <si>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</si>
  <si>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</si>
  <si>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</si>
  <si>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</si>
  <si>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</si>
  <si>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</si>
  <si>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</si>
  <si>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</si>
  <si>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</si>
  <si>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</si>
  <si>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</si>
  <si>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</si>
  <si>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</si>
  <si>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</si>
  <si>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</si>
  <si>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</si>
  <si>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</si>
  <si>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</si>
  <si>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</si>
  <si>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</si>
  <si>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</si>
  <si>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</si>
  <si>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</si>
  <si>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</si>
  <si>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</si>
  <si>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</si>
  <si>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</si>
  <si>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</si>
  <si>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</si>
  <si>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</si>
  <si>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</si>
  <si>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</si>
  <si>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</si>
  <si>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</si>
  <si>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</si>
  <si>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</si>
  <si>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</si>
  <si>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</si>
  <si>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</si>
  <si>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</si>
  <si>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</si>
  <si>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</si>
  <si>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</si>
  <si>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</si>
  <si>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</si>
  <si>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</si>
  <si>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</si>
  <si>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</si>
  <si>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</si>
  <si>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</si>
  <si>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</si>
  <si>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</si>
  <si>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</si>
  <si>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</si>
  <si>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</si>
  <si>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</si>
  <si>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xxxxxxxxxxxxxx</t>
  </si>
  <si>
    <t>Wilson County</t>
  </si>
  <si>
    <t>17-1330</t>
  </si>
  <si>
    <t>Joseph M Bambick, CPA</t>
  </si>
  <si>
    <t>PO Box 515</t>
  </si>
  <si>
    <t>Fredonia, KS  66736</t>
  </si>
  <si>
    <t>joebambick@twinmounds.com</t>
  </si>
  <si>
    <t>Shelley Cemetery District #40</t>
  </si>
  <si>
    <t>Mowing</t>
  </si>
  <si>
    <t>Budget Preparation and Publication</t>
  </si>
  <si>
    <t>Operations</t>
  </si>
  <si>
    <t>Officer</t>
  </si>
  <si>
    <t>August 18, 2014</t>
  </si>
  <si>
    <t>7:00 p.m.</t>
  </si>
  <si>
    <t>Terry Pendleton's residence</t>
  </si>
  <si>
    <t>None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</si>
</sst>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12" fillId="22" borderId="14" xfId="70" applyFill="1" applyBorder="1" applyAlignment="1" applyProtection="1">
      <alignment horizontal="left" vertical="center"/>
      <protection locked="0"/>
    </xf>
    <xf numFmtId="1" fontId="4" fillId="22" borderId="2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Shelley Cemetery District #40</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808</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808</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808</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3">
      <selection activeCell="E39" sqref="E39"/>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Shelley Cemetery District #40</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2580</v>
      </c>
      <c r="D7" s="342">
        <f>C62</f>
        <v>2753</v>
      </c>
      <c r="E7" s="30">
        <f>D62</f>
        <v>2428</v>
      </c>
    </row>
    <row r="8" spans="2:5" ht="15.75">
      <c r="B8" s="198" t="s">
        <v>117</v>
      </c>
      <c r="C8" s="199"/>
      <c r="D8" s="199"/>
      <c r="E8" s="104"/>
    </row>
    <row r="9" spans="2:5" ht="15.75">
      <c r="B9" s="100" t="s">
        <v>33</v>
      </c>
      <c r="C9" s="335">
        <v>1765</v>
      </c>
      <c r="D9" s="342">
        <f>IF(inputPrYr!H18&gt;0,inputPrYr!G19,inputPrYr!E19)</f>
        <v>1819</v>
      </c>
      <c r="E9" s="109" t="s">
        <v>28</v>
      </c>
    </row>
    <row r="10" spans="2:5" ht="15.75">
      <c r="B10" s="100" t="s">
        <v>34</v>
      </c>
      <c r="C10" s="335">
        <v>21</v>
      </c>
      <c r="D10" s="335">
        <v>0</v>
      </c>
      <c r="E10" s="20">
        <v>0</v>
      </c>
    </row>
    <row r="11" spans="2:5" ht="15.75">
      <c r="B11" s="100" t="s">
        <v>35</v>
      </c>
      <c r="C11" s="335">
        <v>247</v>
      </c>
      <c r="D11" s="335">
        <v>239</v>
      </c>
      <c r="E11" s="30">
        <f>mvalloc!D11</f>
        <v>244</v>
      </c>
    </row>
    <row r="12" spans="2:5" ht="15.75">
      <c r="B12" s="100" t="s">
        <v>36</v>
      </c>
      <c r="C12" s="335">
        <v>5</v>
      </c>
      <c r="D12" s="335">
        <v>8</v>
      </c>
      <c r="E12" s="30">
        <f>mvalloc!E11</f>
        <v>5</v>
      </c>
    </row>
    <row r="13" spans="2:5" ht="15.75">
      <c r="B13" s="199" t="s">
        <v>108</v>
      </c>
      <c r="C13" s="335">
        <v>2</v>
      </c>
      <c r="D13" s="335">
        <v>2</v>
      </c>
      <c r="E13" s="30">
        <f>mvalloc!F11</f>
        <v>2</v>
      </c>
    </row>
    <row r="14" spans="2:5" ht="15.75">
      <c r="B14" s="199" t="s">
        <v>139</v>
      </c>
      <c r="C14" s="335">
        <v>0</v>
      </c>
      <c r="D14" s="335">
        <v>0</v>
      </c>
      <c r="E14" s="30">
        <f>inputOth!E30</f>
        <v>0</v>
      </c>
    </row>
    <row r="15" spans="2:5" ht="15.75">
      <c r="B15" s="200"/>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662">
        <v>0</v>
      </c>
      <c r="D30" s="662">
        <v>0</v>
      </c>
      <c r="E30" s="189">
        <v>0</v>
      </c>
    </row>
    <row r="31" spans="2:5" ht="15.75">
      <c r="B31" s="202" t="s">
        <v>193</v>
      </c>
      <c r="C31" s="662">
        <v>0</v>
      </c>
      <c r="D31" s="662">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2040</v>
      </c>
      <c r="D33" s="337">
        <f>SUM(D9:D31)</f>
        <v>2068</v>
      </c>
      <c r="E33" s="206">
        <f>SUM(E9:E31)</f>
        <v>251</v>
      </c>
    </row>
    <row r="34" spans="2:5" ht="15.75">
      <c r="B34" s="205" t="s">
        <v>39</v>
      </c>
      <c r="C34" s="337">
        <f>C7+C33</f>
        <v>4620</v>
      </c>
      <c r="D34" s="337">
        <f>D7+D33</f>
        <v>4821</v>
      </c>
      <c r="E34" s="206">
        <f>E7+E33</f>
        <v>2679</v>
      </c>
    </row>
    <row r="35" spans="2:5" ht="15.75">
      <c r="B35" s="100" t="s">
        <v>40</v>
      </c>
      <c r="C35" s="102"/>
      <c r="D35" s="102"/>
      <c r="E35" s="21"/>
    </row>
    <row r="36" spans="2:5" ht="15.75">
      <c r="B36" s="200" t="s">
        <v>801</v>
      </c>
      <c r="C36" s="335">
        <v>900</v>
      </c>
      <c r="D36" s="335">
        <v>1250</v>
      </c>
      <c r="E36" s="20">
        <v>1500</v>
      </c>
    </row>
    <row r="37" spans="2:5" ht="15.75">
      <c r="B37" s="200" t="s">
        <v>802</v>
      </c>
      <c r="C37" s="335">
        <v>117</v>
      </c>
      <c r="D37" s="335">
        <v>123</v>
      </c>
      <c r="E37" s="20">
        <v>150</v>
      </c>
    </row>
    <row r="38" spans="2:5" ht="15.75">
      <c r="B38" s="200" t="s">
        <v>803</v>
      </c>
      <c r="C38" s="335">
        <v>850</v>
      </c>
      <c r="D38" s="335">
        <v>1020</v>
      </c>
      <c r="E38" s="20">
        <v>2885</v>
      </c>
    </row>
    <row r="39" spans="2:5" ht="15.75">
      <c r="B39" s="200"/>
      <c r="C39" s="335"/>
      <c r="D39" s="335"/>
      <c r="E39" s="20"/>
    </row>
    <row r="40" spans="2:5" ht="15.75">
      <c r="B40" s="200"/>
      <c r="C40" s="335"/>
      <c r="D40" s="335"/>
      <c r="E40" s="20"/>
    </row>
    <row r="41" spans="2:5" ht="15.75">
      <c r="B41" s="200"/>
      <c r="C41" s="335"/>
      <c r="D41" s="335"/>
      <c r="E41" s="20"/>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2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175">
        <f>Nhood!E7</f>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1867</v>
      </c>
      <c r="D61" s="337">
        <f>SUM(D36:D59)</f>
        <v>2393</v>
      </c>
      <c r="E61" s="206">
        <f>SUM(E36:E59)</f>
        <v>4535</v>
      </c>
      <c r="F61" s="1"/>
      <c r="G61" s="456">
        <f>D62</f>
        <v>2428</v>
      </c>
      <c r="H61" s="455" t="str">
        <f>CONCATENATE("",E1-1," Ending Cash Balance (est.)")</f>
        <v>2014 Ending Cash Balance (est.)</v>
      </c>
      <c r="I61" s="548"/>
      <c r="J61" s="450"/>
      <c r="K61" s="1"/>
    </row>
    <row r="62" spans="2:11" ht="15.75">
      <c r="B62" s="100" t="s">
        <v>116</v>
      </c>
      <c r="C62" s="338">
        <f>C34-C61</f>
        <v>2753</v>
      </c>
      <c r="D62" s="338">
        <f>D34-D61</f>
        <v>2428</v>
      </c>
      <c r="E62" s="109" t="s">
        <v>28</v>
      </c>
      <c r="F62" s="1"/>
      <c r="G62" s="456">
        <f>E33</f>
        <v>251</v>
      </c>
      <c r="H62" s="449" t="str">
        <f>CONCATENATE("",E1," Non-AV Receipts (est.)")</f>
        <v>2015 Non-AV Receipts (est.)</v>
      </c>
      <c r="I62" s="548"/>
      <c r="J62" s="450"/>
      <c r="K62" s="1"/>
    </row>
    <row r="63" spans="2:11" ht="15.75">
      <c r="B63" s="2" t="str">
        <f>CONCATENATE("",E1-2,"/",E1-1,"/",E1," Budget Authority Amount:")</f>
        <v>2013/2014/2015 Budget Authority Amount:</v>
      </c>
      <c r="C63" s="215">
        <f>inputOth!B41</f>
        <v>4200</v>
      </c>
      <c r="D63" s="524">
        <f>inputPrYr!D19</f>
        <v>4250</v>
      </c>
      <c r="E63" s="30">
        <f>E61</f>
        <v>4535</v>
      </c>
      <c r="F63" s="223"/>
      <c r="G63" s="448">
        <f>IF(E67&gt;0,E66,E68)</f>
        <v>1856</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4535</v>
      </c>
      <c r="H64" s="449" t="str">
        <f>CONCATENATE("Total ",E1," Resources Available")</f>
        <v>Total 2015 Resources Available</v>
      </c>
      <c r="I64" s="548"/>
      <c r="J64" s="450"/>
      <c r="K64" s="1"/>
    </row>
    <row r="65" spans="2:11" ht="15.75">
      <c r="B65" s="354" t="str">
        <f>CONCATENATE(C81,"     ",D81)</f>
        <v>     </v>
      </c>
      <c r="C65" s="717" t="s">
        <v>627</v>
      </c>
      <c r="D65" s="718"/>
      <c r="E65" s="30">
        <f>E61+E64</f>
        <v>4535</v>
      </c>
      <c r="F65" s="1"/>
      <c r="G65" s="447"/>
      <c r="H65" s="449"/>
      <c r="I65" s="449"/>
      <c r="J65" s="450"/>
      <c r="K65" s="1"/>
    </row>
    <row r="66" spans="2:11" ht="15.75">
      <c r="B66" s="354" t="str">
        <f>CONCATENATE(C82,"     ",D82)</f>
        <v>     </v>
      </c>
      <c r="C66" s="460"/>
      <c r="D66" s="459" t="s">
        <v>628</v>
      </c>
      <c r="E66" s="27">
        <f>IF(E65-E34&gt;0,E65-E34,0)</f>
        <v>1856</v>
      </c>
      <c r="F66" s="1"/>
      <c r="G66" s="448">
        <f>ROUND(C61*0.05+C61,0)</f>
        <v>1960</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2575</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1856</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0.866</v>
      </c>
      <c r="H71" s="455" t="str">
        <f>CONCATENATE("",E1," Fund Mill Rate")</f>
        <v>2015 Fund Mill Rate</v>
      </c>
      <c r="I71" s="534"/>
      <c r="J71" s="553"/>
      <c r="K71" s="1"/>
    </row>
    <row r="72" spans="2:11" ht="15.75">
      <c r="B72" s="3"/>
      <c r="C72" s="3"/>
      <c r="D72" s="3"/>
      <c r="E72" s="3"/>
      <c r="F72" s="555"/>
      <c r="G72" s="556">
        <f>summ!E16</f>
        <v>0.861</v>
      </c>
      <c r="H72" s="455" t="str">
        <f>CONCATENATE("",E1-1," Fund Mill Rate")</f>
        <v>2014 Fund Mill Rate</v>
      </c>
      <c r="I72" s="534"/>
      <c r="J72" s="553"/>
      <c r="K72" s="1"/>
    </row>
    <row r="73" spans="2:11" ht="15.75">
      <c r="B73" s="3"/>
      <c r="C73" s="194"/>
      <c r="D73" s="194"/>
      <c r="E73" s="194"/>
      <c r="F73" s="539"/>
      <c r="G73" s="557">
        <f>summ!H23</f>
        <v>0.866</v>
      </c>
      <c r="H73" s="455" t="str">
        <f>CONCATENATE("Total ",E1," Mill Rate")</f>
        <v>Total 2015 Mill Rate</v>
      </c>
      <c r="I73" s="534"/>
      <c r="J73" s="553"/>
      <c r="K73" s="1"/>
    </row>
    <row r="74" spans="2:11" ht="15.75">
      <c r="B74" s="115"/>
      <c r="C74" s="3" t="s">
        <v>202</v>
      </c>
      <c r="D74" s="3"/>
      <c r="E74" s="3"/>
      <c r="F74" s="539"/>
      <c r="G74" s="556">
        <f>summ!E23</f>
        <v>0.861</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11.796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32"/>
    </row>
    <row r="2" spans="1:8" ht="15.75">
      <c r="A2" s="3"/>
      <c r="B2" s="3"/>
      <c r="C2" s="3"/>
      <c r="D2" s="3"/>
      <c r="E2" s="3"/>
      <c r="F2" s="3"/>
      <c r="G2" s="3"/>
      <c r="H2" s="3"/>
    </row>
    <row r="3" spans="1:9" ht="15.75">
      <c r="A3" s="735" t="s">
        <v>109</v>
      </c>
      <c r="B3" s="735"/>
      <c r="C3" s="735"/>
      <c r="D3" s="735"/>
      <c r="E3" s="735"/>
      <c r="F3" s="735"/>
      <c r="G3" s="735"/>
      <c r="H3" s="735"/>
      <c r="I3" s="37">
        <f>inputPrYr!D6</f>
        <v>2015</v>
      </c>
    </row>
    <row r="4" spans="1:8" ht="15.75">
      <c r="A4" s="670" t="str">
        <f>inputPrYr!D3</f>
        <v>Shelley Cemetery District #40</v>
      </c>
      <c r="B4" s="670"/>
      <c r="C4" s="670"/>
      <c r="D4" s="670"/>
      <c r="E4" s="670"/>
      <c r="F4" s="670"/>
      <c r="G4" s="670"/>
      <c r="H4" s="670"/>
    </row>
    <row r="5" spans="1:8" ht="15.75">
      <c r="A5" s="736" t="str">
        <f>inputPrYr!D4</f>
        <v>Wilson County</v>
      </c>
      <c r="B5" s="736"/>
      <c r="C5" s="736"/>
      <c r="D5" s="736"/>
      <c r="E5" s="736"/>
      <c r="F5" s="736"/>
      <c r="G5" s="736"/>
      <c r="H5" s="736"/>
    </row>
    <row r="6" spans="1:8" ht="15.75">
      <c r="A6" s="688" t="str">
        <f>CONCATENATE("will meet on ",inputBudSum!B7," at ",inputBudSum!B9," at ",inputBudSum!B11," for the purpose of hearing and")</f>
        <v>will meet on August 18, 2014 at 7:00 p.m. at Terry Pendleton's residence for the purpose of hearing and</v>
      </c>
      <c r="B6" s="688"/>
      <c r="C6" s="688"/>
      <c r="D6" s="688"/>
      <c r="E6" s="688"/>
      <c r="F6" s="688"/>
      <c r="G6" s="688"/>
      <c r="H6" s="688"/>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Terry Pendleton's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4" t="str">
        <f>CONCATENATE("Estimated Value Of One Mill For ",I3,"")</f>
        <v>Estimated Value Of One Mill For 2015</v>
      </c>
      <c r="K12" s="725"/>
      <c r="L12" s="725"/>
      <c r="M12" s="726"/>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33" t="str">
        <f>CONCATENATE("Amount of ",I3-1," Ad Valorem Tax")</f>
        <v>Amount of 2014 Ad Valorem Tax</v>
      </c>
      <c r="H14" s="265" t="s">
        <v>533</v>
      </c>
      <c r="J14" s="467" t="s">
        <v>634</v>
      </c>
      <c r="K14" s="468"/>
      <c r="L14" s="468"/>
      <c r="M14" s="469">
        <f>ROUND(F27/1000,0)</f>
        <v>2144</v>
      </c>
    </row>
    <row r="15" spans="1:13" ht="15.75">
      <c r="A15" s="141" t="s">
        <v>51</v>
      </c>
      <c r="B15" s="95" t="s">
        <v>52</v>
      </c>
      <c r="C15" s="266" t="s">
        <v>174</v>
      </c>
      <c r="D15" s="95" t="s">
        <v>52</v>
      </c>
      <c r="E15" s="266" t="s">
        <v>174</v>
      </c>
      <c r="F15" s="95" t="s">
        <v>528</v>
      </c>
      <c r="G15" s="734"/>
      <c r="H15" s="266" t="s">
        <v>174</v>
      </c>
      <c r="J15" s="1"/>
      <c r="K15" s="1"/>
      <c r="L15" s="1"/>
      <c r="M15" s="1"/>
    </row>
    <row r="16" spans="1:13" ht="15.75">
      <c r="A16" s="21" t="str">
        <f>inputPrYr!B19</f>
        <v>General</v>
      </c>
      <c r="B16" s="104">
        <f>IF(gen!$C$61&lt;&gt;0,gen!$C$61,"  ")</f>
        <v>1867</v>
      </c>
      <c r="C16" s="585">
        <f>IF(inputPrYr!D38&gt;0,inputPrYr!D38,"  ")</f>
        <v>0.857</v>
      </c>
      <c r="D16" s="524">
        <f>IF(gen!$D$61&lt;&gt;0,gen!$D$61,"  ")</f>
        <v>2393</v>
      </c>
      <c r="E16" s="588">
        <f>IF(inputOth!D16&gt;0,inputOth!D16,"  ")</f>
        <v>0.861</v>
      </c>
      <c r="F16" s="524">
        <f>IF(gen!$E$61&lt;&gt;0,gen!$E$61,"  ")</f>
        <v>4535</v>
      </c>
      <c r="G16" s="215">
        <f>IF(gen!$E$68&lt;&gt;0,gen!$E$68,"  ")</f>
        <v>1856</v>
      </c>
      <c r="H16" s="585">
        <f>IF(gen!E68&gt;0,ROUND(G16/$F$27*1000,3)," ")</f>
        <v>0.866</v>
      </c>
      <c r="J16" s="724" t="str">
        <f>CONCATENATE("Want The Mill Rate The Same As For ",I3-1,"?")</f>
        <v>Want The Mill Rate The Same As For 2014?</v>
      </c>
      <c r="K16" s="727"/>
      <c r="L16" s="727"/>
      <c r="M16" s="728"/>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0.861</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-10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1867</v>
      </c>
      <c r="C23" s="587">
        <f aca="true" t="shared" si="0" ref="C23:H23">SUM(C16:C21)</f>
        <v>0.857</v>
      </c>
      <c r="D23" s="582">
        <f t="shared" si="0"/>
        <v>2393</v>
      </c>
      <c r="E23" s="590">
        <f t="shared" si="0"/>
        <v>0.861</v>
      </c>
      <c r="F23" s="582">
        <f t="shared" si="0"/>
        <v>4535</v>
      </c>
      <c r="G23" s="582">
        <f t="shared" si="0"/>
        <v>1856</v>
      </c>
      <c r="H23" s="590">
        <f t="shared" si="0"/>
        <v>0.866</v>
      </c>
      <c r="J23" s="724" t="str">
        <f>CONCATENATE("Impact On Keeping The Same Mill Rate As For ",I3-1,"")</f>
        <v>Impact On Keeping The Same Mill Rate As For 2014</v>
      </c>
      <c r="K23" s="729"/>
      <c r="L23" s="729"/>
      <c r="M23" s="730"/>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1867</v>
      </c>
      <c r="C25" s="268"/>
      <c r="D25" s="110">
        <f>SUM(D23-D24)</f>
        <v>2393</v>
      </c>
      <c r="E25" s="268"/>
      <c r="F25" s="451">
        <f>SUM(F23-F24)</f>
        <v>4535</v>
      </c>
      <c r="G25" s="210"/>
      <c r="H25" s="267"/>
      <c r="J25" s="470" t="str">
        <f>CONCATENATE("",I3," Ad Valorem Tax Revenue:")</f>
        <v>2015 Ad Valorem Tax Revenue:</v>
      </c>
      <c r="K25" s="465"/>
      <c r="L25" s="465"/>
      <c r="M25" s="466">
        <f>G23</f>
        <v>1856</v>
      </c>
    </row>
    <row r="26" spans="1:13" ht="16.5" thickTop="1">
      <c r="A26" s="18" t="s">
        <v>53</v>
      </c>
      <c r="B26" s="582">
        <f>inputPrYr!E44</f>
        <v>1805</v>
      </c>
      <c r="C26" s="187"/>
      <c r="D26" s="582">
        <f>inputPrYr!E24</f>
        <v>1819</v>
      </c>
      <c r="E26" s="187"/>
      <c r="F26" s="64" t="s">
        <v>793</v>
      </c>
      <c r="G26" s="3"/>
      <c r="H26" s="3"/>
      <c r="J26" s="470" t="str">
        <f>CONCATENATE("",I3-1," Ad Valorem Tax Revenue:")</f>
        <v>2014 Ad Valorem Tax Revenue:</v>
      </c>
      <c r="K26" s="465"/>
      <c r="L26" s="465"/>
      <c r="M26" s="479">
        <f>ROUND(F27*M18/1000,0)</f>
        <v>1846</v>
      </c>
    </row>
    <row r="27" spans="1:13" ht="15.75">
      <c r="A27" s="18" t="s">
        <v>150</v>
      </c>
      <c r="B27" s="27">
        <f>inputPrYr!E45</f>
        <v>2107612</v>
      </c>
      <c r="C27" s="187"/>
      <c r="D27" s="27">
        <f>inputOth!E24</f>
        <v>2113091</v>
      </c>
      <c r="E27" s="187"/>
      <c r="F27" s="27">
        <f>inputOth!E7</f>
        <v>2143993</v>
      </c>
      <c r="G27" s="3"/>
      <c r="H27" s="3"/>
      <c r="J27" s="480" t="s">
        <v>635</v>
      </c>
      <c r="K27" s="481"/>
      <c r="L27" s="481"/>
      <c r="M27" s="469">
        <f>M25-M26</f>
        <v>10</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4" t="s">
        <v>636</v>
      </c>
      <c r="K29" s="727"/>
      <c r="L29" s="727"/>
      <c r="M29" s="728"/>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0.866</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1"/>
      <c r="B40" s="696"/>
      <c r="C40" s="80"/>
      <c r="D40" s="3"/>
      <c r="E40" s="3"/>
      <c r="F40" s="3"/>
      <c r="G40" s="3"/>
      <c r="H40" s="37"/>
    </row>
    <row r="41" spans="1:8" ht="15.75">
      <c r="A41" s="722" t="str">
        <f>inputBudSum!B5</f>
        <v>Officer</v>
      </c>
      <c r="B41" s="723"/>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Shelley Cemetery District #40</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0.866</v>
      </c>
      <c r="H65" s="455" t="str">
        <f>CONCATENATE("Total ",E1," Mill Rate")</f>
        <v>Total 2015 Mill Rate</v>
      </c>
      <c r="I65" s="534"/>
      <c r="J65" s="553"/>
      <c r="K65" s="561"/>
    </row>
    <row r="66" spans="6:11" ht="15.75">
      <c r="F66"/>
      <c r="G66" s="556">
        <f>summ!E23</f>
        <v>0.861</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Shelley Cemetery District #40</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0.866</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0.861</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0.866</v>
      </c>
      <c r="H86" s="455" t="str">
        <f>CONCATENATE("Total ",E3," Mill Rate")</f>
        <v>Total  Mill Rate</v>
      </c>
      <c r="I86" s="534"/>
      <c r="J86" s="553"/>
      <c r="K86" s="1"/>
    </row>
    <row r="87" spans="3:11" ht="15.75" customHeight="1">
      <c r="C87" s="76">
        <f>IF(C33&gt;C35,"See Tab A","")</f>
      </c>
      <c r="D87" s="76">
        <f>IF(D33&gt;D35,"See Tab C","")</f>
      </c>
      <c r="F87" s="1"/>
      <c r="G87" s="556">
        <f>summ!E23</f>
        <v>0.861</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Shelley Cemetery District #40</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Shelley Cemetery District #40</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Shelley Cemetery District #40</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4"/>
      <c r="D4" s="744"/>
      <c r="E4" s="73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2143993</v>
      </c>
      <c r="E16" s="3"/>
      <c r="F16" s="37"/>
    </row>
    <row r="17" spans="1:6" ht="15.75">
      <c r="A17" s="3"/>
      <c r="B17" s="3"/>
      <c r="C17" s="3"/>
      <c r="D17" s="3"/>
      <c r="E17" s="3"/>
      <c r="F17" s="37"/>
    </row>
    <row r="18" spans="1:6" ht="15.75">
      <c r="A18" s="3"/>
      <c r="B18" s="745" t="s">
        <v>292</v>
      </c>
      <c r="C18" s="745"/>
      <c r="D18" s="281">
        <f>IF(D16&gt;0,(D16*0.001),"")</f>
        <v>2143.993</v>
      </c>
      <c r="E18" s="3"/>
      <c r="F18" s="37"/>
    </row>
    <row r="19" spans="1:6" ht="15.75">
      <c r="A19" s="3"/>
      <c r="B19" s="115"/>
      <c r="C19" s="115"/>
      <c r="D19" s="282"/>
      <c r="E19" s="3"/>
      <c r="F19" s="37"/>
    </row>
    <row r="20" spans="1:6" ht="15.75">
      <c r="A20" s="742" t="s">
        <v>290</v>
      </c>
      <c r="B20" s="732"/>
      <c r="C20" s="73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Shelley Cemetery District #40</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800</v>
      </c>
      <c r="E3" s="5"/>
    </row>
    <row r="4" spans="1:5" ht="15.75">
      <c r="A4" s="4" t="s">
        <v>201</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795</v>
      </c>
      <c r="D19" s="20">
        <v>4250</v>
      </c>
      <c r="E19" s="20">
        <v>1819</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1819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4250</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0.857</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0.857</v>
      </c>
      <c r="E42" s="22"/>
    </row>
    <row r="43" spans="1:5" ht="16.5" thickTop="1">
      <c r="A43" s="3"/>
      <c r="B43" s="3"/>
      <c r="C43" s="3"/>
      <c r="D43" s="3"/>
      <c r="E43" s="22"/>
    </row>
    <row r="44" spans="1:5" ht="15.75">
      <c r="A44" s="34" t="str">
        <f>CONCATENATE("Total Tax Levied (",D6-2," budget column)")</f>
        <v>Total Tax Levied (2013 budget column)</v>
      </c>
      <c r="B44" s="12"/>
      <c r="C44" s="3"/>
      <c r="D44" s="3"/>
      <c r="E44" s="35">
        <v>1805</v>
      </c>
    </row>
    <row r="45" spans="1:5" ht="15.75">
      <c r="A45" s="34" t="str">
        <f>CONCATENATE("Assessed Valuation (",D6-2," budget column)")</f>
        <v>Assessed Valuation (2013 budget column)</v>
      </c>
      <c r="B45" s="12"/>
      <c r="C45" s="3"/>
      <c r="D45" s="3"/>
      <c r="E45" s="36">
        <v>2107612</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Shelley Cemetery District #40</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1819</v>
      </c>
      <c r="F9" s="644"/>
      <c r="G9" s="644"/>
      <c r="H9" s="645"/>
    </row>
    <row r="10" spans="3:8" ht="15.75">
      <c r="C10" s="646" t="str">
        <f>CONCATENATE(H2," Budget")</f>
        <v>2015 Budget</v>
      </c>
      <c r="D10" s="650" t="s">
        <v>92</v>
      </c>
      <c r="E10" s="653">
        <f>cert!F30</f>
        <v>1856</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1" t="s">
        <v>534</v>
      </c>
      <c r="C6" s="762"/>
      <c r="D6" s="762"/>
      <c r="E6" s="762"/>
      <c r="F6" s="762"/>
      <c r="G6" s="762"/>
      <c r="H6" s="762"/>
      <c r="I6" s="762"/>
      <c r="J6" s="762"/>
      <c r="K6" s="762"/>
      <c r="L6" s="363"/>
    </row>
    <row r="7" spans="1:12" ht="40.5" customHeight="1">
      <c r="A7" s="360"/>
      <c r="B7" s="763" t="s">
        <v>535</v>
      </c>
      <c r="C7" s="764"/>
      <c r="D7" s="764"/>
      <c r="E7" s="764"/>
      <c r="F7" s="764"/>
      <c r="G7" s="764"/>
      <c r="H7" s="764"/>
      <c r="I7" s="764"/>
      <c r="J7" s="764"/>
      <c r="K7" s="764"/>
      <c r="L7" s="360"/>
    </row>
    <row r="8" spans="1:12" ht="14.25">
      <c r="A8" s="360"/>
      <c r="B8" s="765" t="s">
        <v>536</v>
      </c>
      <c r="C8" s="765"/>
      <c r="D8" s="765"/>
      <c r="E8" s="765"/>
      <c r="F8" s="765"/>
      <c r="G8" s="765"/>
      <c r="H8" s="765"/>
      <c r="I8" s="765"/>
      <c r="J8" s="765"/>
      <c r="K8" s="765"/>
      <c r="L8" s="360"/>
    </row>
    <row r="9" spans="1:12" ht="14.25">
      <c r="A9" s="360"/>
      <c r="L9" s="360"/>
    </row>
    <row r="10" spans="1:12" ht="14.25">
      <c r="A10" s="360"/>
      <c r="B10" s="765" t="s">
        <v>537</v>
      </c>
      <c r="C10" s="765"/>
      <c r="D10" s="765"/>
      <c r="E10" s="765"/>
      <c r="F10" s="765"/>
      <c r="G10" s="765"/>
      <c r="H10" s="765"/>
      <c r="I10" s="765"/>
      <c r="J10" s="765"/>
      <c r="K10" s="765"/>
      <c r="L10" s="360"/>
    </row>
    <row r="11" spans="1:12" ht="14.25">
      <c r="A11" s="360"/>
      <c r="B11" s="497"/>
      <c r="C11" s="497"/>
      <c r="D11" s="497"/>
      <c r="E11" s="497"/>
      <c r="F11" s="497"/>
      <c r="G11" s="497"/>
      <c r="H11" s="497"/>
      <c r="I11" s="497"/>
      <c r="J11" s="497"/>
      <c r="K11" s="497"/>
      <c r="L11" s="360"/>
    </row>
    <row r="12" spans="1:12" ht="32.25" customHeight="1">
      <c r="A12" s="360"/>
      <c r="B12" s="766" t="s">
        <v>538</v>
      </c>
      <c r="C12" s="766"/>
      <c r="D12" s="766"/>
      <c r="E12" s="766"/>
      <c r="F12" s="766"/>
      <c r="G12" s="766"/>
      <c r="H12" s="766"/>
      <c r="I12" s="766"/>
      <c r="J12" s="766"/>
      <c r="K12" s="766"/>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67">
        <v>312000000</v>
      </c>
      <c r="G23" s="767"/>
      <c r="L23" s="360"/>
    </row>
    <row r="24" spans="1:12" ht="14.25">
      <c r="A24" s="360"/>
      <c r="L24" s="360"/>
    </row>
    <row r="25" spans="1:12" ht="14.25">
      <c r="A25" s="360"/>
      <c r="C25" s="768">
        <f>F23</f>
        <v>312000000</v>
      </c>
      <c r="D25" s="76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9" t="s">
        <v>535</v>
      </c>
      <c r="C30" s="769"/>
      <c r="D30" s="769"/>
      <c r="E30" s="769"/>
      <c r="F30" s="769"/>
      <c r="G30" s="769"/>
      <c r="H30" s="769"/>
      <c r="I30" s="769"/>
      <c r="J30" s="769"/>
      <c r="K30" s="769"/>
      <c r="L30" s="360"/>
    </row>
    <row r="31" spans="1:12" ht="14.25">
      <c r="A31" s="360"/>
      <c r="B31" s="765" t="s">
        <v>547</v>
      </c>
      <c r="C31" s="765"/>
      <c r="D31" s="765"/>
      <c r="E31" s="765"/>
      <c r="F31" s="765"/>
      <c r="G31" s="765"/>
      <c r="H31" s="765"/>
      <c r="I31" s="765"/>
      <c r="J31" s="765"/>
      <c r="K31" s="765"/>
      <c r="L31" s="360"/>
    </row>
    <row r="32" spans="1:12" ht="14.25">
      <c r="A32" s="360"/>
      <c r="L32" s="360"/>
    </row>
    <row r="33" spans="1:12" ht="14.25">
      <c r="A33" s="360"/>
      <c r="B33" s="765" t="s">
        <v>548</v>
      </c>
      <c r="C33" s="765"/>
      <c r="D33" s="765"/>
      <c r="E33" s="765"/>
      <c r="F33" s="765"/>
      <c r="G33" s="765"/>
      <c r="H33" s="765"/>
      <c r="I33" s="765"/>
      <c r="J33" s="765"/>
      <c r="K33" s="765"/>
      <c r="L33" s="360"/>
    </row>
    <row r="34" spans="1:12" ht="14.25">
      <c r="A34" s="360"/>
      <c r="L34" s="360"/>
    </row>
    <row r="35" spans="1:12" ht="89.25" customHeight="1">
      <c r="A35" s="360"/>
      <c r="B35" s="766" t="s">
        <v>549</v>
      </c>
      <c r="C35" s="770"/>
      <c r="D35" s="770"/>
      <c r="E35" s="770"/>
      <c r="F35" s="770"/>
      <c r="G35" s="770"/>
      <c r="H35" s="770"/>
      <c r="I35" s="770"/>
      <c r="J35" s="770"/>
      <c r="K35" s="770"/>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71">
        <v>312000000</v>
      </c>
      <c r="D41" s="771"/>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72">
        <v>312000000</v>
      </c>
      <c r="C48" s="767"/>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73" t="s">
        <v>557</v>
      </c>
      <c r="H50" s="774"/>
      <c r="I50" s="493" t="s">
        <v>543</v>
      </c>
      <c r="J50" s="380">
        <f>B50/F50</f>
        <v>0.16025641025641027</v>
      </c>
      <c r="K50" s="372"/>
      <c r="L50" s="360"/>
    </row>
    <row r="51" spans="1:15" ht="15" thickBot="1">
      <c r="A51" s="360"/>
      <c r="B51" s="373"/>
      <c r="C51" s="374"/>
      <c r="D51" s="374"/>
      <c r="E51" s="374"/>
      <c r="F51" s="374"/>
      <c r="G51" s="374"/>
      <c r="H51" s="374"/>
      <c r="I51" s="775" t="s">
        <v>558</v>
      </c>
      <c r="J51" s="775"/>
      <c r="K51" s="776"/>
      <c r="L51" s="360"/>
      <c r="O51" s="381"/>
    </row>
    <row r="52" spans="1:12" ht="40.5" customHeight="1">
      <c r="A52" s="360"/>
      <c r="B52" s="769" t="s">
        <v>535</v>
      </c>
      <c r="C52" s="769"/>
      <c r="D52" s="769"/>
      <c r="E52" s="769"/>
      <c r="F52" s="769"/>
      <c r="G52" s="769"/>
      <c r="H52" s="769"/>
      <c r="I52" s="769"/>
      <c r="J52" s="769"/>
      <c r="K52" s="769"/>
      <c r="L52" s="360"/>
    </row>
    <row r="53" spans="1:12" ht="14.25">
      <c r="A53" s="360"/>
      <c r="B53" s="765" t="s">
        <v>559</v>
      </c>
      <c r="C53" s="765"/>
      <c r="D53" s="765"/>
      <c r="E53" s="765"/>
      <c r="F53" s="765"/>
      <c r="G53" s="765"/>
      <c r="H53" s="765"/>
      <c r="I53" s="765"/>
      <c r="J53" s="765"/>
      <c r="K53" s="765"/>
      <c r="L53" s="360"/>
    </row>
    <row r="54" spans="1:12" ht="14.25">
      <c r="A54" s="360"/>
      <c r="B54" s="497"/>
      <c r="C54" s="497"/>
      <c r="D54" s="497"/>
      <c r="E54" s="497"/>
      <c r="F54" s="497"/>
      <c r="G54" s="497"/>
      <c r="H54" s="497"/>
      <c r="I54" s="497"/>
      <c r="J54" s="497"/>
      <c r="K54" s="497"/>
      <c r="L54" s="360"/>
    </row>
    <row r="55" spans="1:12" ht="14.25">
      <c r="A55" s="360"/>
      <c r="B55" s="761" t="s">
        <v>560</v>
      </c>
      <c r="C55" s="761"/>
      <c r="D55" s="761"/>
      <c r="E55" s="761"/>
      <c r="F55" s="761"/>
      <c r="G55" s="761"/>
      <c r="H55" s="761"/>
      <c r="I55" s="761"/>
      <c r="J55" s="761"/>
      <c r="K55" s="761"/>
      <c r="L55" s="360"/>
    </row>
    <row r="56" spans="1:12" ht="15" customHeight="1">
      <c r="A56" s="360"/>
      <c r="L56" s="360"/>
    </row>
    <row r="57" spans="1:24" ht="74.25" customHeight="1">
      <c r="A57" s="360"/>
      <c r="B57" s="766" t="s">
        <v>561</v>
      </c>
      <c r="C57" s="770"/>
      <c r="D57" s="770"/>
      <c r="E57" s="770"/>
      <c r="F57" s="770"/>
      <c r="G57" s="770"/>
      <c r="H57" s="770"/>
      <c r="I57" s="770"/>
      <c r="J57" s="770"/>
      <c r="K57" s="770"/>
      <c r="L57" s="360"/>
      <c r="M57" s="382"/>
      <c r="N57" s="383"/>
      <c r="O57" s="383"/>
      <c r="P57" s="383"/>
      <c r="Q57" s="383"/>
      <c r="R57" s="383"/>
      <c r="S57" s="383"/>
      <c r="T57" s="383"/>
      <c r="U57" s="383"/>
      <c r="V57" s="383"/>
      <c r="W57" s="383"/>
      <c r="X57" s="383"/>
    </row>
    <row r="58" spans="1:24" ht="15" customHeight="1">
      <c r="A58" s="360"/>
      <c r="B58" s="766"/>
      <c r="C58" s="770"/>
      <c r="D58" s="770"/>
      <c r="E58" s="770"/>
      <c r="F58" s="770"/>
      <c r="G58" s="770"/>
      <c r="H58" s="770"/>
      <c r="I58" s="770"/>
      <c r="J58" s="770"/>
      <c r="K58" s="770"/>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67">
        <v>312000000</v>
      </c>
      <c r="D74" s="767"/>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67">
        <v>50000</v>
      </c>
      <c r="D77" s="767"/>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67">
        <v>100000</v>
      </c>
      <c r="D80" s="767"/>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7">
        <f>H80</f>
        <v>11500</v>
      </c>
      <c r="D83" s="777"/>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9" t="s">
        <v>535</v>
      </c>
      <c r="C85" s="769"/>
      <c r="D85" s="769"/>
      <c r="E85" s="769"/>
      <c r="F85" s="769"/>
      <c r="G85" s="769"/>
      <c r="H85" s="769"/>
      <c r="I85" s="769"/>
      <c r="J85" s="769"/>
      <c r="K85" s="769"/>
      <c r="L85" s="360"/>
    </row>
    <row r="86" spans="1:12" ht="14.25">
      <c r="A86" s="360"/>
      <c r="B86" s="761" t="s">
        <v>577</v>
      </c>
      <c r="C86" s="761"/>
      <c r="D86" s="761"/>
      <c r="E86" s="761"/>
      <c r="F86" s="761"/>
      <c r="G86" s="761"/>
      <c r="H86" s="761"/>
      <c r="I86" s="761"/>
      <c r="J86" s="761"/>
      <c r="K86" s="761"/>
      <c r="L86" s="360"/>
    </row>
    <row r="87" spans="1:12" ht="14.25">
      <c r="A87" s="360"/>
      <c r="B87" s="394"/>
      <c r="C87" s="394"/>
      <c r="D87" s="394"/>
      <c r="E87" s="394"/>
      <c r="F87" s="394"/>
      <c r="G87" s="394"/>
      <c r="H87" s="394"/>
      <c r="I87" s="394"/>
      <c r="J87" s="394"/>
      <c r="K87" s="394"/>
      <c r="L87" s="360"/>
    </row>
    <row r="88" spans="1:12" ht="14.25">
      <c r="A88" s="360"/>
      <c r="B88" s="761" t="s">
        <v>578</v>
      </c>
      <c r="C88" s="761"/>
      <c r="D88" s="761"/>
      <c r="E88" s="761"/>
      <c r="F88" s="761"/>
      <c r="G88" s="761"/>
      <c r="H88" s="761"/>
      <c r="I88" s="761"/>
      <c r="J88" s="761"/>
      <c r="K88" s="761"/>
      <c r="L88" s="360"/>
    </row>
    <row r="89" spans="1:12" ht="14.25">
      <c r="A89" s="360"/>
      <c r="B89" s="492"/>
      <c r="C89" s="492"/>
      <c r="D89" s="492"/>
      <c r="E89" s="492"/>
      <c r="F89" s="492"/>
      <c r="G89" s="492"/>
      <c r="H89" s="492"/>
      <c r="I89" s="492"/>
      <c r="J89" s="492"/>
      <c r="K89" s="492"/>
      <c r="L89" s="360"/>
    </row>
    <row r="90" spans="1:12" ht="45" customHeight="1">
      <c r="A90" s="360"/>
      <c r="B90" s="766" t="s">
        <v>579</v>
      </c>
      <c r="C90" s="766"/>
      <c r="D90" s="766"/>
      <c r="E90" s="766"/>
      <c r="F90" s="766"/>
      <c r="G90" s="766"/>
      <c r="H90" s="766"/>
      <c r="I90" s="766"/>
      <c r="J90" s="766"/>
      <c r="K90" s="766"/>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67">
        <v>312000000</v>
      </c>
      <c r="D94" s="767"/>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67">
        <v>50000</v>
      </c>
      <c r="D97" s="767"/>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67">
        <v>2500000</v>
      </c>
      <c r="D100" s="767"/>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7">
        <f>H100</f>
        <v>750000</v>
      </c>
      <c r="D103" s="777"/>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9" t="s">
        <v>535</v>
      </c>
      <c r="C105" s="778"/>
      <c r="D105" s="778"/>
      <c r="E105" s="778"/>
      <c r="F105" s="778"/>
      <c r="G105" s="778"/>
      <c r="H105" s="778"/>
      <c r="I105" s="778"/>
      <c r="J105" s="778"/>
      <c r="K105" s="778"/>
      <c r="L105" s="360"/>
    </row>
    <row r="106" spans="1:12" ht="15" customHeight="1">
      <c r="A106" s="360"/>
      <c r="B106" s="779" t="s">
        <v>581</v>
      </c>
      <c r="C106" s="762"/>
      <c r="D106" s="762"/>
      <c r="E106" s="762"/>
      <c r="F106" s="762"/>
      <c r="G106" s="762"/>
      <c r="H106" s="762"/>
      <c r="I106" s="762"/>
      <c r="J106" s="762"/>
      <c r="K106" s="762"/>
      <c r="L106" s="360"/>
    </row>
    <row r="107" spans="1:12" ht="15" customHeight="1">
      <c r="A107" s="360"/>
      <c r="B107" s="495"/>
      <c r="C107" s="405"/>
      <c r="D107" s="405"/>
      <c r="E107" s="493"/>
      <c r="F107" s="380"/>
      <c r="G107" s="493"/>
      <c r="H107" s="493"/>
      <c r="I107" s="493"/>
      <c r="J107" s="491"/>
      <c r="K107" s="495"/>
      <c r="L107" s="360"/>
    </row>
    <row r="108" spans="1:12" ht="15" customHeight="1">
      <c r="A108" s="360"/>
      <c r="B108" s="779" t="s">
        <v>582</v>
      </c>
      <c r="C108" s="780"/>
      <c r="D108" s="780"/>
      <c r="E108" s="780"/>
      <c r="F108" s="780"/>
      <c r="G108" s="780"/>
      <c r="H108" s="780"/>
      <c r="I108" s="780"/>
      <c r="J108" s="780"/>
      <c r="K108" s="780"/>
      <c r="L108" s="360"/>
    </row>
    <row r="109" spans="1:12" ht="15" customHeight="1">
      <c r="A109" s="360"/>
      <c r="B109" s="495"/>
      <c r="C109" s="405"/>
      <c r="D109" s="405"/>
      <c r="E109" s="493"/>
      <c r="F109" s="380"/>
      <c r="G109" s="493"/>
      <c r="H109" s="493"/>
      <c r="I109" s="493"/>
      <c r="J109" s="491"/>
      <c r="K109" s="495"/>
      <c r="L109" s="360"/>
    </row>
    <row r="110" spans="1:12" ht="59.25" customHeight="1">
      <c r="A110" s="360"/>
      <c r="B110" s="781" t="s">
        <v>583</v>
      </c>
      <c r="C110" s="770"/>
      <c r="D110" s="770"/>
      <c r="E110" s="770"/>
      <c r="F110" s="770"/>
      <c r="G110" s="770"/>
      <c r="H110" s="770"/>
      <c r="I110" s="770"/>
      <c r="J110" s="770"/>
      <c r="K110" s="770"/>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67">
        <v>312000000</v>
      </c>
      <c r="D114" s="767"/>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67">
        <v>50000</v>
      </c>
      <c r="D117" s="767"/>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67">
        <v>2500000</v>
      </c>
      <c r="D120" s="767"/>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7">
        <f>H120</f>
        <v>625000</v>
      </c>
      <c r="D123" s="777"/>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9" t="s">
        <v>535</v>
      </c>
      <c r="C125" s="769"/>
      <c r="D125" s="769"/>
      <c r="E125" s="769"/>
      <c r="F125" s="769"/>
      <c r="G125" s="769"/>
      <c r="H125" s="769"/>
      <c r="I125" s="769"/>
      <c r="J125" s="769"/>
      <c r="K125" s="769"/>
      <c r="L125" s="406"/>
    </row>
    <row r="126" spans="1:12" ht="14.25">
      <c r="A126" s="360"/>
      <c r="B126" s="761" t="s">
        <v>584</v>
      </c>
      <c r="C126" s="761"/>
      <c r="D126" s="761"/>
      <c r="E126" s="761"/>
      <c r="F126" s="761"/>
      <c r="G126" s="761"/>
      <c r="H126" s="761"/>
      <c r="I126" s="761"/>
      <c r="J126" s="761"/>
      <c r="K126" s="761"/>
      <c r="L126" s="406"/>
    </row>
    <row r="127" spans="1:12" ht="14.25">
      <c r="A127" s="360"/>
      <c r="B127" s="497"/>
      <c r="C127" s="497"/>
      <c r="D127" s="497"/>
      <c r="E127" s="497"/>
      <c r="F127" s="497"/>
      <c r="G127" s="497"/>
      <c r="H127" s="497"/>
      <c r="I127" s="497"/>
      <c r="J127" s="497"/>
      <c r="K127" s="497"/>
      <c r="L127" s="406"/>
    </row>
    <row r="128" spans="1:12" ht="14.25">
      <c r="A128" s="360"/>
      <c r="B128" s="761" t="s">
        <v>585</v>
      </c>
      <c r="C128" s="761"/>
      <c r="D128" s="761"/>
      <c r="E128" s="761"/>
      <c r="F128" s="761"/>
      <c r="G128" s="761"/>
      <c r="H128" s="761"/>
      <c r="I128" s="761"/>
      <c r="J128" s="761"/>
      <c r="K128" s="761"/>
      <c r="L128" s="406"/>
    </row>
    <row r="129" spans="1:12" ht="14.25">
      <c r="A129" s="360"/>
      <c r="B129" s="492"/>
      <c r="C129" s="492"/>
      <c r="D129" s="492"/>
      <c r="E129" s="492"/>
      <c r="F129" s="492"/>
      <c r="G129" s="492"/>
      <c r="H129" s="492"/>
      <c r="I129" s="492"/>
      <c r="J129" s="492"/>
      <c r="K129" s="492"/>
      <c r="L129" s="406"/>
    </row>
    <row r="130" spans="1:12" ht="74.25" customHeight="1">
      <c r="A130" s="360"/>
      <c r="B130" s="766" t="s">
        <v>586</v>
      </c>
      <c r="C130" s="766"/>
      <c r="D130" s="766"/>
      <c r="E130" s="766"/>
      <c r="F130" s="766"/>
      <c r="G130" s="766"/>
      <c r="H130" s="766"/>
      <c r="I130" s="766"/>
      <c r="J130" s="766"/>
      <c r="K130" s="766"/>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82" t="s">
        <v>587</v>
      </c>
      <c r="D133" s="782"/>
      <c r="E133" s="370"/>
      <c r="F133" s="493" t="s">
        <v>588</v>
      </c>
      <c r="G133" s="370"/>
      <c r="H133" s="782" t="s">
        <v>573</v>
      </c>
      <c r="I133" s="782"/>
      <c r="J133" s="370"/>
      <c r="K133" s="372"/>
      <c r="L133" s="360"/>
    </row>
    <row r="134" spans="1:12" ht="14.25">
      <c r="A134" s="360"/>
      <c r="B134" s="378" t="s">
        <v>566</v>
      </c>
      <c r="C134" s="767">
        <v>100000</v>
      </c>
      <c r="D134" s="767"/>
      <c r="E134" s="493" t="s">
        <v>28</v>
      </c>
      <c r="F134" s="493">
        <v>0.115</v>
      </c>
      <c r="G134" s="493" t="s">
        <v>543</v>
      </c>
      <c r="H134" s="783">
        <f>C134*F134</f>
        <v>11500</v>
      </c>
      <c r="I134" s="783"/>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4" t="s">
        <v>573</v>
      </c>
      <c r="D136" s="784"/>
      <c r="E136" s="388"/>
      <c r="F136" s="489" t="s">
        <v>589</v>
      </c>
      <c r="G136" s="489"/>
      <c r="H136" s="388"/>
      <c r="I136" s="388"/>
      <c r="J136" s="388" t="s">
        <v>590</v>
      </c>
      <c r="K136" s="389"/>
      <c r="L136" s="360"/>
    </row>
    <row r="137" spans="1:12" ht="14.25">
      <c r="A137" s="360"/>
      <c r="B137" s="378" t="s">
        <v>569</v>
      </c>
      <c r="C137" s="783">
        <f>H134</f>
        <v>11500</v>
      </c>
      <c r="D137" s="783"/>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5" t="s">
        <v>593</v>
      </c>
      <c r="C144" s="786"/>
      <c r="D144" s="786"/>
      <c r="E144" s="786"/>
      <c r="F144" s="786"/>
      <c r="G144" s="786"/>
      <c r="H144" s="786"/>
      <c r="I144" s="786"/>
      <c r="J144" s="786"/>
      <c r="K144" s="787"/>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83" t="s">
        <v>594</v>
      </c>
      <c r="D147" s="783"/>
      <c r="E147" s="493"/>
      <c r="F147" s="424" t="s">
        <v>595</v>
      </c>
      <c r="G147" s="493"/>
      <c r="H147" s="493"/>
      <c r="I147" s="493"/>
      <c r="J147" s="788" t="s">
        <v>596</v>
      </c>
      <c r="K147" s="789"/>
      <c r="L147" s="360"/>
    </row>
    <row r="148" spans="1:12" ht="14.25">
      <c r="A148" s="360"/>
      <c r="B148" s="378"/>
      <c r="C148" s="790">
        <v>52.869</v>
      </c>
      <c r="D148" s="790"/>
      <c r="E148" s="493" t="s">
        <v>28</v>
      </c>
      <c r="F148" s="494">
        <v>312000000</v>
      </c>
      <c r="G148" s="429" t="s">
        <v>544</v>
      </c>
      <c r="H148" s="493">
        <v>1000</v>
      </c>
      <c r="I148" s="493" t="s">
        <v>543</v>
      </c>
      <c r="J148" s="788">
        <f>C148*(F148/1000)</f>
        <v>16495128</v>
      </c>
      <c r="K148" s="791"/>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4" sqref="B44"/>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Shelley Cemetery District #40</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2143993</v>
      </c>
    </row>
    <row r="8" spans="1:5" ht="15.75">
      <c r="A8" s="51" t="str">
        <f>CONCATENATE("New Improvements for ",inputPrYr!D6-1,"")</f>
        <v>New Improvements for 2014</v>
      </c>
      <c r="B8" s="52"/>
      <c r="C8" s="52"/>
      <c r="D8" s="52"/>
      <c r="E8" s="603">
        <v>8063</v>
      </c>
    </row>
    <row r="9" spans="1:5" ht="15.75">
      <c r="A9" s="51" t="str">
        <f>CONCATENATE("Personal Property excluding oil, gas, and mobile homes- ",inputPrYr!D6-1,"")</f>
        <v>Personal Property excluding oil, gas, and mobile homes- 2014</v>
      </c>
      <c r="B9" s="52"/>
      <c r="C9" s="52"/>
      <c r="D9" s="52"/>
      <c r="E9" s="603">
        <v>24461</v>
      </c>
    </row>
    <row r="10" spans="1:5" ht="15.75">
      <c r="A10" s="51" t="str">
        <f>CONCATENATE("Property that has changed in use for ",inputPrYr!D6-1,"")</f>
        <v>Property that has changed in use for 2014</v>
      </c>
      <c r="B10" s="52"/>
      <c r="C10" s="52"/>
      <c r="D10" s="52"/>
      <c r="E10" s="603">
        <v>3654</v>
      </c>
    </row>
    <row r="11" spans="1:5" ht="15.75">
      <c r="A11" s="50" t="str">
        <f>CONCATENATE("Personal Property excluding oil, gas, and mobile homes- ",inputPrYr!D6-2,"")</f>
        <v>Personal Property excluding oil, gas, and mobile homes- 2013</v>
      </c>
      <c r="B11" s="25"/>
      <c r="C11" s="25"/>
      <c r="D11" s="25"/>
      <c r="E11" s="603">
        <v>38919</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0.861</v>
      </c>
      <c r="E16" s="56"/>
    </row>
    <row r="17" spans="1:5" ht="15.75">
      <c r="A17" s="51" t="s">
        <v>246</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0.861</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2113091</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244</v>
      </c>
    </row>
    <row r="28" spans="1:5" ht="15.75">
      <c r="A28" s="51" t="s">
        <v>15</v>
      </c>
      <c r="B28" s="52"/>
      <c r="C28" s="52"/>
      <c r="D28" s="65"/>
      <c r="E28" s="20">
        <v>5</v>
      </c>
    </row>
    <row r="29" spans="1:5" ht="15.75">
      <c r="A29" s="51" t="s">
        <v>151</v>
      </c>
      <c r="B29" s="52"/>
      <c r="C29" s="52"/>
      <c r="D29" s="65"/>
      <c r="E29" s="20">
        <v>2</v>
      </c>
    </row>
    <row r="30" spans="1:5" ht="15.75">
      <c r="A30" s="51" t="s">
        <v>139</v>
      </c>
      <c r="B30" s="52"/>
      <c r="C30" s="52"/>
      <c r="D30" s="65"/>
      <c r="E30" s="20">
        <v>0</v>
      </c>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4200</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804</v>
      </c>
      <c r="C5" s="311"/>
      <c r="D5" s="312"/>
      <c r="E5" s="311"/>
      <c r="F5" s="311"/>
      <c r="J5" s="503" t="s">
        <v>681</v>
      </c>
    </row>
    <row r="6" spans="1:10" ht="15.75">
      <c r="A6" s="311"/>
      <c r="B6" s="311"/>
      <c r="C6" s="311"/>
      <c r="D6" s="312"/>
      <c r="E6" s="311"/>
      <c r="F6" s="311"/>
      <c r="J6" s="503" t="s">
        <v>682</v>
      </c>
    </row>
    <row r="7" spans="1:10" ht="15.75">
      <c r="A7" s="313" t="s">
        <v>294</v>
      </c>
      <c r="B7" s="608" t="s">
        <v>805</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August 8, 2014</v>
      </c>
      <c r="E8" s="311"/>
      <c r="F8" s="311"/>
      <c r="J8" s="503" t="s">
        <v>684</v>
      </c>
    </row>
    <row r="9" spans="1:10" ht="15.75">
      <c r="A9" s="313" t="s">
        <v>295</v>
      </c>
      <c r="B9" s="608" t="s">
        <v>806</v>
      </c>
      <c r="C9" s="317"/>
      <c r="D9" s="313"/>
      <c r="E9" s="311"/>
      <c r="F9" s="311"/>
      <c r="J9" s="503" t="s">
        <v>685</v>
      </c>
    </row>
    <row r="10" spans="1:10" ht="15.75">
      <c r="A10" s="313"/>
      <c r="B10" s="313"/>
      <c r="C10" s="313"/>
      <c r="D10" s="313"/>
      <c r="E10" s="311"/>
      <c r="F10" s="311"/>
      <c r="J10" s="503" t="s">
        <v>686</v>
      </c>
    </row>
    <row r="11" spans="1:10" ht="15.75">
      <c r="A11" s="313" t="s">
        <v>296</v>
      </c>
      <c r="B11" s="609" t="s">
        <v>807</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807</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August</v>
      </c>
    </row>
    <row r="19" spans="1:7" ht="15.75">
      <c r="A19" s="313" t="s">
        <v>294</v>
      </c>
      <c r="B19" s="315" t="s">
        <v>299</v>
      </c>
      <c r="C19" s="313"/>
      <c r="D19" s="313"/>
      <c r="E19" s="313"/>
      <c r="G19" s="505" t="str">
        <f>IF(B7="","",CONCATENATE("J",G21))</f>
        <v>J8</v>
      </c>
    </row>
    <row r="20" spans="1:7" ht="15.75">
      <c r="A20" s="313"/>
      <c r="B20" s="313"/>
      <c r="C20" s="313"/>
      <c r="D20" s="313"/>
      <c r="E20" s="313"/>
      <c r="G20" s="506">
        <f>B7-10</f>
        <v>41859</v>
      </c>
    </row>
    <row r="21" spans="1:7" ht="15.75">
      <c r="A21" s="313" t="s">
        <v>295</v>
      </c>
      <c r="B21" s="313" t="s">
        <v>300</v>
      </c>
      <c r="C21" s="313"/>
      <c r="D21" s="313"/>
      <c r="E21" s="313"/>
      <c r="G21" s="507">
        <f>IF(B7="","",MONTH(G20))</f>
        <v>8</v>
      </c>
    </row>
    <row r="22" spans="1:7" ht="15.75">
      <c r="A22" s="313"/>
      <c r="B22" s="313"/>
      <c r="C22" s="313"/>
      <c r="D22" s="313"/>
      <c r="E22" s="313"/>
      <c r="G22" s="508">
        <f>IF(B7="","",DAY(G20))</f>
        <v>8</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3" sqref="A43"/>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78</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Wilson County, State of Kansas</v>
      </c>
      <c r="B4" s="688"/>
      <c r="C4" s="688"/>
      <c r="D4" s="688"/>
      <c r="E4" s="688"/>
      <c r="F4" s="688"/>
      <c r="G4" s="688"/>
    </row>
    <row r="5" spans="1:7" ht="15.75">
      <c r="A5" s="78" t="s">
        <v>137</v>
      </c>
      <c r="B5" s="9"/>
      <c r="C5" s="9"/>
      <c r="D5" s="9"/>
      <c r="E5" s="9"/>
      <c r="F5" s="9"/>
      <c r="G5" s="9"/>
    </row>
    <row r="6" spans="1:7" ht="15.75">
      <c r="A6" s="670" t="str">
        <f>inputPrYr!D3</f>
        <v>Shelley Cemetery District #40</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187</v>
      </c>
      <c r="F15" s="692" t="str">
        <f>CONCATENATE("Amount of ",G3-1," Ad Valorem Tax")</f>
        <v>Amount of 2014 Ad Valorem Tax</v>
      </c>
      <c r="G15" s="84" t="s">
        <v>21</v>
      </c>
    </row>
    <row r="16" spans="1:7" ht="15.75">
      <c r="A16" s="2" t="s">
        <v>22</v>
      </c>
      <c r="B16" s="3"/>
      <c r="C16" s="3"/>
      <c r="D16" s="86" t="s">
        <v>23</v>
      </c>
      <c r="E16" s="86" t="s">
        <v>528</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4535</v>
      </c>
      <c r="F23" s="522">
        <f>IF(gen!$E$68&lt;&gt;0,gen!$E$68,"  ")</f>
        <v>1856</v>
      </c>
      <c r="G23" s="523"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4535</v>
      </c>
      <c r="F30" s="529">
        <f>SUM(F23:F28)</f>
        <v>1856</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531</v>
      </c>
      <c r="B35" s="53"/>
      <c r="C35" s="53"/>
      <c r="D35" s="53"/>
      <c r="E35" s="113"/>
      <c r="F35" s="53"/>
      <c r="G35" s="3"/>
    </row>
    <row r="36" spans="1:7" ht="15.75">
      <c r="A36" s="487" t="s">
        <v>796</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797</v>
      </c>
      <c r="B39" s="487"/>
      <c r="C39" s="53"/>
      <c r="D39" s="53" t="s">
        <v>695</v>
      </c>
      <c r="E39" s="518"/>
      <c r="F39" s="518"/>
      <c r="G39" s="53"/>
    </row>
    <row r="40" spans="1:7" ht="15.75">
      <c r="A40" s="488" t="s">
        <v>798</v>
      </c>
      <c r="B40" s="488"/>
      <c r="C40" s="37"/>
      <c r="D40" s="53"/>
      <c r="E40" s="518"/>
      <c r="F40" s="518"/>
      <c r="G40" s="53"/>
    </row>
    <row r="41" spans="1:7" ht="15.75">
      <c r="A41" s="5" t="s">
        <v>694</v>
      </c>
      <c r="B41" s="53"/>
      <c r="C41" s="3"/>
      <c r="D41" s="53" t="s">
        <v>695</v>
      </c>
      <c r="E41" s="519"/>
      <c r="F41" s="53"/>
      <c r="G41" s="53"/>
    </row>
    <row r="42" spans="1:7" ht="15.75">
      <c r="A42" s="661" t="s">
        <v>799</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5"/>
      <c r="B49" s="696"/>
      <c r="C49" s="3"/>
      <c r="D49" s="53" t="s">
        <v>695</v>
      </c>
      <c r="E49" s="53"/>
      <c r="F49" s="53"/>
      <c r="G49" s="53"/>
    </row>
    <row r="50" spans="1:7" ht="15.75">
      <c r="A50" s="9" t="s">
        <v>30</v>
      </c>
      <c r="B50" s="9"/>
      <c r="C50" s="3"/>
      <c r="D50" s="697" t="s">
        <v>29</v>
      </c>
      <c r="E50" s="698"/>
      <c r="F50" s="698"/>
      <c r="G50" s="698"/>
    </row>
    <row r="51" spans="1:7" ht="15.75">
      <c r="A51" s="699"/>
      <c r="B51" s="699"/>
      <c r="C51" s="699"/>
      <c r="D51" s="699"/>
      <c r="E51" s="699"/>
      <c r="F51" s="699"/>
      <c r="G51" s="699"/>
    </row>
    <row r="52" spans="1:7" ht="15.75">
      <c r="A52" s="700"/>
      <c r="B52" s="700"/>
      <c r="C52" s="700"/>
      <c r="D52" s="700"/>
      <c r="E52" s="700"/>
      <c r="F52" s="700"/>
      <c r="G52" s="700"/>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oebambick@twinmounds.com"/>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9">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Shelley Cemetery District #40</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1819</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1819</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8063</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24461</v>
      </c>
      <c r="F14" s="123"/>
      <c r="G14" s="22"/>
      <c r="H14" s="22"/>
      <c r="I14" s="617"/>
      <c r="J14" s="22"/>
    </row>
    <row r="15" spans="1:10" ht="15.75">
      <c r="A15" s="122"/>
      <c r="B15" s="3" t="s">
        <v>98</v>
      </c>
      <c r="C15" s="3" t="str">
        <f>CONCATENATE("Personal property ",J1-2,"")</f>
        <v>Personal property 2013</v>
      </c>
      <c r="D15" s="122" t="s">
        <v>94</v>
      </c>
      <c r="E15" s="26">
        <f>inputOth!E11</f>
        <v>38919</v>
      </c>
      <c r="F15" s="123"/>
      <c r="G15" s="617"/>
      <c r="H15" s="617"/>
      <c r="I15" s="22"/>
      <c r="J15" s="22"/>
    </row>
    <row r="16" spans="1:10" ht="15.75">
      <c r="A16" s="122"/>
      <c r="B16" s="3" t="s">
        <v>99</v>
      </c>
      <c r="C16" s="3" t="s">
        <v>761</v>
      </c>
      <c r="D16" s="3"/>
      <c r="E16" s="22"/>
      <c r="F16" s="22" t="s">
        <v>91</v>
      </c>
      <c r="G16" s="618">
        <f>IF(E14&gt;E15,E14-E15,0)</f>
        <v>0</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3654</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11717</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2143993</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2132276</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0.005495067242702164</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10</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1829</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1829</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27</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1856</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Shelley Cemetery District #40</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89"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1819</v>
      </c>
      <c r="D11" s="104">
        <f>IF(E17=0,0,E17-D12-D13-D14)</f>
        <v>244</v>
      </c>
      <c r="E11" s="104">
        <f>IF(E19=0,0,E19-E12-E13-E14)</f>
        <v>5</v>
      </c>
      <c r="F11" s="104">
        <f>IF(E21=0,0,E21-F12-F13-F14)</f>
        <v>2</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1819</v>
      </c>
      <c r="D15" s="111">
        <f>SUM(D11:D14)</f>
        <v>244</v>
      </c>
      <c r="E15" s="111">
        <f>SUM(E11:E14)</f>
        <v>5</v>
      </c>
      <c r="F15" s="175">
        <f>SUM(F11:F14)</f>
        <v>2</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244</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5</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2</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0.13413963716327654</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0.002748763056624519</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0.0010995052226498076</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Shelley Cemetery District #40</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7" t="s">
        <v>128</v>
      </c>
      <c r="B5" s="687"/>
      <c r="C5" s="687"/>
      <c r="D5" s="687"/>
      <c r="E5" s="687"/>
      <c r="F5" s="687"/>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808</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2014-08-07T15:55:55Z</cp:lastPrinted>
  <dcterms:created xsi:type="dcterms:W3CDTF">1999-08-06T13:59:57Z</dcterms:created>
  <dcterms:modified xsi:type="dcterms:W3CDTF">2014-10-01T14:09:34Z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