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9" activeTab="16"/>
  </bookViews>
  <sheets>
    <sheet name="instructions" sheetId="1" r:id="rId1"/>
    <sheet name="inputPrYr" sheetId="2" r:id="rId2"/>
    <sheet name="inputOth" sheetId="3" r:id="rId3"/>
    <sheet name="inputBudSum" sheetId="4" r:id="rId4"/>
    <sheet name="cert 1" sheetId="5" r:id="rId5"/>
    <sheet name="computation 2" sheetId="6" r:id="rId6"/>
    <sheet name="mvalloc 3" sheetId="7" r:id="rId7"/>
    <sheet name="transfers 4" sheetId="8" r:id="rId8"/>
    <sheet name="TransferStatutes" sheetId="9" r:id="rId9"/>
    <sheet name="debt 5" sheetId="10" r:id="rId10"/>
    <sheet name="gen 6"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4">'cert 1'!$A$2:$G$66</definedName>
    <definedName name="_xlnm.Print_Area" localSheetId="11">'debt service'!$B$1:$E$63</definedName>
    <definedName name="_xlnm.Print_Area" localSheetId="10">'gen 6'!$B$1:$F$74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<sst xmlns="http://schemas.openxmlformats.org/spreadsheetml/2006/main" count="1238" uniqueCount="831">
  <si>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</si>
  <si>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</si>
  <si>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</si>
  <si>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</si>
  <si>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</si>
  <si>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</si>
  <si>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</si>
  <si>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</si>
  <si>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</si>
  <si>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</si>
  <si>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</si>
  <si>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</si>
  <si>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</si>
  <si>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</si>
  <si>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</si>
  <si>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</si>
  <si>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</si>
  <si>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</si>
  <si>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</si>
  <si>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</si>
  <si>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</si>
  <si>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</si>
  <si>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</si>
  <si>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</si>
  <si>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</si>
  <si>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</si>
  <si>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</si>
  <si>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</si>
  <si>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</si>
  <si>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</si>
  <si>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</si>
  <si>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</si>
  <si>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</si>
  <si>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</si>
  <si>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</si>
  <si>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</si>
  <si>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</si>
  <si>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</si>
  <si>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</si>
  <si>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</si>
  <si>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</si>
  <si>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</si>
  <si>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</si>
  <si>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</si>
  <si>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</si>
  <si>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</si>
  <si>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</si>
  <si>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</si>
  <si>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</si>
  <si>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</si>
  <si>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</si>
  <si>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</si>
  <si>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</si>
  <si>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</si>
  <si>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</si>
  <si>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</si>
  <si>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</si>
  <si>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</si>
  <si>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</si>
  <si>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</si>
  <si>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</si>
  <si>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</si>
  <si>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</si>
  <si>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</si>
  <si>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</si>
  <si>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</si>
  <si>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</si>
  <si>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</si>
  <si>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</si>
  <si>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</si>
  <si>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</si>
  <si>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</si>
  <si>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</si>
  <si>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</si>
  <si>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</si>
  <si>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</si>
  <si>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</si>
  <si>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</si>
  <si>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</si>
  <si>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</si>
  <si>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</si>
  <si>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</si>
  <si>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</si>
  <si>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</si>
  <si>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</si>
  <si>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</si>
  <si>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</si>
  <si>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</si>
  <si>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</si>
  <si>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</si>
  <si>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</si>
  <si>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</si>
  <si>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</si>
  <si>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</si>
  <si>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</si>
  <si>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</si>
  <si>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</si>
  <si>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</si>
  <si>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</si>
  <si>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</si>
  <si>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</si>
  <si>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</si>
  <si>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</si>
  <si>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</si>
  <si>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</si>
  <si>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</si>
  <si>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</si>
  <si>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</si>
  <si>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</si>
  <si>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</si>
  <si>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</si>
  <si>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</si>
  <si>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</si>
  <si>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</si>
  <si>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</si>
  <si>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</si>
  <si>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</si>
  <si>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</si>
  <si>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</si>
  <si>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</si>
  <si>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</si>
  <si>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</si>
  <si>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</si>
  <si>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</si>
  <si>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</si>
  <si>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</si>
  <si>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</si>
  <si>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</si>
  <si>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</si>
  <si>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</si>
  <si>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</si>
  <si>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</si>
  <si>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</si>
  <si>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</si>
  <si>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</si>
  <si>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</si>
  <si>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</si>
  <si>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</si>
  <si>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</si>
  <si>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</si>
  <si>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</si>
  <si>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</si>
  <si>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</si>
  <si>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</si>
  <si>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</si>
  <si>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</si>
  <si>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</si>
  <si>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</si>
  <si>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</si>
  <si>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</si>
  <si>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</si>
  <si>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</si>
  <si>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</si>
  <si>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</si>
  <si>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</si>
  <si>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</si>
  <si>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</si>
  <si>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</si>
  <si>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</si>
  <si>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</si>
  <si>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</si>
  <si>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</si>
  <si>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</si>
  <si>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</si>
  <si>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</si>
  <si>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</si>
  <si>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</si>
  <si>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</si>
  <si>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</si>
  <si>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</si>
  <si>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</si>
  <si>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</si>
  <si>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</si>
  <si>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</si>
  <si>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</si>
  <si>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</si>
  <si>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</si>
  <si>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</si>
  <si>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</si>
  <si>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</si>
  <si>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</si>
  <si>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</si>
  <si>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</si>
  <si>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</si>
  <si>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</si>
  <si>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</si>
  <si>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</si>
  <si>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</si>
  <si>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</si>
  <si>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</si>
  <si>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</si>
  <si>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</si>
  <si>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</si>
  <si>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</si>
  <si>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</si>
  <si>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</si>
  <si>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</si>
  <si>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</si>
  <si>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</si>
  <si>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</si>
  <si>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</si>
  <si>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</si>
  <si>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</si>
  <si>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</si>
  <si>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</si>
  <si>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</si>
  <si>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</si>
  <si>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</si>
  <si>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</si>
  <si>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</si>
  <si>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</si>
  <si>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</si>
  <si>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</si>
  <si>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</si>
  <si>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</si>
  <si>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</si>
  <si>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</si>
  <si>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</si>
  <si>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</si>
  <si>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</si>
  <si>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</si>
  <si>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</si>
  <si>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</si>
  <si>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</si>
  <si>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</si>
  <si>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</si>
  <si>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</si>
  <si>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</si>
  <si>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</si>
  <si>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</si>
  <si>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</si>
  <si>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</si>
  <si>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</si>
  <si>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</si>
  <si>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</si>
  <si>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</si>
  <si>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</si>
  <si>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</si>
  <si>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</si>
  <si>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</si>
  <si>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</si>
  <si>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</si>
  <si>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</si>
  <si>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</si>
  <si>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</si>
  <si>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</si>
  <si>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</si>
  <si>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</si>
  <si>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</si>
  <si>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</si>
  <si>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</si>
  <si>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</si>
  <si>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</si>
  <si>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</si>
  <si>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</si>
  <si>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</si>
  <si>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</si>
  <si>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</si>
  <si>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</si>
  <si>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</si>
  <si>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</si>
  <si>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</si>
  <si>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</si>
  <si>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</si>
  <si>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</si>
  <si>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</si>
  <si>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</si>
  <si>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</si>
  <si>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</si>
  <si>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</si>
  <si>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</si>
  <si>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</si>
  <si>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</si>
  <si>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</si>
  <si>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</si>
  <si>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</si>
  <si>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</si>
  <si>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</si>
  <si>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</si>
  <si>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</si>
  <si>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</si>
  <si>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</si>
  <si>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</si>
  <si>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</si>
  <si>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</si>
  <si>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</si>
  <si>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</si>
  <si>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</si>
  <si>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</si>
  <si>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</si>
  <si>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</si>
  <si>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</si>
  <si>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</si>
  <si>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</si>
  <si>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</si>
  <si>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</si>
  <si>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</si>
  <si>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</si>
  <si>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</si>
  <si>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</si>
  <si>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</si>
  <si>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</si>
  <si>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</si>
  <si>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</si>
  <si>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</si>
  <si>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</si>
  <si>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</si>
  <si>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</si>
  <si>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</si>
  <si>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</si>
  <si>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</si>
  <si>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</si>
  <si>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</si>
  <si>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</si>
  <si>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</si>
  <si>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</si>
  <si>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</si>
  <si>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</si>
  <si>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</si>
  <si>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</si>
  <si>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</si>
  <si>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</si>
  <si>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</si>
  <si>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</si>
  <si>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</si>
  <si>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</si>
  <si>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</si>
  <si>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</si>
  <si>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</si>
  <si>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</si>
  <si>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</si>
  <si>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</si>
  <si>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</si>
  <si>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</si>
  <si>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</si>
  <si>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</si>
  <si>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</si>
  <si>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</si>
  <si>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</si>
  <si>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</si>
  <si>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</si>
  <si>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</si>
  <si>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</si>
  <si>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</si>
  <si>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</si>
  <si>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</si>
  <si>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</si>
  <si>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</si>
  <si>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</si>
  <si>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</si>
  <si>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</si>
  <si>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</si>
  <si>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</si>
  <si>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</si>
  <si>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</si>
  <si>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</si>
  <si>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</si>
  <si>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</si>
  <si>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</si>
  <si>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</si>
  <si>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</si>
  <si>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</si>
  <si>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</si>
  <si>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</si>
  <si>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</si>
  <si>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</si>
  <si>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</si>
  <si>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</si>
  <si>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</si>
  <si>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</si>
  <si>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</si>
  <si>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</si>
  <si>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</si>
  <si>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</si>
  <si>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</si>
  <si>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</si>
  <si>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</si>
  <si>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</si>
  <si>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</si>
  <si>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</si>
  <si>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</si>
  <si>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</si>
  <si>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</si>
  <si>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</si>
  <si>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</si>
  <si>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</si>
  <si>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</si>
  <si>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</si>
  <si>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</si>
  <si>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</si>
  <si>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</si>
  <si>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</si>
  <si>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</si>
  <si>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</si>
  <si>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</si>
  <si>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</si>
  <si>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</si>
  <si>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</si>
  <si>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</si>
  <si>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</si>
  <si>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</si>
  <si>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</si>
  <si>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</si>
  <si>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</si>
  <si>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</si>
  <si>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</si>
  <si>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</si>
  <si>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</si>
  <si>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</si>
  <si>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</si>
  <si>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</si>
  <si>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</si>
  <si>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</si>
  <si>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</si>
  <si>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</si>
  <si>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</si>
  <si>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</si>
  <si>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</si>
  <si>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</si>
  <si>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</si>
  <si>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</si>
  <si>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</si>
  <si>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</si>
  <si>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</si>
  <si>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</si>
  <si>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</si>
  <si>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</si>
  <si>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</si>
  <si>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</si>
  <si>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</si>
  <si>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</si>
  <si>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</si>
  <si>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</si>
  <si>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</si>
  <si>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</si>
  <si>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</si>
  <si>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</si>
  <si>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</si>
  <si>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</si>
  <si>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</si>
  <si>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</si>
  <si>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</si>
  <si>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</si>
  <si>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</si>
  <si>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</si>
  <si>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</si>
  <si>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</si>
  <si>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</si>
  <si>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</si>
  <si>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</si>
  <si>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</si>
  <si>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</si>
  <si>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</si>
  <si>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</si>
  <si>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</si>
  <si>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</si>
  <si>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</si>
  <si>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</si>
  <si>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</si>
  <si>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</si>
  <si>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</si>
  <si>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</si>
  <si>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</si>
  <si>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</si>
  <si>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</si>
  <si>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</si>
  <si>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</si>
  <si>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</si>
  <si>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</si>
  <si>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</si>
  <si>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</si>
  <si>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</si>
  <si>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</si>
  <si>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</si>
  <si>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</si>
  <si>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</si>
  <si>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</si>
  <si>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</si>
  <si>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</si>
  <si>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</si>
  <si>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</si>
  <si>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</si>
  <si>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</si>
  <si>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</si>
  <si>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</si>
  <si>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</si>
  <si>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</si>
  <si>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</si>
  <si>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</si>
  <si>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</si>
  <si>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</si>
  <si>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</si>
  <si>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</si>
  <si>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</si>
  <si>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</si>
  <si>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</si>
  <si>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</si>
  <si>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</si>
  <si>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</si>
  <si>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</si>
  <si>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</si>
  <si>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</si>
  <si>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</si>
  <si>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</si>
  <si>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</si>
  <si>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</si>
  <si>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</si>
  <si>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</si>
  <si>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</si>
  <si>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</si>
  <si>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</si>
  <si>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</si>
  <si>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</si>
  <si>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</si>
  <si>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</si>
  <si>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</si>
  <si>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</si>
  <si>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</si>
  <si>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</si>
  <si>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</si>
  <si>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</si>
  <si>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</si>
  <si>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</si>
  <si>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</si>
  <si>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</si>
  <si>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</si>
  <si>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</si>
  <si>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</si>
  <si>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</si>
  <si>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</si>
  <si>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</si>
  <si>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</si>
  <si>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</si>
  <si>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</si>
  <si>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</si>
  <si>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</si>
  <si>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</si>
  <si>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</si>
  <si>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</si>
  <si>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</si>
  <si>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</si>
  <si>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</si>
  <si>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</si>
  <si>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</si>
  <si>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</si>
  <si>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</si>
  <si>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</si>
  <si>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</si>
  <si>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</si>
  <si>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</si>
  <si>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</si>
  <si>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</si>
  <si>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</si>
  <si>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</si>
  <si>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</si>
  <si>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</si>
  <si>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</si>
  <si>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</si>
  <si>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</si>
  <si>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</si>
  <si>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</si>
  <si>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</si>
  <si>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</si>
  <si>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</si>
  <si>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</si>
  <si>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</si>
  <si>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</si>
  <si>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</si>
  <si>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</si>
  <si>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</si>
  <si>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</si>
  <si>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</si>
  <si>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</si>
  <si>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</si>
  <si>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</si>
  <si>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</si>
  <si>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</si>
  <si>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</si>
  <si>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</si>
  <si>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</si>
  <si>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</si>
  <si>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</si>
  <si>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</si>
  <si>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</si>
  <si>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</si>
  <si>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</si>
  <si>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</si>
  <si>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</si>
  <si>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</si>
  <si>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</si>
  <si>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</si>
  <si>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</si>
  <si>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</si>
  <si>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</si>
  <si>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</si>
  <si>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</si>
  <si>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</si>
  <si>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</si>
  <si>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</si>
  <si>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</si>
  <si>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</si>
  <si>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</si>
  <si>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</si>
  <si>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</si>
  <si>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</si>
  <si>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</si>
  <si>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</si>
  <si>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</si>
  <si>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</si>
  <si>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</si>
  <si>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</si>
  <si>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</si>
  <si>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</si>
  <si>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</si>
  <si>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</si>
  <si>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</si>
  <si>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</si>
  <si>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</si>
  <si>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</si>
  <si>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</si>
  <si>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</si>
  <si>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</si>
  <si>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</si>
  <si>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</si>
  <si>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</si>
  <si>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</si>
  <si>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</si>
  <si>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</si>
  <si>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</si>
  <si>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</si>
  <si>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</si>
  <si>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</si>
  <si>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</si>
  <si>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</si>
  <si>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</si>
  <si>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</si>
  <si>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</si>
  <si>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</si>
  <si>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</si>
  <si>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</si>
  <si>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</si>
  <si>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</si>
  <si>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</si>
  <si>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</si>
  <si>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</si>
  <si>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</si>
  <si>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</si>
  <si>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</si>
  <si>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</si>
  <si>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</si>
  <si>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</si>
  <si>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</si>
  <si>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</si>
  <si>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</si>
  <si>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</si>
  <si>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</si>
  <si>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</si>
  <si>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</si>
  <si>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</si>
  <si>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</si>
  <si>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</si>
  <si>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</si>
  <si>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</si>
  <si>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</si>
  <si>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</si>
  <si>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</si>
  <si>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</si>
  <si>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</si>
  <si>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</si>
  <si>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</si>
  <si>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</si>
  <si>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</si>
  <si>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</si>
  <si>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</si>
  <si>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</si>
  <si>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</si>
  <si>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</si>
  <si>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</si>
  <si>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</si>
  <si>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</si>
  <si>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</si>
  <si>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</si>
  <si>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</si>
  <si>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</si>
  <si>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</si>
  <si>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</si>
  <si>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</si>
  <si>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</si>
  <si>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</si>
  <si>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</si>
  <si>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</si>
  <si>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</si>
  <si>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</si>
  <si>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</si>
  <si>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</si>
  <si>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</si>
  <si>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</si>
  <si>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</si>
  <si>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</si>
  <si>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</si>
  <si>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</si>
  <si>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</si>
  <si>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</si>
  <si>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</si>
  <si>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</si>
  <si>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</si>
  <si>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</si>
  <si>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</si>
  <si>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</si>
  <si>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</si>
  <si>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</si>
  <si>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</si>
  <si>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</si>
  <si>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</si>
  <si>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</si>
  <si>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</si>
  <si>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</si>
  <si>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</si>
  <si>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</si>
  <si>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</si>
  <si>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</si>
  <si>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</si>
  <si>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</si>
  <si>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</si>
  <si>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</si>
  <si>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</si>
  <si>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</si>
  <si>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</si>
  <si>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</si>
  <si>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</si>
  <si>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</si>
  <si>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</si>
  <si>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</si>
  <si>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</si>
  <si>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</si>
  <si>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</si>
  <si>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</si>
  <si>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</si>
  <si>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</si>
  <si>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</si>
  <si>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</si>
  <si>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</si>
  <si>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</si>
  <si>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</si>
  <si>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</si>
  <si>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</si>
  <si>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</si>
  <si>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</si>
  <si>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</si>
  <si>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</si>
  <si>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</si>
  <si>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</si>
  <si>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</si>
  <si>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</si>
  <si>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</si>
  <si>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</si>
  <si>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</si>
  <si>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</si>
  <si>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</si>
  <si>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</si>
  <si>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</si>
  <si>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</si>
  <si>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</si>
  <si>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</si>
  <si>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</si>
  <si>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</si>
  <si>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</si>
  <si>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</si>
  <si>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</si>
  <si>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</si>
  <si>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</si>
  <si>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</si>
  <si>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</si>
  <si>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</si>
  <si>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</si>
  <si>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</si>
  <si>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</si>
  <si>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</si>
  <si>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</si>
  <si>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</si>
  <si>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</si>
  <si>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</si>
  <si>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</si>
  <si>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</si>
  <si>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</si>
  <si>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</si>
  <si>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</si>
  <si>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</si>
  <si>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</si>
  <si>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</si>
  <si>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</si>
  <si>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</si>
  <si>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</si>
  <si>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</si>
  <si>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</si>
  <si>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</si>
  <si>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</si>
  <si>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</si>
  <si>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</si>
  <si>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</si>
  <si>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</si>
  <si>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</si>
  <si>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</si>
  <si>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</si>
  <si>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</si>
  <si>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</si>
  <si>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</si>
  <si>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</si>
  <si>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</si>
  <si>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PIEDMONT  CEMETERY #1</t>
  </si>
  <si>
    <t>GREENWOOD</t>
  </si>
  <si>
    <t>ELK</t>
  </si>
  <si>
    <t>NONE</t>
  </si>
  <si>
    <t>Treasurer</t>
  </si>
  <si>
    <t>DEANNA M. SMITH, EA</t>
  </si>
  <si>
    <t>DEANNA SMITH ACCOUNTING</t>
  </si>
  <si>
    <t>PO BOX 427</t>
  </si>
  <si>
    <t>MADISON,  KS   66860</t>
  </si>
  <si>
    <t>dee_acc@Yahoo.com</t>
  </si>
  <si>
    <t>Allen Wunderlich</t>
  </si>
  <si>
    <t>Grave Services</t>
  </si>
  <si>
    <t>Mowing</t>
  </si>
  <si>
    <t>Clean up</t>
  </si>
  <si>
    <t>Accounting</t>
  </si>
  <si>
    <t>Tree Removal</t>
  </si>
  <si>
    <t>Sale of Lots</t>
  </si>
  <si>
    <t>Upgrading</t>
  </si>
  <si>
    <t xml:space="preserve">Spraying </t>
  </si>
  <si>
    <t>Residence of Allen Wunderlich</t>
  </si>
  <si>
    <t>August 18, 2014</t>
  </si>
  <si>
    <t xml:space="preserve">8:00 A. M.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</si>
</sst>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0">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8"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2" fontId="4" fillId="42" borderId="13"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3" xfId="0" applyNumberFormat="1" applyFont="1" applyFill="1" applyBorder="1" applyAlignment="1" applyProtection="1">
      <alignment horizontal="center"/>
      <protection/>
    </xf>
    <xf numFmtId="0" fontId="4" fillId="47" borderId="20" xfId="0" applyFont="1" applyFill="1" applyBorder="1" applyAlignment="1" applyProtection="1">
      <alignment vertical="center"/>
      <protection/>
    </xf>
    <xf numFmtId="188" fontId="4" fillId="47" borderId="14" xfId="0" applyNumberFormat="1" applyFont="1" applyFill="1" applyBorder="1" applyAlignment="1" applyProtection="1">
      <alignment horizontal="center" vertical="center"/>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3" xfId="0" applyNumberFormat="1" applyFont="1" applyFill="1" applyBorder="1" applyAlignment="1" applyProtection="1">
      <alignment horizontal="center"/>
      <protection locked="0"/>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0" fontId="8" fillId="34" borderId="24" xfId="0" applyFont="1" applyFill="1" applyBorder="1" applyAlignment="1" applyProtection="1">
      <alignment horizontal="center"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49" fontId="4" fillId="33" borderId="26"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84" fillId="42" borderId="0" xfId="0" applyFont="1" applyFill="1" applyAlignment="1">
      <alignment horizontal="center" wrapText="1"/>
    </xf>
    <xf numFmtId="0" fontId="30"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0" fillId="42" borderId="0" xfId="0" applyFont="1" applyFill="1" applyAlignment="1">
      <alignment wrapText="1"/>
    </xf>
    <xf numFmtId="188" fontId="30" fillId="44" borderId="10" xfId="0" applyNumberFormat="1" applyFont="1" applyFill="1" applyBorder="1" applyAlignment="1" applyProtection="1">
      <alignment horizontal="center"/>
      <protection locked="0"/>
    </xf>
    <xf numFmtId="188" fontId="30" fillId="42" borderId="0" xfId="0" applyNumberFormat="1" applyFont="1" applyFill="1" applyAlignment="1">
      <alignment/>
    </xf>
    <xf numFmtId="0" fontId="84" fillId="42" borderId="29" xfId="0" applyFont="1" applyFill="1" applyBorder="1" applyAlignment="1">
      <alignment horizontal="center" vertical="center"/>
    </xf>
    <xf numFmtId="0" fontId="30" fillId="0" borderId="0" xfId="0" applyFont="1" applyAlignment="1">
      <alignment wrapText="1"/>
    </xf>
    <xf numFmtId="188" fontId="30" fillId="42" borderId="0" xfId="0" applyNumberFormat="1" applyFont="1" applyFill="1" applyAlignment="1">
      <alignment horizontal="center"/>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5" fontId="30" fillId="42" borderId="10" xfId="0" applyNumberFormat="1" applyFont="1" applyFill="1" applyBorder="1" applyAlignment="1">
      <alignment horizont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42" borderId="0" xfId="0" applyFont="1" applyFill="1" applyBorder="1" applyAlignment="1">
      <alignment horizontal="center"/>
    </xf>
    <xf numFmtId="188" fontId="30" fillId="42" borderId="0" xfId="0" applyNumberFormat="1" applyFont="1" applyFill="1" applyBorder="1" applyAlignment="1">
      <alignment horizontal="center"/>
    </xf>
    <xf numFmtId="0" fontId="30" fillId="42" borderId="26" xfId="0"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M63" sqref="M63"/>
    </sheetView>
  </sheetViews>
  <sheetFormatPr defaultColWidth="8.796875" defaultRowHeight="15"/>
  <cols>
    <col min="1" max="1" width="81.69921875" style="1" customWidth="1"/>
    <col min="2" max="16384" width="8.8984375" style="1" customWidth="1"/>
  </cols>
  <sheetData>
    <row r="1" spans="1:2" ht="15.75">
      <c r="A1" s="5" t="s">
        <v>157</v>
      </c>
      <c r="B1" s="6"/>
    </row>
    <row r="2" spans="1:2" ht="15.75">
      <c r="A2" s="5"/>
      <c r="B2" s="6"/>
    </row>
    <row r="3" ht="35.25" customHeight="1">
      <c r="A3" s="3" t="s">
        <v>764</v>
      </c>
    </row>
    <row r="4" ht="15.75">
      <c r="A4" s="7"/>
    </row>
    <row r="5" ht="15.75">
      <c r="A5" s="7" t="s">
        <v>533</v>
      </c>
    </row>
    <row r="6" ht="15.75">
      <c r="A6" s="7"/>
    </row>
    <row r="7" ht="55.5" customHeight="1">
      <c r="A7" s="71" t="s">
        <v>255</v>
      </c>
    </row>
    <row r="8" ht="15.75">
      <c r="A8" s="7"/>
    </row>
    <row r="9" spans="1:2" ht="15.75">
      <c r="A9" s="8" t="s">
        <v>215</v>
      </c>
      <c r="B9" s="6"/>
    </row>
    <row r="10" ht="14.25" customHeight="1">
      <c r="A10" s="4"/>
    </row>
    <row r="11" ht="20.25" customHeight="1">
      <c r="A11" s="7" t="s">
        <v>216</v>
      </c>
    </row>
    <row r="12" ht="14.25" customHeight="1">
      <c r="A12" s="4"/>
    </row>
    <row r="13" s="3" customFormat="1" ht="40.5" customHeight="1">
      <c r="A13" s="2" t="s">
        <v>256</v>
      </c>
    </row>
    <row r="16" ht="15.75">
      <c r="A16" s="8" t="s">
        <v>0</v>
      </c>
    </row>
    <row r="17" ht="15.75">
      <c r="A17" s="4"/>
    </row>
    <row r="18" ht="17.25" customHeight="1">
      <c r="A18" s="10" t="s">
        <v>113</v>
      </c>
    </row>
    <row r="19" ht="24.75" customHeight="1">
      <c r="A19" s="377" t="s">
        <v>112</v>
      </c>
    </row>
    <row r="20" ht="52.5" customHeight="1">
      <c r="A20" s="375" t="s">
        <v>114</v>
      </c>
    </row>
    <row r="21" ht="20.25" customHeight="1">
      <c r="A21" s="376" t="s">
        <v>155</v>
      </c>
    </row>
    <row r="22" s="27" customFormat="1" ht="20.25" customHeight="1">
      <c r="A22" s="350" t="s">
        <v>156</v>
      </c>
    </row>
    <row r="23" ht="21" customHeight="1">
      <c r="A23" s="2" t="s">
        <v>69</v>
      </c>
    </row>
    <row r="24" ht="15.75">
      <c r="A24" s="4"/>
    </row>
    <row r="25" ht="15.75">
      <c r="A25" s="9" t="s">
        <v>1</v>
      </c>
    </row>
    <row r="27" ht="21" customHeight="1">
      <c r="A27" s="345" t="s">
        <v>681</v>
      </c>
    </row>
    <row r="28" ht="9" customHeight="1">
      <c r="A28" s="120"/>
    </row>
    <row r="29" ht="62.25" customHeight="1">
      <c r="A29" s="345" t="s">
        <v>741</v>
      </c>
    </row>
    <row r="30" ht="51.75" customHeight="1">
      <c r="A30" s="536" t="s">
        <v>203</v>
      </c>
    </row>
    <row r="31" ht="84.75" customHeight="1">
      <c r="A31" s="536" t="s">
        <v>742</v>
      </c>
    </row>
    <row r="32" ht="14.25" customHeight="1">
      <c r="A32" s="536"/>
    </row>
    <row r="33" ht="55.5" customHeight="1">
      <c r="A33" s="634" t="s">
        <v>743</v>
      </c>
    </row>
    <row r="34" ht="73.5" customHeight="1">
      <c r="A34" s="372" t="s">
        <v>514</v>
      </c>
    </row>
    <row r="35" ht="73.5" customHeight="1">
      <c r="A35" s="537" t="s">
        <v>744</v>
      </c>
    </row>
    <row r="36" ht="16.5" customHeight="1">
      <c r="A36" s="120"/>
    </row>
    <row r="37" ht="56.25" customHeight="1">
      <c r="A37" s="345" t="s">
        <v>674</v>
      </c>
    </row>
    <row r="38" ht="52.5" customHeight="1">
      <c r="A38" s="345" t="s">
        <v>515</v>
      </c>
    </row>
    <row r="39" ht="101.25" customHeight="1">
      <c r="A39" s="345" t="s">
        <v>675</v>
      </c>
    </row>
    <row r="40" ht="15.75" customHeight="1">
      <c r="A40" s="345"/>
    </row>
    <row r="41" ht="69" customHeight="1">
      <c r="A41" s="345" t="s">
        <v>516</v>
      </c>
    </row>
    <row r="42" ht="87.75" customHeight="1">
      <c r="A42" s="345" t="s">
        <v>767</v>
      </c>
    </row>
    <row r="43" ht="52.5" customHeight="1">
      <c r="A43" s="345" t="s">
        <v>745</v>
      </c>
    </row>
    <row r="44" ht="16.5" customHeight="1">
      <c r="A44" s="345"/>
    </row>
    <row r="45" ht="73.5" customHeight="1">
      <c r="A45" s="345" t="s">
        <v>768</v>
      </c>
    </row>
    <row r="46" ht="133.5" customHeight="1">
      <c r="A46" s="345" t="s">
        <v>770</v>
      </c>
    </row>
    <row r="47" ht="38.25" customHeight="1">
      <c r="A47" s="345" t="s">
        <v>769</v>
      </c>
    </row>
    <row r="48" ht="16.5" customHeight="1">
      <c r="A48" s="120"/>
    </row>
    <row r="49" ht="53.25" customHeight="1">
      <c r="A49" s="345" t="s">
        <v>761</v>
      </c>
    </row>
    <row r="50" ht="15.75" customHeight="1">
      <c r="A50" s="120"/>
    </row>
    <row r="51" ht="49.5" customHeight="1">
      <c r="A51" s="345" t="s">
        <v>517</v>
      </c>
    </row>
    <row r="52" ht="41.25" customHeight="1">
      <c r="A52" s="120" t="s">
        <v>518</v>
      </c>
    </row>
    <row r="53" ht="66" customHeight="1">
      <c r="A53" s="345" t="s">
        <v>535</v>
      </c>
    </row>
    <row r="54" ht="34.5" customHeight="1">
      <c r="A54" s="345" t="s">
        <v>519</v>
      </c>
    </row>
    <row r="55" ht="15.75" customHeight="1">
      <c r="A55" s="120"/>
    </row>
    <row r="56" ht="72" customHeight="1">
      <c r="A56" s="345" t="s">
        <v>520</v>
      </c>
    </row>
    <row r="57" s="3" customFormat="1" ht="18.75" customHeight="1">
      <c r="A57" s="120"/>
    </row>
    <row r="58" ht="75" customHeight="1">
      <c r="A58" s="345" t="s">
        <v>521</v>
      </c>
    </row>
    <row r="59" s="3" customFormat="1" ht="18.75" customHeight="1">
      <c r="A59" s="345"/>
    </row>
    <row r="60" ht="48" customHeight="1">
      <c r="A60" s="345" t="s">
        <v>676</v>
      </c>
    </row>
    <row r="61" ht="84.75" customHeight="1">
      <c r="A61" s="535" t="s">
        <v>746</v>
      </c>
    </row>
    <row r="62" ht="65.25" customHeight="1">
      <c r="A62" s="535" t="s">
        <v>747</v>
      </c>
    </row>
    <row r="63" ht="66.75" customHeight="1">
      <c r="A63" s="537" t="s">
        <v>748</v>
      </c>
    </row>
    <row r="64" ht="69.75" customHeight="1">
      <c r="A64" s="345" t="s">
        <v>749</v>
      </c>
    </row>
    <row r="65" ht="78" customHeight="1">
      <c r="A65" s="345" t="s">
        <v>750</v>
      </c>
    </row>
    <row r="66" ht="90.75" customHeight="1">
      <c r="A66" s="346" t="s">
        <v>751</v>
      </c>
    </row>
    <row r="67" ht="88.5" customHeight="1">
      <c r="A67" s="347" t="s">
        <v>752</v>
      </c>
    </row>
    <row r="68" ht="59.25" customHeight="1">
      <c r="A68" s="348" t="s">
        <v>753</v>
      </c>
    </row>
    <row r="69" ht="87.75" customHeight="1">
      <c r="A69" s="345" t="s">
        <v>754</v>
      </c>
    </row>
    <row r="70" ht="87.75" customHeight="1">
      <c r="A70" s="349" t="s">
        <v>755</v>
      </c>
    </row>
    <row r="71" ht="17.25" customHeight="1">
      <c r="A71" s="345"/>
    </row>
    <row r="72" ht="114" customHeight="1">
      <c r="A72" s="345" t="s">
        <v>522</v>
      </c>
    </row>
    <row r="73" ht="48.75" customHeight="1">
      <c r="A73" s="538" t="s">
        <v>523</v>
      </c>
    </row>
    <row r="74" ht="54" customHeight="1">
      <c r="A74" s="538" t="s">
        <v>524</v>
      </c>
    </row>
    <row r="75" ht="25.5" customHeight="1">
      <c r="A75" s="345" t="s">
        <v>525</v>
      </c>
    </row>
    <row r="76" ht="12" customHeight="1">
      <c r="A76" s="345"/>
    </row>
    <row r="77" ht="58.5" customHeight="1">
      <c r="A77" s="345" t="s">
        <v>526</v>
      </c>
    </row>
    <row r="78" ht="38.25" customHeight="1">
      <c r="A78" s="345" t="s">
        <v>677</v>
      </c>
    </row>
    <row r="79" ht="38.25" customHeight="1">
      <c r="A79" s="535" t="s">
        <v>760</v>
      </c>
    </row>
    <row r="80" ht="106.5" customHeight="1">
      <c r="A80" s="535" t="s">
        <v>759</v>
      </c>
    </row>
    <row r="81" ht="138.75" customHeight="1">
      <c r="A81" s="345" t="s">
        <v>758</v>
      </c>
    </row>
    <row r="82" ht="69.75" customHeight="1">
      <c r="A82" s="345" t="s">
        <v>757</v>
      </c>
    </row>
    <row r="83" ht="59.25" customHeight="1">
      <c r="A83" s="635" t="s">
        <v>756</v>
      </c>
    </row>
    <row r="84" ht="15.75">
      <c r="A84" s="120"/>
    </row>
    <row r="85" ht="31.5">
      <c r="A85" s="345" t="s">
        <v>527</v>
      </c>
    </row>
    <row r="86" ht="15.75">
      <c r="A86" s="120"/>
    </row>
    <row r="87" ht="15.75">
      <c r="A87" s="345" t="s">
        <v>528</v>
      </c>
    </row>
    <row r="88" ht="15.75">
      <c r="A88" s="120"/>
    </row>
    <row r="89" ht="53.25" customHeight="1">
      <c r="A89" s="535" t="s">
        <v>678</v>
      </c>
    </row>
    <row r="90" ht="85.5" customHeight="1">
      <c r="A90" s="535" t="s">
        <v>679</v>
      </c>
    </row>
    <row r="91" ht="100.5" customHeight="1">
      <c r="A91" s="535" t="s">
        <v>680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PIEDMONT  CEMETERY #1</v>
      </c>
      <c r="C1" s="74"/>
      <c r="D1" s="74"/>
      <c r="E1" s="74"/>
      <c r="F1" s="74"/>
      <c r="G1" s="74"/>
      <c r="H1" s="74"/>
      <c r="I1" s="74"/>
      <c r="J1" s="74"/>
      <c r="K1" s="74"/>
      <c r="L1" s="244">
        <f>inputPrYr!D11</f>
        <v>2015</v>
      </c>
    </row>
    <row r="2" spans="1:12" ht="15.75">
      <c r="A2" s="245"/>
      <c r="B2" s="74" t="str">
        <f>inputPrYr!$D$4</f>
        <v>GREENWOOD</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9" t="s">
        <v>78</v>
      </c>
      <c r="C4" s="744"/>
      <c r="D4" s="744"/>
      <c r="E4" s="744"/>
      <c r="F4" s="744"/>
      <c r="G4" s="744"/>
      <c r="H4" s="744"/>
      <c r="I4" s="744"/>
      <c r="J4" s="744"/>
      <c r="K4" s="744"/>
      <c r="L4" s="744"/>
    </row>
    <row r="5" spans="1:12" s="246" customFormat="1" ht="15.75">
      <c r="A5" s="245"/>
      <c r="B5" s="247"/>
      <c r="C5" s="247"/>
      <c r="D5" s="247"/>
      <c r="E5" s="247"/>
      <c r="F5" s="247"/>
      <c r="G5" s="247"/>
      <c r="H5" s="247"/>
      <c r="I5" s="247"/>
      <c r="J5" s="247"/>
      <c r="K5" s="247"/>
      <c r="L5" s="247"/>
    </row>
    <row r="6" spans="1:12" s="246" customFormat="1" ht="15.75">
      <c r="A6" s="245"/>
      <c r="B6" s="182" t="s">
        <v>717</v>
      </c>
      <c r="C6" s="182" t="s">
        <v>53</v>
      </c>
      <c r="D6" s="182" t="s">
        <v>61</v>
      </c>
      <c r="E6" s="182"/>
      <c r="F6" s="182" t="s">
        <v>25</v>
      </c>
      <c r="G6" s="248"/>
      <c r="H6" s="249"/>
      <c r="I6" s="248" t="s">
        <v>54</v>
      </c>
      <c r="J6" s="249"/>
      <c r="K6" s="248" t="s">
        <v>54</v>
      </c>
      <c r="L6" s="249"/>
    </row>
    <row r="7" spans="1:12" s="246" customFormat="1" ht="15.75">
      <c r="A7" s="245"/>
      <c r="B7" s="128" t="s">
        <v>719</v>
      </c>
      <c r="C7" s="128" t="s">
        <v>55</v>
      </c>
      <c r="D7" s="128" t="s">
        <v>56</v>
      </c>
      <c r="E7" s="128" t="s">
        <v>25</v>
      </c>
      <c r="F7" s="128" t="s">
        <v>115</v>
      </c>
      <c r="G7" s="250" t="s">
        <v>57</v>
      </c>
      <c r="H7" s="251"/>
      <c r="I7" s="250">
        <f>L1-1</f>
        <v>2014</v>
      </c>
      <c r="J7" s="251"/>
      <c r="K7" s="250">
        <f>L1</f>
        <v>2015</v>
      </c>
      <c r="L7" s="251"/>
    </row>
    <row r="8" spans="1:12" s="246" customFormat="1" ht="15.75">
      <c r="A8" s="245"/>
      <c r="B8" s="131" t="s">
        <v>718</v>
      </c>
      <c r="C8" s="131" t="s">
        <v>58</v>
      </c>
      <c r="D8" s="131" t="s">
        <v>36</v>
      </c>
      <c r="E8" s="131" t="s">
        <v>59</v>
      </c>
      <c r="F8" s="252" t="str">
        <f>CONCATENATE("Jan 1,",L1-1,"")</f>
        <v>Jan 1,2014</v>
      </c>
      <c r="G8" s="186" t="s">
        <v>61</v>
      </c>
      <c r="H8" s="186" t="s">
        <v>62</v>
      </c>
      <c r="I8" s="186" t="s">
        <v>61</v>
      </c>
      <c r="J8" s="186" t="s">
        <v>62</v>
      </c>
      <c r="K8" s="186" t="s">
        <v>61</v>
      </c>
      <c r="L8" s="186" t="s">
        <v>62</v>
      </c>
    </row>
    <row r="9" spans="1:12" s="246" customFormat="1" ht="15.75">
      <c r="A9" s="245"/>
      <c r="B9" s="92" t="s">
        <v>137</v>
      </c>
      <c r="C9" s="253"/>
      <c r="D9" s="92"/>
      <c r="E9" s="92"/>
      <c r="F9" s="92"/>
      <c r="G9" s="254"/>
      <c r="H9" s="254"/>
      <c r="I9" s="92"/>
      <c r="J9" s="92"/>
      <c r="K9" s="92"/>
      <c r="L9" s="92"/>
    </row>
    <row r="10" spans="1:12" s="246" customFormat="1" ht="15.75">
      <c r="A10" s="245"/>
      <c r="B10" s="255" t="s">
        <v>812</v>
      </c>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138</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139</v>
      </c>
      <c r="C13" s="264"/>
      <c r="D13" s="265"/>
      <c r="E13" s="266"/>
      <c r="F13" s="133"/>
      <c r="G13" s="262"/>
      <c r="H13" s="262"/>
      <c r="I13" s="133"/>
      <c r="J13" s="133"/>
      <c r="K13" s="133"/>
      <c r="L13" s="133"/>
    </row>
    <row r="14" spans="1:12" s="246" customFormat="1" ht="15.75">
      <c r="A14" s="245"/>
      <c r="B14" s="97" t="s">
        <v>812</v>
      </c>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140</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141</v>
      </c>
      <c r="C17" s="264"/>
      <c r="D17" s="265"/>
      <c r="E17" s="266"/>
      <c r="F17" s="133"/>
      <c r="G17" s="262"/>
      <c r="H17" s="262"/>
      <c r="I17" s="133"/>
      <c r="J17" s="133"/>
      <c r="K17" s="133"/>
      <c r="L17" s="133"/>
    </row>
    <row r="18" spans="1:12" s="246" customFormat="1" ht="15.75">
      <c r="A18" s="245"/>
      <c r="B18" s="97" t="s">
        <v>812</v>
      </c>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142</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79</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9" t="s">
        <v>73</v>
      </c>
      <c r="C23" s="744"/>
      <c r="D23" s="744"/>
      <c r="E23" s="744"/>
      <c r="F23" s="744"/>
      <c r="G23" s="744"/>
      <c r="H23" s="744"/>
      <c r="I23" s="744"/>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60</v>
      </c>
      <c r="E25" s="160"/>
      <c r="F25" s="182" t="s">
        <v>8</v>
      </c>
      <c r="G25" s="160"/>
      <c r="H25" s="160"/>
      <c r="I25" s="160"/>
      <c r="J25" s="272"/>
      <c r="K25" s="273"/>
      <c r="L25" s="270"/>
    </row>
    <row r="26" spans="1:12" s="271" customFormat="1" ht="15.75">
      <c r="A26" s="245"/>
      <c r="B26" s="130"/>
      <c r="C26" s="128"/>
      <c r="D26" s="128" t="s">
        <v>55</v>
      </c>
      <c r="E26" s="128" t="s">
        <v>61</v>
      </c>
      <c r="F26" s="128" t="s">
        <v>25</v>
      </c>
      <c r="G26" s="128" t="s">
        <v>62</v>
      </c>
      <c r="H26" s="128" t="s">
        <v>63</v>
      </c>
      <c r="I26" s="128" t="s">
        <v>63</v>
      </c>
      <c r="J26" s="270"/>
      <c r="K26" s="270"/>
      <c r="L26" s="270"/>
    </row>
    <row r="27" spans="1:12" s="271" customFormat="1" ht="15.75">
      <c r="A27" s="245"/>
      <c r="B27" s="128" t="s">
        <v>720</v>
      </c>
      <c r="C27" s="128" t="s">
        <v>64</v>
      </c>
      <c r="D27" s="128" t="s">
        <v>65</v>
      </c>
      <c r="E27" s="128" t="s">
        <v>56</v>
      </c>
      <c r="F27" s="128" t="s">
        <v>66</v>
      </c>
      <c r="G27" s="128" t="s">
        <v>105</v>
      </c>
      <c r="H27" s="128" t="s">
        <v>67</v>
      </c>
      <c r="I27" s="128" t="s">
        <v>67</v>
      </c>
      <c r="J27" s="270"/>
      <c r="K27" s="270"/>
      <c r="L27" s="270"/>
    </row>
    <row r="28" spans="1:12" s="271" customFormat="1" ht="15.75">
      <c r="A28" s="245"/>
      <c r="B28" s="131" t="s">
        <v>721</v>
      </c>
      <c r="C28" s="131" t="s">
        <v>53</v>
      </c>
      <c r="D28" s="274" t="s">
        <v>68</v>
      </c>
      <c r="E28" s="131" t="s">
        <v>36</v>
      </c>
      <c r="F28" s="274" t="s">
        <v>116</v>
      </c>
      <c r="G28" s="252" t="str">
        <f>F8</f>
        <v>Jan 1,2014</v>
      </c>
      <c r="H28" s="131">
        <f>L1-1</f>
        <v>2014</v>
      </c>
      <c r="I28" s="131">
        <f>L1</f>
        <v>2015</v>
      </c>
      <c r="J28" s="270"/>
      <c r="K28" s="270"/>
      <c r="L28" s="270"/>
    </row>
    <row r="29" spans="1:12" s="271" customFormat="1" ht="15.75">
      <c r="A29" s="245"/>
      <c r="B29" s="97"/>
      <c r="C29" s="399"/>
      <c r="D29" s="275"/>
      <c r="E29" s="257"/>
      <c r="F29" s="94"/>
      <c r="G29" s="94"/>
      <c r="H29" s="94"/>
      <c r="I29" s="94"/>
      <c r="J29" s="270"/>
      <c r="K29" s="270"/>
      <c r="L29" s="270"/>
    </row>
    <row r="30" spans="1:12" s="271" customFormat="1" ht="15.75">
      <c r="A30" s="245"/>
      <c r="B30" s="97" t="s">
        <v>812</v>
      </c>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79</v>
      </c>
      <c r="G39" s="268">
        <f>SUM(G29:G38)</f>
        <v>0</v>
      </c>
      <c r="H39" s="268">
        <f>SUM(H29:H38)</f>
        <v>0</v>
      </c>
      <c r="I39" s="268">
        <f>SUM(I29:I38)</f>
        <v>0</v>
      </c>
      <c r="J39" s="247"/>
      <c r="K39" s="247"/>
      <c r="L39" s="277"/>
    </row>
    <row r="40" spans="1:12" ht="15.75">
      <c r="A40" s="245"/>
      <c r="B40" s="247" t="s">
        <v>104</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0">
      <selection activeCell="G71" sqref="G71"/>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PIEDMONT  CEMETERY #1</v>
      </c>
      <c r="C1" s="151"/>
      <c r="D1" s="74"/>
      <c r="E1" s="278">
        <f>inputPrYr!D11</f>
        <v>2015</v>
      </c>
      <c r="F1" s="564"/>
    </row>
    <row r="2" spans="2:6" ht="15.75">
      <c r="B2" s="74" t="str">
        <f>inputPrYr!D4</f>
        <v>GREENWOOD</v>
      </c>
      <c r="C2" s="151"/>
      <c r="D2" s="74"/>
      <c r="E2" s="155"/>
      <c r="F2" s="564"/>
    </row>
    <row r="3" spans="2:6" ht="15.75">
      <c r="B3" s="83"/>
      <c r="C3" s="151"/>
      <c r="D3" s="74"/>
      <c r="E3" s="244"/>
      <c r="F3" s="565"/>
    </row>
    <row r="4" spans="2:6" ht="15.75">
      <c r="B4" s="532" t="s">
        <v>74</v>
      </c>
      <c r="C4" s="531"/>
      <c r="D4" s="187"/>
      <c r="E4" s="187"/>
      <c r="F4" s="564"/>
    </row>
    <row r="5" spans="2:6" ht="15.75">
      <c r="B5" s="73" t="s">
        <v>26</v>
      </c>
      <c r="C5" s="390" t="s">
        <v>237</v>
      </c>
      <c r="D5" s="392" t="s">
        <v>239</v>
      </c>
      <c r="E5" s="280" t="s">
        <v>240</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109</v>
      </c>
      <c r="C7" s="385">
        <v>35691</v>
      </c>
      <c r="D7" s="389">
        <f>C62</f>
        <v>36474</v>
      </c>
      <c r="E7" s="134">
        <f>D62</f>
        <v>35255</v>
      </c>
      <c r="F7" s="564"/>
    </row>
    <row r="8" spans="2:6" ht="15.75">
      <c r="B8" s="209" t="s">
        <v>111</v>
      </c>
      <c r="C8" s="281"/>
      <c r="D8" s="281"/>
      <c r="E8" s="133"/>
      <c r="F8" s="564"/>
    </row>
    <row r="9" spans="2:6" ht="15.75">
      <c r="B9" s="193" t="s">
        <v>27</v>
      </c>
      <c r="C9" s="385">
        <v>5576</v>
      </c>
      <c r="D9" s="389">
        <f>IF(inputPrYr!H23&gt;0,inputPrYr!G24,inputPrYr!E24)</f>
        <v>4996</v>
      </c>
      <c r="E9" s="204" t="s">
        <v>21</v>
      </c>
      <c r="F9" s="564"/>
    </row>
    <row r="10" spans="2:6" ht="15.75">
      <c r="B10" s="193" t="s">
        <v>28</v>
      </c>
      <c r="C10" s="385"/>
      <c r="D10" s="385"/>
      <c r="E10" s="259"/>
      <c r="F10" s="564"/>
    </row>
    <row r="11" spans="2:6" ht="15.75">
      <c r="B11" s="193" t="s">
        <v>29</v>
      </c>
      <c r="C11" s="385"/>
      <c r="D11" s="385">
        <v>350</v>
      </c>
      <c r="E11" s="134">
        <f>'mvalloc 3'!D11</f>
        <v>323</v>
      </c>
      <c r="F11" s="564"/>
    </row>
    <row r="12" spans="2:6" ht="15.75">
      <c r="B12" s="193" t="s">
        <v>30</v>
      </c>
      <c r="C12" s="385"/>
      <c r="D12" s="385"/>
      <c r="E12" s="134">
        <f>'mvalloc 3'!E11</f>
        <v>3</v>
      </c>
      <c r="F12" s="564"/>
    </row>
    <row r="13" spans="2:6" ht="15.75">
      <c r="B13" s="281" t="s">
        <v>102</v>
      </c>
      <c r="C13" s="385"/>
      <c r="D13" s="385"/>
      <c r="E13" s="134">
        <f>'mvalloc 3'!F11</f>
        <v>41</v>
      </c>
      <c r="F13" s="564"/>
    </row>
    <row r="14" spans="2:6" ht="15.75">
      <c r="B14" s="281" t="s">
        <v>151</v>
      </c>
      <c r="C14" s="385"/>
      <c r="D14" s="385"/>
      <c r="E14" s="134">
        <f>inputOth!D84</f>
        <v>0</v>
      </c>
      <c r="F14" s="564"/>
    </row>
    <row r="15" spans="2:6" ht="15.75">
      <c r="B15" s="282" t="s">
        <v>820</v>
      </c>
      <c r="C15" s="385">
        <v>150</v>
      </c>
      <c r="D15" s="385">
        <v>200</v>
      </c>
      <c r="E15" s="259">
        <v>500</v>
      </c>
      <c r="F15" s="564"/>
    </row>
    <row r="16" spans="2:6" ht="15.75">
      <c r="B16" s="403" t="s">
        <v>825</v>
      </c>
      <c r="C16" s="385"/>
      <c r="D16" s="385">
        <v>1000</v>
      </c>
      <c r="E16" s="259">
        <v>2000</v>
      </c>
      <c r="F16" s="564"/>
    </row>
    <row r="17" spans="2:6" ht="15.75">
      <c r="B17" s="282"/>
      <c r="C17" s="385"/>
      <c r="D17" s="385"/>
      <c r="E17" s="259"/>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640</v>
      </c>
      <c r="C29" s="385"/>
      <c r="D29" s="385"/>
      <c r="E29" s="259"/>
      <c r="F29" s="564"/>
    </row>
    <row r="30" spans="2:6" ht="15.75">
      <c r="B30" s="283" t="s">
        <v>31</v>
      </c>
      <c r="C30" s="385">
        <v>67</v>
      </c>
      <c r="D30" s="385">
        <v>60</v>
      </c>
      <c r="E30" s="259">
        <v>50</v>
      </c>
      <c r="F30" s="564"/>
    </row>
    <row r="31" spans="2:6" ht="15.75">
      <c r="B31" s="284" t="s">
        <v>202</v>
      </c>
      <c r="C31" s="385"/>
      <c r="D31" s="385"/>
      <c r="E31" s="94"/>
      <c r="F31" s="564"/>
    </row>
    <row r="32" spans="2:6" ht="15.75">
      <c r="B32" s="284" t="s">
        <v>546</v>
      </c>
      <c r="C32" s="387">
        <f>IF(C33*0.1&lt;C31,"Exceed 10% Rule","")</f>
      </c>
      <c r="D32" s="387">
        <f>IF(D33*0.1&lt;D31,"Exceed 10% Rule","")</f>
      </c>
      <c r="E32" s="402">
        <f>IF(E33*0.1+E68&lt;E31,"Exceed 10% Rule","")</f>
      </c>
      <c r="F32" s="564"/>
    </row>
    <row r="33" spans="2:6" ht="15.75">
      <c r="B33" s="287" t="s">
        <v>32</v>
      </c>
      <c r="C33" s="388">
        <f>SUM(C9:C31)</f>
        <v>5793</v>
      </c>
      <c r="D33" s="388">
        <f>SUM(D9:D31)</f>
        <v>6606</v>
      </c>
      <c r="E33" s="288">
        <f>SUM(E9:E31)</f>
        <v>2917</v>
      </c>
      <c r="F33" s="564"/>
    </row>
    <row r="34" spans="2:6" ht="15.75">
      <c r="B34" s="287" t="s">
        <v>33</v>
      </c>
      <c r="C34" s="388">
        <f>C7+C33</f>
        <v>41484</v>
      </c>
      <c r="D34" s="388">
        <f>D7+D33</f>
        <v>43080</v>
      </c>
      <c r="E34" s="288">
        <f>E7+E33</f>
        <v>38172</v>
      </c>
      <c r="F34" s="564"/>
    </row>
    <row r="35" spans="2:6" ht="15.75">
      <c r="B35" s="193" t="s">
        <v>34</v>
      </c>
      <c r="C35" s="196"/>
      <c r="D35" s="196"/>
      <c r="E35" s="106"/>
      <c r="F35" s="564"/>
    </row>
    <row r="36" spans="2:6" ht="15.75">
      <c r="B36" s="282" t="s">
        <v>821</v>
      </c>
      <c r="C36" s="385">
        <v>4675</v>
      </c>
      <c r="D36" s="385">
        <v>7500</v>
      </c>
      <c r="E36" s="94">
        <v>10000</v>
      </c>
      <c r="F36" s="564"/>
    </row>
    <row r="37" spans="2:6" ht="15.75">
      <c r="B37" s="282" t="s">
        <v>823</v>
      </c>
      <c r="C37" s="385">
        <v>75</v>
      </c>
      <c r="D37" s="385">
        <v>75</v>
      </c>
      <c r="E37" s="94">
        <v>100</v>
      </c>
      <c r="F37" s="564"/>
    </row>
    <row r="38" spans="2:6" ht="15.75">
      <c r="B38" s="282" t="s">
        <v>824</v>
      </c>
      <c r="C38" s="385">
        <v>200</v>
      </c>
      <c r="D38" s="385">
        <v>250</v>
      </c>
      <c r="E38" s="94">
        <v>1000</v>
      </c>
      <c r="F38" s="564"/>
    </row>
    <row r="39" spans="2:6" ht="15.75">
      <c r="B39" s="282" t="s">
        <v>822</v>
      </c>
      <c r="C39" s="385">
        <v>60</v>
      </c>
      <c r="D39" s="385"/>
      <c r="E39" s="94">
        <v>1000</v>
      </c>
      <c r="F39" s="564"/>
    </row>
    <row r="40" spans="2:6" ht="15.75">
      <c r="B40" s="282" t="s">
        <v>826</v>
      </c>
      <c r="C40" s="385"/>
      <c r="D40" s="385"/>
      <c r="E40" s="94">
        <v>20000</v>
      </c>
      <c r="F40" s="564"/>
    </row>
    <row r="41" spans="2:6" ht="15.75">
      <c r="B41" s="282" t="s">
        <v>827</v>
      </c>
      <c r="C41" s="385"/>
      <c r="D41" s="385"/>
      <c r="E41" s="94">
        <v>11050</v>
      </c>
      <c r="F41" s="564"/>
    </row>
    <row r="42" spans="2:6" ht="15.75">
      <c r="B42" s="282"/>
      <c r="C42" s="385"/>
      <c r="D42" s="385"/>
      <c r="E42" s="94"/>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59" t="str">
        <f>CONCATENATE("Desired Carryover Into ",E3+1,"")</f>
        <v>Desired Carryover Into 1</v>
      </c>
      <c r="H52" s="760"/>
      <c r="I52" s="760"/>
      <c r="J52" s="761"/>
      <c r="K52" s="72"/>
    </row>
    <row r="53" spans="2:11" ht="15.75">
      <c r="B53" s="282"/>
      <c r="C53" s="385"/>
      <c r="D53" s="385"/>
      <c r="E53" s="94"/>
      <c r="F53" s="72"/>
      <c r="G53" s="500"/>
      <c r="H53" s="79"/>
      <c r="I53" s="494"/>
      <c r="J53" s="501"/>
      <c r="K53" s="72"/>
    </row>
    <row r="54" spans="2:11" ht="15.75">
      <c r="B54" s="282"/>
      <c r="C54" s="385"/>
      <c r="D54" s="385"/>
      <c r="E54" s="94"/>
      <c r="F54" s="72"/>
      <c r="G54" s="502" t="s">
        <v>645</v>
      </c>
      <c r="H54" s="494"/>
      <c r="I54" s="494"/>
      <c r="J54" s="503">
        <v>0</v>
      </c>
      <c r="K54" s="72"/>
    </row>
    <row r="55" spans="2:11" ht="15.75">
      <c r="B55" s="282"/>
      <c r="C55" s="385"/>
      <c r="D55" s="385"/>
      <c r="E55" s="94"/>
      <c r="F55" s="72"/>
      <c r="G55" s="500" t="s">
        <v>646</v>
      </c>
      <c r="H55" s="79"/>
      <c r="I55" s="79"/>
      <c r="J55" s="608">
        <f>IF(J54=0,"",ROUND((J54+E68-G67)/inputOth!E12*1000,3)-G72)</f>
      </c>
      <c r="K55" s="72"/>
    </row>
    <row r="56" spans="2:11" ht="15.75">
      <c r="B56" s="282"/>
      <c r="C56" s="385"/>
      <c r="D56" s="385"/>
      <c r="E56" s="94"/>
      <c r="F56" s="72"/>
      <c r="G56" s="577" t="str">
        <f>CONCATENATE("",E3," Tot Exp/Non-Appr Must Be:")</f>
        <v> Tot Exp/Non-Appr Must Be:</v>
      </c>
      <c r="H56" s="567"/>
      <c r="I56" s="566"/>
      <c r="J56" s="578">
        <f>IF(J54&gt;0,IF(E65&lt;E34,IF(J54=G67,E65,((J54-G67)*(1-D67))+E34),E65+(J54-G67)),0)</f>
        <v>0</v>
      </c>
      <c r="K56" s="72"/>
    </row>
    <row r="57" spans="2:11" ht="15.75">
      <c r="B57" s="282"/>
      <c r="C57" s="385"/>
      <c r="D57" s="385"/>
      <c r="E57" s="94"/>
      <c r="F57" s="72"/>
      <c r="G57" s="579" t="s">
        <v>722</v>
      </c>
      <c r="H57" s="580"/>
      <c r="I57" s="580"/>
      <c r="J57" s="581">
        <f>IF(J54&gt;0,J56-E65,0)</f>
        <v>0</v>
      </c>
      <c r="K57" s="72"/>
    </row>
    <row r="58" spans="2:11" ht="15.75">
      <c r="B58" s="196" t="s">
        <v>201</v>
      </c>
      <c r="C58" s="282"/>
      <c r="D58" s="282"/>
      <c r="E58" s="136">
        <f>Nhood!E7</f>
      </c>
      <c r="F58" s="72"/>
      <c r="G58" s="72"/>
      <c r="H58" s="72"/>
      <c r="I58" s="72"/>
      <c r="J58" s="72"/>
      <c r="K58" s="72"/>
    </row>
    <row r="59" spans="2:11" ht="15.75">
      <c r="B59" s="196" t="s">
        <v>202</v>
      </c>
      <c r="C59" s="385"/>
      <c r="D59" s="385"/>
      <c r="E59" s="94"/>
      <c r="F59" s="72"/>
      <c r="G59" s="759" t="str">
        <f>CONCATENATE("Projected Carryover Into ",E3+1,"")</f>
        <v>Projected Carryover Into 1</v>
      </c>
      <c r="H59" s="760"/>
      <c r="I59" s="760"/>
      <c r="J59" s="761"/>
      <c r="K59" s="72"/>
    </row>
    <row r="60" spans="2:11" ht="15.75">
      <c r="B60" s="196" t="s">
        <v>547</v>
      </c>
      <c r="C60" s="387">
        <f>IF(C61*0.1&lt;C59,"Exceed 10% Rule","")</f>
      </c>
      <c r="D60" s="387">
        <f>IF(D61*0.1&lt;D59,"Exceed 10% Rule","")</f>
      </c>
      <c r="E60" s="402">
        <f>IF(E61*0.1&lt;E59,"Exceed 10% Rule","")</f>
      </c>
      <c r="F60" s="72"/>
      <c r="G60" s="489"/>
      <c r="H60" s="79"/>
      <c r="I60" s="79"/>
      <c r="J60" s="491"/>
      <c r="K60" s="72"/>
    </row>
    <row r="61" spans="2:11" ht="15.75">
      <c r="B61" s="287" t="s">
        <v>35</v>
      </c>
      <c r="C61" s="388">
        <f>SUM(C36:C59)</f>
        <v>5010</v>
      </c>
      <c r="D61" s="388">
        <f>SUM(D36:D59)</f>
        <v>7825</v>
      </c>
      <c r="E61" s="288">
        <f>SUM(E36:E59)</f>
        <v>43150</v>
      </c>
      <c r="F61" s="72"/>
      <c r="G61" s="492">
        <f>D62</f>
        <v>35255</v>
      </c>
      <c r="H61" s="493" t="str">
        <f>CONCATENATE("",E3-1," Ending Cash Balance (est.)")</f>
        <v>-1 Ending Cash Balance (est.)</v>
      </c>
      <c r="I61" s="584"/>
      <c r="J61" s="491"/>
      <c r="K61" s="72"/>
    </row>
    <row r="62" spans="2:11" ht="15.75">
      <c r="B62" s="193" t="s">
        <v>110</v>
      </c>
      <c r="C62" s="386">
        <f>C34-C61</f>
        <v>36474</v>
      </c>
      <c r="D62" s="386">
        <f>D34-D61</f>
        <v>35255</v>
      </c>
      <c r="E62" s="204" t="s">
        <v>21</v>
      </c>
      <c r="F62" s="72"/>
      <c r="G62" s="492">
        <f>E33</f>
        <v>2917</v>
      </c>
      <c r="H62" s="494" t="str">
        <f>CONCATENATE("",E3," Non-AV Receipts (est.)")</f>
        <v> Non-AV Receipts (est.)</v>
      </c>
      <c r="I62" s="584"/>
      <c r="J62" s="491"/>
      <c r="K62" s="72"/>
    </row>
    <row r="63" spans="2:11" ht="15.75">
      <c r="B63" s="73" t="str">
        <f>CONCATENATE("",E1-2,"/",E1-1,"/",E1," Budget Authority Amount:")</f>
        <v>2013/2014/2015 Budget Authority Amount:</v>
      </c>
      <c r="C63" s="296">
        <f>inputOth!B102</f>
        <v>37540</v>
      </c>
      <c r="D63" s="296">
        <f>inputPrYr!D24</f>
        <v>39300</v>
      </c>
      <c r="E63" s="134">
        <f>E61</f>
        <v>43150</v>
      </c>
      <c r="F63" s="609"/>
      <c r="G63" s="495">
        <f>IF(E67&gt;0,E66,E68)</f>
        <v>4978</v>
      </c>
      <c r="H63" s="494" t="str">
        <f>CONCATENATE("",E3," Ad Valorem Tax (est.)")</f>
        <v> Ad Valorem Tax (est.)</v>
      </c>
      <c r="I63" s="494"/>
      <c r="J63" s="491"/>
      <c r="K63" s="610">
        <f>IF(G63=E68,"","Note: Does not include Delinquent Taxes")</f>
      </c>
    </row>
    <row r="64" spans="2:11" ht="15.75">
      <c r="B64" s="155"/>
      <c r="C64" s="755" t="s">
        <v>641</v>
      </c>
      <c r="D64" s="756"/>
      <c r="E64" s="94"/>
      <c r="F64" s="611">
        <f>IF(E61/0.95-E61&lt;E64,"Exceeds 5%","")</f>
      </c>
      <c r="G64" s="492">
        <f>SUM(G61:G63)</f>
        <v>43150</v>
      </c>
      <c r="H64" s="494" t="str">
        <f>CONCATENATE("Total ",E3," Resources Available")</f>
        <v>Total  Resources Available</v>
      </c>
      <c r="I64" s="584"/>
      <c r="J64" s="491"/>
      <c r="K64" s="72"/>
    </row>
    <row r="65" spans="2:11" ht="15.75">
      <c r="B65" s="485" t="str">
        <f>CONCATENATE(C79,"     ",D79)</f>
        <v>     </v>
      </c>
      <c r="C65" s="757" t="s">
        <v>642</v>
      </c>
      <c r="D65" s="758"/>
      <c r="E65" s="134">
        <f>E61+E64</f>
        <v>43150</v>
      </c>
      <c r="F65" s="72"/>
      <c r="G65" s="496"/>
      <c r="H65" s="494"/>
      <c r="I65" s="494"/>
      <c r="J65" s="491"/>
      <c r="K65" s="72"/>
    </row>
    <row r="66" spans="2:11" ht="15.75">
      <c r="B66" s="485" t="str">
        <f>CONCATENATE(C80,"     ",D80)</f>
        <v>     </v>
      </c>
      <c r="C66" s="487"/>
      <c r="D66" s="488" t="s">
        <v>643</v>
      </c>
      <c r="E66" s="137">
        <f>IF(E65-E34&gt;0,E65-E34,0)</f>
        <v>4978</v>
      </c>
      <c r="F66" s="72"/>
      <c r="G66" s="495">
        <f>ROUND(C61*0.05+C61,0)</f>
        <v>5261</v>
      </c>
      <c r="H66" s="494" t="str">
        <f>CONCATENATE("Less ",E3-2," Expenditures + 5%")</f>
        <v>Less -2 Expenditures + 5%</v>
      </c>
      <c r="I66" s="584"/>
      <c r="J66" s="491"/>
      <c r="K66" s="72"/>
    </row>
    <row r="67" spans="2:11" ht="15.75">
      <c r="B67" s="219"/>
      <c r="C67" s="486" t="s">
        <v>644</v>
      </c>
      <c r="D67" s="606">
        <f>inputOth!$E$96</f>
        <v>0</v>
      </c>
      <c r="E67" s="134">
        <f>ROUND(IF(D67&gt;0,(E66*D67),0),0)</f>
        <v>0</v>
      </c>
      <c r="F67" s="72"/>
      <c r="G67" s="612">
        <f>G64-G66</f>
        <v>37889</v>
      </c>
      <c r="H67" s="613" t="str">
        <f>CONCATENATE("Projected ",E3+1," Carryover (est.)")</f>
        <v>Projected 1 Carryover (est.)</v>
      </c>
      <c r="I67" s="588"/>
      <c r="J67" s="498"/>
      <c r="K67" s="72"/>
    </row>
    <row r="68" spans="2:11" ht="15.75">
      <c r="B68" s="74"/>
      <c r="C68" s="753" t="str">
        <f>CONCATENATE("Amount of  ",$E$3-1," Ad Valorem Tax")</f>
        <v>Amount of  -1 Ad Valorem Tax</v>
      </c>
      <c r="D68" s="754"/>
      <c r="E68" s="137">
        <f>E66+E67</f>
        <v>4978</v>
      </c>
      <c r="F68" s="72"/>
      <c r="G68" s="72"/>
      <c r="H68" s="72"/>
      <c r="I68" s="72"/>
      <c r="J68" s="72"/>
      <c r="K68" s="72"/>
    </row>
    <row r="69" spans="2:11" ht="15.75">
      <c r="B69" s="74"/>
      <c r="C69" s="74"/>
      <c r="D69" s="74"/>
      <c r="E69" s="74"/>
      <c r="F69" s="72"/>
      <c r="G69" s="750" t="s">
        <v>723</v>
      </c>
      <c r="H69" s="751"/>
      <c r="I69" s="751"/>
      <c r="J69" s="752"/>
      <c r="K69" s="72"/>
    </row>
    <row r="70" spans="2:11" ht="15.75">
      <c r="B70" s="74"/>
      <c r="C70" s="74"/>
      <c r="D70" s="74"/>
      <c r="E70" s="74"/>
      <c r="F70" s="72"/>
      <c r="G70" s="590"/>
      <c r="H70" s="493"/>
      <c r="I70" s="568"/>
      <c r="J70" s="591"/>
      <c r="K70" s="72"/>
    </row>
    <row r="71" spans="2:11" ht="15.75">
      <c r="B71" s="74"/>
      <c r="C71" s="74"/>
      <c r="D71" s="74"/>
      <c r="E71" s="74"/>
      <c r="F71" s="72"/>
      <c r="G71" s="592">
        <f>summ!H16</f>
        <v>2.354</v>
      </c>
      <c r="H71" s="493" t="str">
        <f>CONCATENATE("",E3," Fund Mill Rate")</f>
        <v> Fund Mill Rate</v>
      </c>
      <c r="I71" s="568"/>
      <c r="J71" s="591"/>
      <c r="K71" s="72"/>
    </row>
    <row r="72" spans="2:11" ht="15.75">
      <c r="B72" s="74"/>
      <c r="C72" s="74"/>
      <c r="D72" s="74"/>
      <c r="E72" s="74"/>
      <c r="F72" s="614"/>
      <c r="G72" s="593">
        <f>summ!E16</f>
        <v>2.362</v>
      </c>
      <c r="H72" s="493" t="str">
        <f>CONCATENATE("",E3-1," Fund Mill Rate")</f>
        <v>-1 Fund Mill Rate</v>
      </c>
      <c r="I72" s="568"/>
      <c r="J72" s="591"/>
      <c r="K72" s="72"/>
    </row>
    <row r="73" spans="2:11" ht="15.75">
      <c r="B73" s="74"/>
      <c r="C73" s="151"/>
      <c r="D73" s="151"/>
      <c r="E73" s="151"/>
      <c r="F73" s="607"/>
      <c r="G73" s="594">
        <f>summ!H23</f>
        <v>2.354</v>
      </c>
      <c r="H73" s="493" t="str">
        <f>CONCATENATE("Total ",E3," Mill Rate")</f>
        <v>Total  Mill Rate</v>
      </c>
      <c r="I73" s="568"/>
      <c r="J73" s="591"/>
      <c r="K73" s="72"/>
    </row>
    <row r="74" spans="2:11" ht="15.75">
      <c r="B74" s="155"/>
      <c r="C74" s="89" t="s">
        <v>214</v>
      </c>
      <c r="D74" s="74"/>
      <c r="E74" s="74"/>
      <c r="F74" s="607"/>
      <c r="G74" s="593">
        <f>summ!E23</f>
        <v>2.362</v>
      </c>
      <c r="H74" s="595" t="str">
        <f>CONCATENATE("Total ",E3-1," Mill Rate")</f>
        <v>Total -1 Mill Rate</v>
      </c>
      <c r="I74" s="596"/>
      <c r="J74" s="597"/>
      <c r="K74" s="72"/>
    </row>
    <row r="76" spans="2:9" ht="15.75">
      <c r="B76" s="158"/>
      <c r="G76" s="680" t="s">
        <v>786</v>
      </c>
      <c r="H76" s="637"/>
      <c r="I76" s="636" t="str">
        <f>'cert 1'!F30</f>
        <v>No</v>
      </c>
    </row>
    <row r="79" spans="3:4" ht="15.75" hidden="1">
      <c r="C79" s="120">
        <f>IF(C61&gt;C63,"See Tab A","")</f>
      </c>
      <c r="D79" s="120">
        <f>IF(D61&gt;D63,"See Tab C","")</f>
      </c>
    </row>
    <row r="80" spans="3:4" ht="15.75" hidden="1">
      <c r="C80" s="120">
        <f>IF(C62&lt;0,"See Tab B","")</f>
      </c>
      <c r="D80" s="120">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7968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PIEDMONT  CEMETERY #1</v>
      </c>
      <c r="C1" s="74"/>
      <c r="D1" s="74"/>
      <c r="E1" s="278">
        <f>inputPrYr!$D$11</f>
        <v>2015</v>
      </c>
      <c r="F1" s="564"/>
    </row>
    <row r="2" spans="2:6" ht="15.75">
      <c r="B2" s="74"/>
      <c r="C2" s="74"/>
      <c r="D2" s="74"/>
      <c r="E2" s="219"/>
      <c r="F2" s="564"/>
    </row>
    <row r="3" spans="2:6" ht="15.75">
      <c r="B3" s="83"/>
      <c r="C3" s="151"/>
      <c r="D3" s="151"/>
      <c r="E3" s="290"/>
      <c r="F3" s="565"/>
    </row>
    <row r="4" spans="2:6" ht="15.75">
      <c r="B4" s="533" t="s">
        <v>74</v>
      </c>
      <c r="C4" s="531"/>
      <c r="D4" s="291"/>
      <c r="E4" s="291"/>
      <c r="F4" s="564"/>
    </row>
    <row r="5" spans="2:6" ht="15.75">
      <c r="B5" s="102" t="s">
        <v>26</v>
      </c>
      <c r="C5" s="390" t="s">
        <v>237</v>
      </c>
      <c r="D5" s="392" t="s">
        <v>239</v>
      </c>
      <c r="E5" s="280" t="s">
        <v>240</v>
      </c>
      <c r="F5" s="564"/>
    </row>
    <row r="6" spans="2:6" ht="15.75">
      <c r="B6" s="404" t="s">
        <v>260</v>
      </c>
      <c r="C6" s="391" t="str">
        <f>CONCATENATE("Actual for ",E1-2,"")</f>
        <v>Actual for 2013</v>
      </c>
      <c r="D6" s="391" t="str">
        <f>CONCATENATE("Estimate for ",E1-1,"")</f>
        <v>Estimate for 2014</v>
      </c>
      <c r="E6" s="232" t="str">
        <f>CONCATENATE("Year for ",E1,"")</f>
        <v>Year for 2015</v>
      </c>
      <c r="F6" s="564"/>
    </row>
    <row r="7" spans="2:6" ht="15.75">
      <c r="B7" s="189" t="s">
        <v>109</v>
      </c>
      <c r="C7" s="393"/>
      <c r="D7" s="397">
        <f>C55</f>
        <v>0</v>
      </c>
      <c r="E7" s="292">
        <f>D55</f>
        <v>0</v>
      </c>
      <c r="F7" s="564"/>
    </row>
    <row r="8" spans="2:6" ht="15.75">
      <c r="B8" s="293" t="s">
        <v>111</v>
      </c>
      <c r="C8" s="396"/>
      <c r="D8" s="397"/>
      <c r="E8" s="292"/>
      <c r="F8" s="564"/>
    </row>
    <row r="9" spans="2:6" ht="15.75">
      <c r="B9" s="189" t="s">
        <v>27</v>
      </c>
      <c r="C9" s="393"/>
      <c r="D9" s="396">
        <f>IF(inputPrYr!H23&gt;0,inputPrYr!G25,inputPrYr!E25)</f>
        <v>0</v>
      </c>
      <c r="E9" s="294" t="s">
        <v>21</v>
      </c>
      <c r="F9" s="564"/>
    </row>
    <row r="10" spans="2:6" ht="15.75">
      <c r="B10" s="189" t="s">
        <v>28</v>
      </c>
      <c r="C10" s="393"/>
      <c r="D10" s="393"/>
      <c r="E10" s="295"/>
      <c r="F10" s="564"/>
    </row>
    <row r="11" spans="2:6" ht="15.75">
      <c r="B11" s="189" t="s">
        <v>29</v>
      </c>
      <c r="C11" s="393"/>
      <c r="D11" s="393"/>
      <c r="E11" s="296">
        <f>'mvalloc 3'!D12</f>
        <v>0</v>
      </c>
      <c r="F11" s="564"/>
    </row>
    <row r="12" spans="2:6" ht="15.75">
      <c r="B12" s="189" t="s">
        <v>30</v>
      </c>
      <c r="C12" s="393"/>
      <c r="D12" s="393"/>
      <c r="E12" s="296">
        <f>'mvalloc 3'!E12</f>
        <v>0</v>
      </c>
      <c r="F12" s="564"/>
    </row>
    <row r="13" spans="2:6" ht="15.75">
      <c r="B13" s="297" t="s">
        <v>102</v>
      </c>
      <c r="C13" s="393"/>
      <c r="D13" s="393"/>
      <c r="E13" s="296">
        <f>'mvalloc 3'!F12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143</v>
      </c>
      <c r="C26" s="393"/>
      <c r="D26" s="393"/>
      <c r="E26" s="295"/>
      <c r="F26" s="564"/>
    </row>
    <row r="27" spans="2:6" ht="15.75">
      <c r="B27" s="300" t="s">
        <v>31</v>
      </c>
      <c r="C27" s="393"/>
      <c r="D27" s="393"/>
      <c r="E27" s="295"/>
      <c r="F27" s="564"/>
    </row>
    <row r="28" spans="2:6" ht="15.75">
      <c r="B28" s="284" t="s">
        <v>202</v>
      </c>
      <c r="C28" s="393"/>
      <c r="D28" s="393"/>
      <c r="E28" s="295"/>
      <c r="F28" s="564"/>
    </row>
    <row r="29" spans="2:6" ht="15.75">
      <c r="B29" s="284" t="s">
        <v>546</v>
      </c>
      <c r="C29" s="387">
        <f>IF(C30*0.1&lt;C28,"Exceed 10% Rule","")</f>
      </c>
      <c r="D29" s="387">
        <f>IF(D30*0.1&lt;D28,"Exceed 10% Rule","")</f>
      </c>
      <c r="E29" s="402">
        <f>IF(E30*0.1&lt;E28,"Exceed 10% Rule","")</f>
      </c>
      <c r="F29" s="564"/>
    </row>
    <row r="30" spans="2:6" ht="15.75">
      <c r="B30" s="287" t="s">
        <v>32</v>
      </c>
      <c r="C30" s="394">
        <f>SUM(C9:C28)</f>
        <v>0</v>
      </c>
      <c r="D30" s="394">
        <f>SUM(D9:D28)</f>
        <v>0</v>
      </c>
      <c r="E30" s="301">
        <f>SUM(E9:E28)</f>
        <v>0</v>
      </c>
      <c r="F30" s="564"/>
    </row>
    <row r="31" spans="2:6" ht="15.75">
      <c r="B31" s="287" t="s">
        <v>33</v>
      </c>
      <c r="C31" s="394">
        <f>C7+C30</f>
        <v>0</v>
      </c>
      <c r="D31" s="394">
        <f>D7+D30</f>
        <v>0</v>
      </c>
      <c r="E31" s="302">
        <f>E7+E30</f>
        <v>0</v>
      </c>
      <c r="F31" s="564"/>
    </row>
    <row r="32" spans="2:6" ht="15.75">
      <c r="B32" s="293" t="s">
        <v>34</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59" t="str">
        <f>CONCATENATE("Desired Carryover Into ",E1+1,"")</f>
        <v>Desired Carryover Into 2016</v>
      </c>
      <c r="H46" s="760"/>
      <c r="I46" s="760"/>
      <c r="J46" s="761"/>
      <c r="K46" s="582"/>
    </row>
    <row r="47" spans="2:11" ht="15.75">
      <c r="B47" s="303"/>
      <c r="C47" s="393"/>
      <c r="D47" s="393"/>
      <c r="E47" s="295"/>
      <c r="F47" s="582"/>
      <c r="G47" s="500"/>
      <c r="H47" s="490"/>
      <c r="I47" s="494"/>
      <c r="J47" s="501"/>
      <c r="K47" s="582"/>
    </row>
    <row r="48" spans="2:11" ht="15.75">
      <c r="B48" s="303"/>
      <c r="C48" s="393"/>
      <c r="D48" s="393"/>
      <c r="E48" s="295"/>
      <c r="F48" s="582"/>
      <c r="G48" s="502" t="s">
        <v>645</v>
      </c>
      <c r="H48" s="494"/>
      <c r="I48" s="494"/>
      <c r="J48" s="503">
        <v>0</v>
      </c>
      <c r="K48" s="582"/>
    </row>
    <row r="49" spans="2:11" ht="15.75">
      <c r="B49" s="303"/>
      <c r="C49" s="393"/>
      <c r="D49" s="393"/>
      <c r="E49" s="295"/>
      <c r="F49" s="582"/>
      <c r="G49" s="500" t="s">
        <v>646</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201</v>
      </c>
      <c r="C51" s="393"/>
      <c r="D51" s="393"/>
      <c r="E51" s="239">
        <f>Nhood!E8</f>
      </c>
      <c r="F51" s="582"/>
      <c r="G51" s="579" t="s">
        <v>722</v>
      </c>
      <c r="H51" s="580"/>
      <c r="I51" s="580"/>
      <c r="J51" s="581">
        <f>IF(J48&gt;0,J50-E59,0)</f>
        <v>0</v>
      </c>
      <c r="K51" s="582"/>
    </row>
    <row r="52" spans="2:11" ht="15.75">
      <c r="B52" s="196" t="s">
        <v>202</v>
      </c>
      <c r="C52" s="393"/>
      <c r="D52" s="393"/>
      <c r="E52" s="295"/>
      <c r="F52" s="582"/>
      <c r="G52" s="582"/>
      <c r="H52" s="582"/>
      <c r="I52" s="582"/>
      <c r="J52" s="582"/>
      <c r="K52" s="582"/>
    </row>
    <row r="53" spans="2:11" ht="15.75">
      <c r="B53" s="196" t="s">
        <v>547</v>
      </c>
      <c r="C53" s="387">
        <f>IF(C54*0.1&lt;C52,"Exceed 10% Rule","")</f>
      </c>
      <c r="D53" s="387">
        <f>IF(D54*0.1&lt;D52,"Exceed 10% Rule","")</f>
      </c>
      <c r="E53" s="402">
        <f>IF(E54*0.1&lt;E52,"Exceed 10% Rule","")</f>
      </c>
      <c r="F53" s="582"/>
      <c r="G53" s="759" t="str">
        <f>CONCATENATE("Projected Carryover Into ",E1+1,"")</f>
        <v>Projected Carryover Into 2016</v>
      </c>
      <c r="H53" s="762"/>
      <c r="I53" s="762"/>
      <c r="J53" s="763"/>
      <c r="K53" s="582"/>
    </row>
    <row r="54" spans="2:11" ht="15.75">
      <c r="B54" s="287" t="s">
        <v>35</v>
      </c>
      <c r="C54" s="394">
        <f>SUM(C33:C52)</f>
        <v>0</v>
      </c>
      <c r="D54" s="394">
        <f>SUM(D33:D52)</f>
        <v>0</v>
      </c>
      <c r="E54" s="301">
        <f>SUM(E33:E52)</f>
        <v>0</v>
      </c>
      <c r="F54" s="582"/>
      <c r="G54" s="500"/>
      <c r="H54" s="494"/>
      <c r="I54" s="494"/>
      <c r="J54" s="602"/>
      <c r="K54" s="582"/>
    </row>
    <row r="55" spans="2:11" ht="15.75">
      <c r="B55" s="189" t="s">
        <v>110</v>
      </c>
      <c r="C55" s="395">
        <f>C31-C54</f>
        <v>0</v>
      </c>
      <c r="D55" s="395">
        <f>D31-D54</f>
        <v>0</v>
      </c>
      <c r="E55" s="294" t="s">
        <v>21</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55" t="s">
        <v>641</v>
      </c>
      <c r="D57" s="756"/>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7" t="s">
        <v>642</v>
      </c>
      <c r="D58" s="758"/>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643</v>
      </c>
      <c r="E59" s="137">
        <f>IF(E58-E31&gt;0,E58-E31,0)</f>
        <v>0</v>
      </c>
      <c r="F59"/>
      <c r="G59" s="496"/>
      <c r="H59" s="494"/>
      <c r="I59" s="494"/>
      <c r="J59" s="602"/>
      <c r="K59" s="582"/>
    </row>
    <row r="60" spans="2:11" ht="15.75">
      <c r="B60" s="219"/>
      <c r="C60" s="486" t="s">
        <v>644</v>
      </c>
      <c r="D60" s="606">
        <f>inputOth!$E$96</f>
        <v>0</v>
      </c>
      <c r="E60" s="134">
        <f>ROUND(IF(D60&gt;0,(E59*D60),0),0)</f>
        <v>0</v>
      </c>
      <c r="F60"/>
      <c r="G60" s="495">
        <f>C54</f>
        <v>0</v>
      </c>
      <c r="H60" s="494" t="str">
        <f>CONCATENATE("Less ",E1-2," Expenditures")</f>
        <v>Less 2013 Expenditures</v>
      </c>
      <c r="I60" s="494"/>
      <c r="J60" s="602"/>
      <c r="K60" s="582"/>
    </row>
    <row r="61" spans="2:11" ht="15.75">
      <c r="B61" s="74"/>
      <c r="C61" s="753" t="str">
        <f>CONCATENATE("Amount of  ",$E$1-1," Ad Valorem Tax")</f>
        <v>Amount of  2014 Ad Valorem Tax</v>
      </c>
      <c r="D61" s="754"/>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37</v>
      </c>
      <c r="C63" s="178"/>
      <c r="D63" s="74"/>
      <c r="E63" s="74"/>
      <c r="F63"/>
      <c r="G63" s="750" t="s">
        <v>723</v>
      </c>
      <c r="H63" s="751"/>
      <c r="I63" s="751"/>
      <c r="J63" s="752"/>
      <c r="K63" s="582"/>
    </row>
    <row r="64" spans="6:11" ht="15.75">
      <c r="F64"/>
      <c r="G64" s="590"/>
      <c r="H64" s="493"/>
      <c r="I64" s="568"/>
      <c r="J64" s="591"/>
      <c r="K64" s="582"/>
    </row>
    <row r="65" spans="6:11" ht="15.75">
      <c r="F65"/>
      <c r="G65" s="592" t="str">
        <f>summ!H17</f>
        <v> </v>
      </c>
      <c r="H65" s="493" t="str">
        <f>CONCATENATE("",E1," Fund Mill Rate")</f>
        <v>2015 Fund Mill Rate</v>
      </c>
      <c r="I65" s="568"/>
      <c r="J65" s="591"/>
      <c r="K65" s="582"/>
    </row>
    <row r="66" spans="6:11" ht="15.75">
      <c r="F66"/>
      <c r="G66" s="593" t="str">
        <f>summ!E17</f>
        <v>  </v>
      </c>
      <c r="H66" s="493" t="str">
        <f>CONCATENATE("",E1-1," Fund Mill Rate")</f>
        <v>2014 Fund Mill Rate</v>
      </c>
      <c r="I66" s="568"/>
      <c r="J66" s="591"/>
      <c r="K66" s="582"/>
    </row>
    <row r="67" spans="6:11" ht="15.75">
      <c r="F67"/>
      <c r="G67" s="594">
        <f>summ!H23</f>
        <v>2.354</v>
      </c>
      <c r="H67" s="493" t="str">
        <f>CONCATENATE("Total ",E1," Mill Rate")</f>
        <v>Total 2015 Mill Rate</v>
      </c>
      <c r="I67" s="568"/>
      <c r="J67" s="591"/>
      <c r="K67" s="582"/>
    </row>
    <row r="68" spans="6:11" ht="15.75">
      <c r="F68"/>
      <c r="G68" s="593">
        <f>summ!E23</f>
        <v>2.362</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81" t="s">
        <v>786</v>
      </c>
      <c r="H72" s="639"/>
      <c r="I72" s="638" t="str">
        <f>'cert 1'!F30</f>
        <v>No</v>
      </c>
    </row>
    <row r="73" ht="15.75">
      <c r="F73" s="564"/>
    </row>
    <row r="74" ht="15.75">
      <c r="F74" s="564"/>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136" sqref="Q136"/>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PIEDMONT  CEMETERY #1</v>
      </c>
      <c r="C1" s="74"/>
      <c r="D1" s="74"/>
      <c r="E1" s="244">
        <f>inputPrYr!D11</f>
        <v>2015</v>
      </c>
      <c r="F1" s="564"/>
    </row>
    <row r="2" spans="2:6" ht="15.75">
      <c r="B2" s="74" t="str">
        <f>inputPrYr!D4</f>
        <v>GREENWOOD</v>
      </c>
      <c r="C2" s="74"/>
      <c r="D2" s="74"/>
      <c r="E2" s="155"/>
      <c r="F2" s="564"/>
    </row>
    <row r="3" spans="2:6" ht="15.75">
      <c r="B3" s="83"/>
      <c r="C3" s="151"/>
      <c r="D3" s="151"/>
      <c r="E3" s="279"/>
      <c r="F3" s="565"/>
    </row>
    <row r="4" spans="2:6" ht="15.75">
      <c r="B4" s="533" t="s">
        <v>74</v>
      </c>
      <c r="C4" s="531"/>
      <c r="D4" s="154"/>
      <c r="E4" s="154"/>
      <c r="F4" s="564"/>
    </row>
    <row r="5" spans="2:6" ht="15.75">
      <c r="B5" s="73" t="s">
        <v>26</v>
      </c>
      <c r="C5" s="390" t="s">
        <v>237</v>
      </c>
      <c r="D5" s="392" t="s">
        <v>239</v>
      </c>
      <c r="E5" s="280" t="s">
        <v>240</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109</v>
      </c>
      <c r="C7" s="385"/>
      <c r="D7" s="389">
        <f>C34</f>
        <v>0</v>
      </c>
      <c r="E7" s="134">
        <f>D34</f>
        <v>0</v>
      </c>
      <c r="F7" s="564"/>
    </row>
    <row r="8" spans="2:6" ht="15.75">
      <c r="B8" s="209" t="s">
        <v>111</v>
      </c>
      <c r="C8" s="281"/>
      <c r="D8" s="281"/>
      <c r="E8" s="133"/>
      <c r="F8" s="564"/>
    </row>
    <row r="9" spans="2:6" ht="15.75">
      <c r="B9" s="193" t="s">
        <v>27</v>
      </c>
      <c r="C9" s="385"/>
      <c r="D9" s="281">
        <f>IF(inputPrYr!H23&gt;0,inputPrYr!G27,inputPrYr!E27)</f>
        <v>0</v>
      </c>
      <c r="E9" s="204" t="s">
        <v>21</v>
      </c>
      <c r="F9" s="564"/>
    </row>
    <row r="10" spans="2:6" ht="15.75">
      <c r="B10" s="193" t="s">
        <v>28</v>
      </c>
      <c r="C10" s="385"/>
      <c r="D10" s="385"/>
      <c r="E10" s="259"/>
      <c r="F10" s="564"/>
    </row>
    <row r="11" spans="2:6" ht="15.75">
      <c r="B11" s="193" t="s">
        <v>29</v>
      </c>
      <c r="C11" s="385"/>
      <c r="D11" s="385"/>
      <c r="E11" s="134">
        <f>'mvalloc 3'!D13</f>
        <v>0</v>
      </c>
      <c r="F11" s="564"/>
    </row>
    <row r="12" spans="2:6" ht="15.75">
      <c r="B12" s="193" t="s">
        <v>30</v>
      </c>
      <c r="C12" s="385"/>
      <c r="D12" s="385"/>
      <c r="E12" s="134">
        <f>'mvalloc 3'!E13</f>
        <v>0</v>
      </c>
      <c r="F12" s="564"/>
    </row>
    <row r="13" spans="2:6" ht="15.75">
      <c r="B13" s="281" t="s">
        <v>102</v>
      </c>
      <c r="C13" s="385"/>
      <c r="D13" s="385"/>
      <c r="E13" s="134">
        <f>'mvalloc 3'!F13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31</v>
      </c>
      <c r="C17" s="385"/>
      <c r="D17" s="385"/>
      <c r="E17" s="259"/>
      <c r="F17" s="564"/>
    </row>
    <row r="18" spans="2:6" ht="15.75">
      <c r="B18" s="284" t="s">
        <v>202</v>
      </c>
      <c r="C18" s="282"/>
      <c r="D18" s="282"/>
      <c r="E18" s="259"/>
      <c r="F18" s="564"/>
    </row>
    <row r="19" spans="2:6" ht="15.75">
      <c r="B19" s="284" t="s">
        <v>546</v>
      </c>
      <c r="C19" s="387">
        <f>IF(C20*0.1&lt;C18,"Exceed 10% Rule","")</f>
      </c>
      <c r="D19" s="387">
        <f>IF(D20*0.1&lt;D18,"Exceed 10% Rule","")</f>
      </c>
      <c r="E19" s="402">
        <f>IF(E20*0.1&lt;E18,"Exceed 10% Rule","")</f>
      </c>
      <c r="F19" s="564"/>
    </row>
    <row r="20" spans="2:6" ht="15.75">
      <c r="B20" s="287" t="s">
        <v>32</v>
      </c>
      <c r="C20" s="388">
        <f>SUM(C9:C18)</f>
        <v>0</v>
      </c>
      <c r="D20" s="388">
        <f>SUM(D9:D18)</f>
        <v>0</v>
      </c>
      <c r="E20" s="288">
        <f>SUM(E9:E18)</f>
        <v>0</v>
      </c>
      <c r="F20" s="564"/>
    </row>
    <row r="21" spans="2:6" ht="15.75">
      <c r="B21" s="287" t="s">
        <v>33</v>
      </c>
      <c r="C21" s="388">
        <f>C7+C20</f>
        <v>0</v>
      </c>
      <c r="D21" s="388">
        <f>D7+D20</f>
        <v>0</v>
      </c>
      <c r="E21" s="288">
        <f>E7+E20</f>
        <v>0</v>
      </c>
      <c r="F21" s="564"/>
    </row>
    <row r="22" spans="2:6" ht="15.75">
      <c r="B22" s="193" t="s">
        <v>34</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59" t="str">
        <f>CONCATENATE("Desired Carryover Into ",E3+1,"")</f>
        <v>Desired Carryover Into 1</v>
      </c>
      <c r="H25" s="760"/>
      <c r="I25" s="760"/>
      <c r="J25" s="761"/>
      <c r="K25" s="72"/>
    </row>
    <row r="26" spans="2:11" ht="15.75">
      <c r="B26" s="282"/>
      <c r="C26" s="385"/>
      <c r="D26" s="385"/>
      <c r="E26" s="94"/>
      <c r="F26" s="72"/>
      <c r="G26" s="500"/>
      <c r="H26" s="490"/>
      <c r="I26" s="494"/>
      <c r="J26" s="501"/>
      <c r="K26" s="72"/>
    </row>
    <row r="27" spans="2:11" ht="15.75">
      <c r="B27" s="282"/>
      <c r="C27" s="385"/>
      <c r="D27" s="385"/>
      <c r="E27" s="94"/>
      <c r="F27" s="72"/>
      <c r="G27" s="502" t="s">
        <v>645</v>
      </c>
      <c r="H27" s="494"/>
      <c r="I27" s="494"/>
      <c r="J27" s="503">
        <v>0</v>
      </c>
      <c r="K27" s="72"/>
    </row>
    <row r="28" spans="2:11" ht="15.75">
      <c r="B28" s="282"/>
      <c r="C28" s="385"/>
      <c r="D28" s="385"/>
      <c r="E28" s="94"/>
      <c r="F28" s="72"/>
      <c r="G28" s="500" t="s">
        <v>646</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201</v>
      </c>
      <c r="C30" s="385"/>
      <c r="D30" s="385"/>
      <c r="E30" s="136">
        <f>Nhood!E9</f>
      </c>
      <c r="F30" s="72"/>
      <c r="G30" s="579" t="s">
        <v>722</v>
      </c>
      <c r="H30" s="580"/>
      <c r="I30" s="580"/>
      <c r="J30" s="581">
        <f>IF(J27&gt;0,J29-E37,0)</f>
        <v>0</v>
      </c>
      <c r="K30" s="72"/>
    </row>
    <row r="31" spans="2:11" ht="15.75">
      <c r="B31" s="196" t="s">
        <v>202</v>
      </c>
      <c r="C31" s="282"/>
      <c r="D31" s="282"/>
      <c r="E31" s="259"/>
      <c r="F31" s="72"/>
      <c r="G31" s="72"/>
      <c r="H31" s="72"/>
      <c r="I31" s="72"/>
      <c r="J31" s="582"/>
      <c r="K31" s="72"/>
    </row>
    <row r="32" spans="2:11" ht="15.75">
      <c r="B32" s="196" t="s">
        <v>547</v>
      </c>
      <c r="C32" s="387">
        <f>IF(C33*0.1&lt;C31,"Exceed 10% Rule","")</f>
      </c>
      <c r="D32" s="387">
        <f>IF(D33*0.1&lt;D31,"Exceed 10% Rule","")</f>
      </c>
      <c r="E32" s="402">
        <f>IF(E33*0.1&lt;E31,"Exceed 10% Rule","")</f>
      </c>
      <c r="F32" s="72"/>
      <c r="G32" s="759" t="str">
        <f>CONCATENATE("Projected Carryover Into ",E3+1,"")</f>
        <v>Projected Carryover Into 1</v>
      </c>
      <c r="H32" s="762"/>
      <c r="I32" s="762"/>
      <c r="J32" s="763"/>
      <c r="K32" s="72"/>
    </row>
    <row r="33" spans="2:11" ht="15.75">
      <c r="B33" s="287" t="s">
        <v>35</v>
      </c>
      <c r="C33" s="388">
        <f>SUM(C23:C31)</f>
        <v>0</v>
      </c>
      <c r="D33" s="388">
        <f>SUM(D23:D31)</f>
        <v>0</v>
      </c>
      <c r="E33" s="288">
        <f>SUM(E23:E31)</f>
        <v>0</v>
      </c>
      <c r="F33" s="72"/>
      <c r="G33" s="500"/>
      <c r="H33" s="494"/>
      <c r="I33" s="494"/>
      <c r="J33" s="583"/>
      <c r="K33" s="72"/>
    </row>
    <row r="34" spans="2:11" ht="15.75">
      <c r="B34" s="193" t="s">
        <v>110</v>
      </c>
      <c r="C34" s="386">
        <f>C21-C33</f>
        <v>0</v>
      </c>
      <c r="D34" s="386">
        <f>D21-D33</f>
        <v>0</v>
      </c>
      <c r="E34" s="204" t="s">
        <v>21</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55" t="s">
        <v>641</v>
      </c>
      <c r="D36" s="756"/>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7" t="s">
        <v>642</v>
      </c>
      <c r="D37" s="758"/>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643</v>
      </c>
      <c r="E38" s="137">
        <f>IF(E37-E21&gt;0,E37-E21,0)</f>
        <v>0</v>
      </c>
      <c r="F38" s="72"/>
      <c r="G38" s="496"/>
      <c r="H38" s="494"/>
      <c r="I38" s="494"/>
      <c r="J38" s="583"/>
      <c r="K38" s="72"/>
    </row>
    <row r="39" spans="2:11" ht="15.75">
      <c r="B39" s="219"/>
      <c r="C39" s="486" t="s">
        <v>644</v>
      </c>
      <c r="D39" s="606">
        <f>inputOth!$E$96</f>
        <v>0</v>
      </c>
      <c r="E39" s="134">
        <f>ROUND(IF(D39&gt;0,(E38*D39),0),0)</f>
        <v>0</v>
      </c>
      <c r="F39" s="72"/>
      <c r="G39" s="495">
        <f>ROUND(C33*0.05+C33,0)</f>
        <v>0</v>
      </c>
      <c r="H39" s="494" t="str">
        <f>CONCATENATE("Less ",E3-2," Expenditures + 5%")</f>
        <v>Less -2 Expenditures + 5%</v>
      </c>
      <c r="I39" s="584"/>
      <c r="J39" s="583"/>
      <c r="K39" s="72"/>
    </row>
    <row r="40" spans="2:11" ht="15.75">
      <c r="B40" s="74"/>
      <c r="C40" s="753" t="str">
        <f>CONCATENATE("Amount of  ",$E$3-1," Ad Valorem Tax")</f>
        <v>Amount of  -1 Ad Valorem Tax</v>
      </c>
      <c r="D40" s="754"/>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26</v>
      </c>
      <c r="C42" s="154"/>
      <c r="D42" s="154"/>
      <c r="E42" s="154"/>
      <c r="F42" s="72"/>
      <c r="G42" s="750" t="s">
        <v>723</v>
      </c>
      <c r="H42" s="751"/>
      <c r="I42" s="751"/>
      <c r="J42" s="752"/>
      <c r="K42" s="72"/>
    </row>
    <row r="43" spans="2:11" ht="15.75">
      <c r="B43" s="74"/>
      <c r="C43" s="390" t="s">
        <v>238</v>
      </c>
      <c r="D43" s="392" t="s">
        <v>239</v>
      </c>
      <c r="E43" s="280" t="s">
        <v>240</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summ!H18</f>
        <v> </v>
      </c>
      <c r="H44" s="493" t="str">
        <f>CONCATENATE("",E3," Fund Mill Rate")</f>
        <v> Fund Mill Rate</v>
      </c>
      <c r="I44" s="568"/>
      <c r="J44" s="591"/>
      <c r="K44" s="72"/>
    </row>
    <row r="45" spans="2:11" ht="15.75">
      <c r="B45" s="193" t="s">
        <v>109</v>
      </c>
      <c r="C45" s="385"/>
      <c r="D45" s="389">
        <f>C74</f>
        <v>0</v>
      </c>
      <c r="E45" s="134">
        <f>D74</f>
        <v>0</v>
      </c>
      <c r="F45" s="72"/>
      <c r="G45" s="593" t="str">
        <f>summ!E18</f>
        <v>  </v>
      </c>
      <c r="H45" s="493" t="str">
        <f>CONCATENATE("",E3-1," Fund Mill Rate")</f>
        <v>-1 Fund Mill Rate</v>
      </c>
      <c r="I45" s="568"/>
      <c r="J45" s="591"/>
      <c r="K45" s="72"/>
    </row>
    <row r="46" spans="2:11" ht="15.75">
      <c r="B46" s="209" t="s">
        <v>111</v>
      </c>
      <c r="C46" s="281"/>
      <c r="D46" s="281"/>
      <c r="E46" s="133"/>
      <c r="F46" s="72"/>
      <c r="G46" s="594">
        <f>summ!H23</f>
        <v>2.354</v>
      </c>
      <c r="H46" s="493" t="str">
        <f>CONCATENATE("Total ",E3," Mill Rate")</f>
        <v>Total  Mill Rate</v>
      </c>
      <c r="I46" s="568"/>
      <c r="J46" s="591"/>
      <c r="K46" s="72"/>
    </row>
    <row r="47" spans="2:11" ht="15.75">
      <c r="B47" s="193" t="s">
        <v>27</v>
      </c>
      <c r="C47" s="385"/>
      <c r="D47" s="281">
        <f>IF(inputPrYr!H23&gt;0,inputPrYr!G28,inputPrYr!G28)</f>
        <v>0</v>
      </c>
      <c r="E47" s="204" t="s">
        <v>21</v>
      </c>
      <c r="F47" s="72"/>
      <c r="G47" s="593">
        <f>summ!E23</f>
        <v>2.362</v>
      </c>
      <c r="H47" s="595" t="str">
        <f>CONCATENATE("Total ",E3-1," Mill Rate")</f>
        <v>Total -1 Mill Rate</v>
      </c>
      <c r="I47" s="596"/>
      <c r="J47" s="597"/>
      <c r="K47" s="72"/>
    </row>
    <row r="48" spans="2:6" ht="15.75">
      <c r="B48" s="193" t="s">
        <v>28</v>
      </c>
      <c r="C48" s="385"/>
      <c r="D48" s="385"/>
      <c r="E48" s="259"/>
      <c r="F48" s="564"/>
    </row>
    <row r="49" spans="2:9" ht="15.75">
      <c r="B49" s="193" t="s">
        <v>29</v>
      </c>
      <c r="C49" s="385"/>
      <c r="D49" s="385"/>
      <c r="E49" s="134">
        <f>'mvalloc 3'!D14</f>
        <v>0</v>
      </c>
      <c r="F49" s="564"/>
      <c r="G49" s="682" t="s">
        <v>786</v>
      </c>
      <c r="H49" s="641"/>
      <c r="I49" s="640" t="str">
        <f>'cert 1'!F30</f>
        <v>No</v>
      </c>
    </row>
    <row r="50" spans="2:6" ht="15.75">
      <c r="B50" s="193" t="s">
        <v>30</v>
      </c>
      <c r="C50" s="385"/>
      <c r="D50" s="385"/>
      <c r="E50" s="134">
        <f>'mvalloc 3'!E14</f>
        <v>0</v>
      </c>
      <c r="F50" s="564"/>
    </row>
    <row r="51" spans="2:6" ht="15.75">
      <c r="B51" s="281" t="s">
        <v>102</v>
      </c>
      <c r="C51" s="385"/>
      <c r="D51" s="385"/>
      <c r="E51" s="134">
        <f>'mvalloc 3'!F14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31</v>
      </c>
      <c r="C57" s="385"/>
      <c r="D57" s="385"/>
      <c r="E57" s="259"/>
      <c r="F57" s="564"/>
      <c r="G57" s="573"/>
      <c r="H57" s="575"/>
      <c r="I57" s="575"/>
      <c r="J57" s="574"/>
    </row>
    <row r="58" spans="2:10" ht="15.75">
      <c r="B58" s="284" t="s">
        <v>202</v>
      </c>
      <c r="C58" s="282"/>
      <c r="D58" s="282"/>
      <c r="E58" s="259"/>
      <c r="F58" s="564"/>
      <c r="G58" s="499"/>
      <c r="H58" s="499"/>
      <c r="I58" s="499"/>
      <c r="J58" s="499"/>
    </row>
    <row r="59" spans="2:10" ht="15.75">
      <c r="B59" s="284" t="s">
        <v>546</v>
      </c>
      <c r="C59" s="387">
        <f>IF(C60*0.1&lt;C58,"Exceed 10% Rule","")</f>
      </c>
      <c r="D59" s="387">
        <f>IF(D60*0.1&lt;D58,"Exceed 10% Rule","")</f>
      </c>
      <c r="E59" s="402">
        <f>IF(E60*0.1+E80&lt;E58,"Exceed 10% Rule","")</f>
      </c>
      <c r="F59" s="564"/>
      <c r="G59" s="569"/>
      <c r="H59" s="570"/>
      <c r="I59" s="571"/>
      <c r="J59" s="499"/>
    </row>
    <row r="60" spans="2:10" ht="15.75">
      <c r="B60" s="287" t="s">
        <v>32</v>
      </c>
      <c r="C60" s="388">
        <f>SUM(C47:C58)</f>
        <v>0</v>
      </c>
      <c r="D60" s="388">
        <f>SUM(D47:D58)</f>
        <v>0</v>
      </c>
      <c r="E60" s="288">
        <f>SUM(E47:E58)</f>
        <v>0</v>
      </c>
      <c r="F60" s="564"/>
      <c r="G60" s="569"/>
      <c r="H60" s="571"/>
      <c r="I60" s="571"/>
      <c r="J60" s="499"/>
    </row>
    <row r="61" spans="2:10" ht="15.75">
      <c r="B61" s="287" t="s">
        <v>33</v>
      </c>
      <c r="C61" s="388">
        <f>C45+C60</f>
        <v>0</v>
      </c>
      <c r="D61" s="388">
        <f>D45+D60</f>
        <v>0</v>
      </c>
      <c r="E61" s="288">
        <f>E45+E60</f>
        <v>0</v>
      </c>
      <c r="F61" s="564"/>
      <c r="G61" s="569"/>
      <c r="H61" s="571"/>
      <c r="I61" s="571"/>
      <c r="J61" s="499"/>
    </row>
    <row r="62" spans="2:10" ht="15.75">
      <c r="B62" s="193" t="s">
        <v>34</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59" t="str">
        <f>CONCATENATE("Desired Carryover Into ",E3+1,"")</f>
        <v>Desired Carryover Into 1</v>
      </c>
      <c r="H65" s="760"/>
      <c r="I65" s="760"/>
      <c r="J65" s="761"/>
      <c r="K65" s="72"/>
    </row>
    <row r="66" spans="2:11" ht="15.75">
      <c r="B66" s="282"/>
      <c r="C66" s="385"/>
      <c r="D66" s="385"/>
      <c r="E66" s="259"/>
      <c r="F66" s="72"/>
      <c r="G66" s="500"/>
      <c r="H66" s="490"/>
      <c r="I66" s="494"/>
      <c r="J66" s="501"/>
      <c r="K66" s="72"/>
    </row>
    <row r="67" spans="2:11" ht="15.75">
      <c r="B67" s="282"/>
      <c r="C67" s="385"/>
      <c r="D67" s="385"/>
      <c r="E67" s="259"/>
      <c r="F67" s="72"/>
      <c r="G67" s="502" t="s">
        <v>645</v>
      </c>
      <c r="H67" s="494"/>
      <c r="I67" s="494"/>
      <c r="J67" s="503">
        <v>0</v>
      </c>
      <c r="K67" s="72"/>
    </row>
    <row r="68" spans="2:11" ht="15.75">
      <c r="B68" s="282"/>
      <c r="C68" s="385"/>
      <c r="D68" s="385"/>
      <c r="E68" s="259"/>
      <c r="F68" s="72"/>
      <c r="G68" s="500" t="s">
        <v>646</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201</v>
      </c>
      <c r="C70" s="282"/>
      <c r="D70" s="282"/>
      <c r="E70" s="136">
        <f>Nhood!E10</f>
      </c>
      <c r="F70" s="72"/>
      <c r="G70" s="579" t="s">
        <v>722</v>
      </c>
      <c r="H70" s="580"/>
      <c r="I70" s="580"/>
      <c r="J70" s="581">
        <f>IF(J67&gt;0,J69-E77,0)</f>
        <v>0</v>
      </c>
      <c r="K70" s="72"/>
    </row>
    <row r="71" spans="2:11" ht="15.75">
      <c r="B71" s="196" t="s">
        <v>202</v>
      </c>
      <c r="C71" s="282"/>
      <c r="D71" s="282"/>
      <c r="E71" s="259"/>
      <c r="F71" s="72"/>
      <c r="G71" s="72"/>
      <c r="H71" s="72"/>
      <c r="I71" s="72"/>
      <c r="J71" s="582"/>
      <c r="K71" s="72"/>
    </row>
    <row r="72" spans="2:11" ht="15.75">
      <c r="B72" s="196" t="s">
        <v>547</v>
      </c>
      <c r="C72" s="387">
        <f>IF(C73*0.1&lt;C71,"Exceed 10% Rule","")</f>
      </c>
      <c r="D72" s="387">
        <f>IF(D73*0.1&lt;D71,"Exceed 10% Rule","")</f>
      </c>
      <c r="E72" s="402">
        <f>IF(E73*0.1&lt;E71,"Exceed 10% Rule","")</f>
      </c>
      <c r="F72" s="72"/>
      <c r="G72" s="759" t="str">
        <f>CONCATENATE("Projected Carryover Into ",E3+1,"")</f>
        <v>Projected Carryover Into 1</v>
      </c>
      <c r="H72" s="764"/>
      <c r="I72" s="764"/>
      <c r="J72" s="763"/>
      <c r="K72" s="72"/>
    </row>
    <row r="73" spans="2:11" ht="15.75">
      <c r="B73" s="287" t="s">
        <v>35</v>
      </c>
      <c r="C73" s="388">
        <f>SUM(C63:C71)</f>
        <v>0</v>
      </c>
      <c r="D73" s="388">
        <f>SUM(D63:D71)</f>
        <v>0</v>
      </c>
      <c r="E73" s="288">
        <f>SUM(E63:E71)</f>
        <v>0</v>
      </c>
      <c r="F73" s="72"/>
      <c r="G73" s="489"/>
      <c r="H73" s="490"/>
      <c r="I73" s="490"/>
      <c r="J73" s="491"/>
      <c r="K73" s="72"/>
    </row>
    <row r="74" spans="2:11" ht="15.75">
      <c r="B74" s="193" t="s">
        <v>110</v>
      </c>
      <c r="C74" s="386">
        <f>C61-C73</f>
        <v>0</v>
      </c>
      <c r="D74" s="386">
        <f>D61-D73</f>
        <v>0</v>
      </c>
      <c r="E74" s="204" t="s">
        <v>21</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55" t="s">
        <v>641</v>
      </c>
      <c r="D76" s="756"/>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7" t="s">
        <v>642</v>
      </c>
      <c r="D77" s="758"/>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643</v>
      </c>
      <c r="E78" s="137">
        <f>IF(E77-E61&gt;0,E77-E61,0)</f>
        <v>0</v>
      </c>
      <c r="F78" s="72"/>
      <c r="G78" s="599"/>
      <c r="H78" s="507"/>
      <c r="I78" s="490"/>
      <c r="J78" s="491"/>
      <c r="K78" s="72"/>
    </row>
    <row r="79" spans="2:11" ht="15.75">
      <c r="B79" s="219"/>
      <c r="C79" s="486" t="s">
        <v>644</v>
      </c>
      <c r="D79" s="606">
        <f>inputOth!$E$96</f>
        <v>0</v>
      </c>
      <c r="E79" s="134">
        <f>ROUND(IF(D79&gt;0,(E78*D79),0),0)</f>
        <v>0</v>
      </c>
      <c r="F79" s="72"/>
      <c r="G79" s="600">
        <f>ROUND(C73*0.05+C73,0)</f>
        <v>0</v>
      </c>
      <c r="H79" s="507" t="str">
        <f>CONCATENATE("Less ",E3-2," Expenditures + 5%")</f>
        <v>Less -2 Expenditures + 5%</v>
      </c>
      <c r="I79" s="491"/>
      <c r="J79" s="491"/>
      <c r="K79" s="72"/>
    </row>
    <row r="80" spans="2:11" ht="15.75">
      <c r="B80" s="74"/>
      <c r="C80" s="753" t="str">
        <f>CONCATENATE("Amount of  ",$E$3-1," Ad Valorem Tax")</f>
        <v>Amount of  -1 Ad Valorem Tax</v>
      </c>
      <c r="D80" s="754"/>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37</v>
      </c>
      <c r="C82" s="178"/>
      <c r="D82" s="74"/>
      <c r="E82" s="74"/>
      <c r="F82" s="72"/>
      <c r="G82" s="750" t="s">
        <v>723</v>
      </c>
      <c r="H82" s="751"/>
      <c r="I82" s="751"/>
      <c r="J82" s="752"/>
      <c r="K82" s="72"/>
    </row>
    <row r="83" spans="6:11" ht="15.75">
      <c r="F83" s="72"/>
      <c r="G83" s="590"/>
      <c r="H83" s="493"/>
      <c r="I83" s="568"/>
      <c r="J83" s="591"/>
      <c r="K83" s="72"/>
    </row>
    <row r="84" spans="6:11" ht="15.75">
      <c r="F84" s="72"/>
      <c r="G84" s="592" t="str">
        <f>summ!H19</f>
        <v> </v>
      </c>
      <c r="H84" s="493" t="str">
        <f>CONCATENATE("",E3," Fund Mill Rate")</f>
        <v> Fund Mill Rate</v>
      </c>
      <c r="I84" s="568"/>
      <c r="J84" s="591"/>
      <c r="K84" s="72"/>
    </row>
    <row r="85" spans="6:11" ht="15.75">
      <c r="F85" s="72"/>
      <c r="G85" s="593" t="str">
        <f>summ!E19</f>
        <v>  </v>
      </c>
      <c r="H85" s="493" t="str">
        <f>CONCATENATE("",E3-1," Fund Mill Rate")</f>
        <v>-1 Fund Mill Rate</v>
      </c>
      <c r="I85" s="568"/>
      <c r="J85" s="591"/>
      <c r="K85" s="72"/>
    </row>
    <row r="86" spans="6:11" ht="15.75">
      <c r="F86" s="72"/>
      <c r="G86" s="594">
        <f>summ!H23</f>
        <v>2.354</v>
      </c>
      <c r="H86" s="493" t="str">
        <f>CONCATENATE("Total ",E3," Mill Rate")</f>
        <v>Total  Mill Rate</v>
      </c>
      <c r="I86" s="568"/>
      <c r="J86" s="591"/>
      <c r="K86" s="72"/>
    </row>
    <row r="87" spans="6:11" ht="15.75">
      <c r="F87" s="72"/>
      <c r="G87" s="593">
        <f>summ!E23</f>
        <v>2.362</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702" t="s">
        <v>786</v>
      </c>
      <c r="H93" s="643"/>
      <c r="I93" s="642" t="str">
        <f>'cert 1'!F30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86" sqref="I86"/>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PIEDMONT  CEMETERY #1</v>
      </c>
      <c r="C1" s="151"/>
      <c r="D1" s="74"/>
      <c r="E1" s="244">
        <f>inputPrYr!D11</f>
        <v>2015</v>
      </c>
    </row>
    <row r="2" spans="2:5" ht="15.75">
      <c r="B2" s="74" t="str">
        <f>inputPrYr!D4</f>
        <v>GREENWOOD</v>
      </c>
      <c r="C2" s="151"/>
      <c r="D2" s="74"/>
      <c r="E2" s="155"/>
    </row>
    <row r="3" spans="2:5" ht="15.75">
      <c r="B3" s="83"/>
      <c r="C3" s="151"/>
      <c r="D3" s="151"/>
      <c r="E3" s="279"/>
    </row>
    <row r="4" spans="2:5" ht="15.75">
      <c r="B4" s="83" t="s">
        <v>75</v>
      </c>
      <c r="C4" s="154"/>
      <c r="D4" s="154"/>
      <c r="E4" s="154"/>
    </row>
    <row r="5" spans="2:5" ht="15.75">
      <c r="B5" s="73" t="s">
        <v>26</v>
      </c>
      <c r="C5" s="304" t="s">
        <v>238</v>
      </c>
      <c r="D5" s="280" t="s">
        <v>239</v>
      </c>
      <c r="E5" s="280" t="s">
        <v>241</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109</v>
      </c>
      <c r="C7" s="94"/>
      <c r="D7" s="134">
        <f>C32</f>
        <v>0</v>
      </c>
      <c r="E7" s="134">
        <f>D32</f>
        <v>0</v>
      </c>
    </row>
    <row r="8" spans="2:5" ht="15.75">
      <c r="B8" s="209" t="s">
        <v>111</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31</v>
      </c>
      <c r="C16" s="259"/>
      <c r="D16" s="259"/>
      <c r="E16" s="259"/>
    </row>
    <row r="17" spans="2:5" ht="15.75">
      <c r="B17" s="284" t="s">
        <v>202</v>
      </c>
      <c r="C17" s="259"/>
      <c r="D17" s="285"/>
      <c r="E17" s="285"/>
    </row>
    <row r="18" spans="2:5" ht="15.75">
      <c r="B18" s="284" t="s">
        <v>546</v>
      </c>
      <c r="C18" s="402">
        <f>IF(C19*0.1&lt;C17,"Exceed 10% Rule","")</f>
      </c>
      <c r="D18" s="286">
        <f>IF(D19*0.1&lt;D17,"Exceed 10% Rule","")</f>
      </c>
      <c r="E18" s="286">
        <f>IF(E19*0.1&lt;E17,"Exceed 10% Rule","")</f>
      </c>
    </row>
    <row r="19" spans="2:5" ht="15.75">
      <c r="B19" s="287" t="s">
        <v>32</v>
      </c>
      <c r="C19" s="288">
        <f>SUM(C9:C17)</f>
        <v>0</v>
      </c>
      <c r="D19" s="288">
        <f>SUM(D9:D17)</f>
        <v>0</v>
      </c>
      <c r="E19" s="288">
        <f>SUM(E9:E17)</f>
        <v>0</v>
      </c>
    </row>
    <row r="20" spans="2:5" ht="15.75">
      <c r="B20" s="287" t="s">
        <v>33</v>
      </c>
      <c r="C20" s="288">
        <f>C19+C7</f>
        <v>0</v>
      </c>
      <c r="D20" s="288">
        <f>D19+D7</f>
        <v>0</v>
      </c>
      <c r="E20" s="288">
        <f>E19+E7</f>
        <v>0</v>
      </c>
    </row>
    <row r="21" spans="2:5" ht="15.75">
      <c r="B21" s="193" t="s">
        <v>34</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202</v>
      </c>
      <c r="C29" s="259"/>
      <c r="D29" s="285"/>
      <c r="E29" s="285"/>
    </row>
    <row r="30" spans="2:5" ht="15.75">
      <c r="B30" s="196" t="s">
        <v>547</v>
      </c>
      <c r="C30" s="402">
        <f>IF(C31*0.1&lt;C29,"Exceed 10% Rule","")</f>
      </c>
      <c r="D30" s="286">
        <f>IF(D31*0.1&lt;D29,"Exceed 10% Rule","")</f>
      </c>
      <c r="E30" s="286">
        <f>IF(E31*0.1&lt;E29,"Exceed 10% Rule","")</f>
      </c>
    </row>
    <row r="31" spans="2:5" ht="15.75">
      <c r="B31" s="287" t="s">
        <v>35</v>
      </c>
      <c r="C31" s="288">
        <f>SUM(C22:C29)</f>
        <v>0</v>
      </c>
      <c r="D31" s="288">
        <f>SUM(D22:D29)</f>
        <v>0</v>
      </c>
      <c r="E31" s="288">
        <f>SUM(E22:E29)</f>
        <v>0</v>
      </c>
    </row>
    <row r="32" spans="2:5" ht="15.75">
      <c r="B32" s="193" t="s">
        <v>110</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54">
        <f>E31</f>
        <v>0</v>
      </c>
    </row>
    <row r="34" spans="2:5" ht="15.75">
      <c r="B34" s="155"/>
      <c r="C34" s="289">
        <f>IF(C31&gt;C33,"See Tab A","")</f>
      </c>
      <c r="D34" s="289">
        <f>IF(D31&gt;D33,"See Tab C","")</f>
      </c>
      <c r="E34" s="655">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26</v>
      </c>
      <c r="C39" s="304" t="s">
        <v>237</v>
      </c>
      <c r="D39" s="280" t="s">
        <v>239</v>
      </c>
      <c r="E39" s="280" t="s">
        <v>240</v>
      </c>
    </row>
    <row r="40" spans="2:5" ht="15.75">
      <c r="B40" s="401">
        <f>inputPrYr!B32</f>
        <v>0</v>
      </c>
      <c r="C40" s="232" t="str">
        <f>C6</f>
        <v>Actual for 2013</v>
      </c>
      <c r="D40" s="232" t="str">
        <f>D6</f>
        <v>Estimate for 2014</v>
      </c>
      <c r="E40" s="232" t="str">
        <f>E6</f>
        <v>Year for 2015</v>
      </c>
    </row>
    <row r="41" spans="2:5" ht="15.75">
      <c r="B41" s="193" t="s">
        <v>109</v>
      </c>
      <c r="C41" s="94"/>
      <c r="D41" s="134">
        <f>C66</f>
        <v>0</v>
      </c>
      <c r="E41" s="134">
        <f>D66</f>
        <v>0</v>
      </c>
    </row>
    <row r="42" spans="2:5" ht="15.75">
      <c r="B42" s="209" t="s">
        <v>111</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31</v>
      </c>
      <c r="C50" s="259"/>
      <c r="D50" s="259"/>
      <c r="E50" s="259"/>
    </row>
    <row r="51" spans="2:5" ht="15.75">
      <c r="B51" s="284" t="s">
        <v>202</v>
      </c>
      <c r="C51" s="259"/>
      <c r="D51" s="285"/>
      <c r="E51" s="285"/>
    </row>
    <row r="52" spans="2:5" ht="15.75">
      <c r="B52" s="284" t="s">
        <v>546</v>
      </c>
      <c r="C52" s="402">
        <f>IF(C53*0.1&lt;C51,"Exceed 10% Rule","")</f>
      </c>
      <c r="D52" s="286">
        <f>IF(D53*0.1&lt;D51,"Exceed 10% Rule","")</f>
      </c>
      <c r="E52" s="286">
        <f>IF(E53*0.1&lt;E51,"Exceed 10% Rule","")</f>
      </c>
    </row>
    <row r="53" spans="2:5" ht="15.75">
      <c r="B53" s="287" t="s">
        <v>32</v>
      </c>
      <c r="C53" s="288">
        <f>SUM(C43:C51)</f>
        <v>0</v>
      </c>
      <c r="D53" s="288">
        <f>SUM(D43:D51)</f>
        <v>0</v>
      </c>
      <c r="E53" s="288">
        <f>SUM(E43:E51)</f>
        <v>0</v>
      </c>
    </row>
    <row r="54" spans="2:5" ht="15.75">
      <c r="B54" s="287" t="s">
        <v>33</v>
      </c>
      <c r="C54" s="288">
        <f>C53+C41</f>
        <v>0</v>
      </c>
      <c r="D54" s="288">
        <f>D53+D41</f>
        <v>0</v>
      </c>
      <c r="E54" s="288">
        <f>E53+E41</f>
        <v>0</v>
      </c>
    </row>
    <row r="55" spans="2:5" ht="15.75">
      <c r="B55" s="193" t="s">
        <v>34</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202</v>
      </c>
      <c r="C63" s="259"/>
      <c r="D63" s="285"/>
      <c r="E63" s="285"/>
    </row>
    <row r="64" spans="2:5" ht="15.75">
      <c r="B64" s="196" t="s">
        <v>547</v>
      </c>
      <c r="C64" s="402">
        <f>IF(C65*0.1&lt;C63,"Exceed 10% Rule","")</f>
      </c>
      <c r="D64" s="286">
        <f>IF(D65*0.1&lt;D63,"Exceed 10% Rule","")</f>
      </c>
      <c r="E64" s="286">
        <f>IF(E65*0.1&lt;E63,"Exceed 10% Rule","")</f>
      </c>
    </row>
    <row r="65" spans="2:5" ht="15.75">
      <c r="B65" s="287" t="s">
        <v>35</v>
      </c>
      <c r="C65" s="288">
        <f>SUM(C56:C63)</f>
        <v>0</v>
      </c>
      <c r="D65" s="288">
        <f>SUM(D56:D63)</f>
        <v>0</v>
      </c>
      <c r="E65" s="288">
        <f>SUM(E56:E63)</f>
        <v>0</v>
      </c>
    </row>
    <row r="66" spans="2:5" ht="15.75">
      <c r="B66" s="193" t="s">
        <v>110</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54">
        <f>E65</f>
        <v>0</v>
      </c>
    </row>
    <row r="68" spans="2:5" ht="15.75">
      <c r="B68" s="155"/>
      <c r="C68" s="289">
        <f>IF(C65&gt;C67,"See Tab A","")</f>
      </c>
      <c r="D68" s="289">
        <f>IF(D65&gt;D67,"See Tab C","")</f>
      </c>
      <c r="E68" s="655">
        <f>IF(E66&lt;0,"See Tab E","")</f>
      </c>
    </row>
    <row r="69" spans="2:5" ht="15.75">
      <c r="B69" s="155"/>
      <c r="C69" s="289">
        <f>IF(C66&lt;0,"See Tab B","")</f>
      </c>
      <c r="D69" s="289">
        <f>IF(D66&lt;0,"See Tab D","")</f>
      </c>
      <c r="E69" s="74"/>
    </row>
    <row r="70" spans="2:5" ht="15.75">
      <c r="B70" s="74"/>
      <c r="C70" s="74"/>
      <c r="D70" s="151"/>
      <c r="E70" s="151"/>
    </row>
    <row r="71" spans="2:5" ht="15.75">
      <c r="B71" s="155" t="s">
        <v>37</v>
      </c>
      <c r="C71" s="178"/>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PIEDMONT  CEMETERY #1</v>
      </c>
      <c r="B1" s="305"/>
      <c r="C1" s="152"/>
      <c r="D1" s="152"/>
      <c r="E1" s="152"/>
      <c r="F1" s="306" t="s">
        <v>242</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243</v>
      </c>
      <c r="B3" s="152"/>
      <c r="C3" s="152"/>
      <c r="D3" s="152"/>
      <c r="E3" s="152"/>
      <c r="F3" s="305"/>
      <c r="G3" s="152"/>
      <c r="H3" s="152"/>
      <c r="I3" s="152"/>
      <c r="J3" s="152"/>
      <c r="K3" s="152"/>
    </row>
    <row r="4" spans="1:11" ht="15.75">
      <c r="A4" s="152" t="s">
        <v>244</v>
      </c>
      <c r="B4" s="152"/>
      <c r="C4" s="152" t="s">
        <v>245</v>
      </c>
      <c r="D4" s="152"/>
      <c r="E4" s="152" t="s">
        <v>246</v>
      </c>
      <c r="F4" s="305"/>
      <c r="G4" s="152" t="s">
        <v>247</v>
      </c>
      <c r="H4" s="152"/>
      <c r="I4" s="152" t="s">
        <v>248</v>
      </c>
      <c r="J4" s="152"/>
      <c r="K4" s="152"/>
    </row>
    <row r="5" spans="1:11" ht="15.75">
      <c r="A5" s="765">
        <f>inputPrYr!B35</f>
        <v>0</v>
      </c>
      <c r="B5" s="766"/>
      <c r="C5" s="765">
        <f>inputPrYr!B36</f>
        <v>0</v>
      </c>
      <c r="D5" s="766"/>
      <c r="E5" s="765">
        <f>inputPrYr!B37</f>
        <v>0</v>
      </c>
      <c r="F5" s="766"/>
      <c r="G5" s="765">
        <f>inputPrYr!B38</f>
        <v>0</v>
      </c>
      <c r="H5" s="766"/>
      <c r="I5" s="765">
        <f>inputPrYr!B39</f>
        <v>0</v>
      </c>
      <c r="J5" s="766"/>
      <c r="K5" s="309"/>
    </row>
    <row r="6" spans="1:11" ht="15.75">
      <c r="A6" s="310" t="s">
        <v>249</v>
      </c>
      <c r="B6" s="311"/>
      <c r="C6" s="312" t="s">
        <v>249</v>
      </c>
      <c r="D6" s="313"/>
      <c r="E6" s="312" t="s">
        <v>249</v>
      </c>
      <c r="F6" s="314"/>
      <c r="G6" s="312" t="s">
        <v>249</v>
      </c>
      <c r="H6" s="308"/>
      <c r="I6" s="312" t="s">
        <v>249</v>
      </c>
      <c r="J6" s="152"/>
      <c r="K6" s="315" t="s">
        <v>8</v>
      </c>
    </row>
    <row r="7" spans="1:11" ht="15.75">
      <c r="A7" s="316" t="s">
        <v>250</v>
      </c>
      <c r="B7" s="317"/>
      <c r="C7" s="318" t="s">
        <v>250</v>
      </c>
      <c r="D7" s="317"/>
      <c r="E7" s="318" t="s">
        <v>250</v>
      </c>
      <c r="F7" s="317"/>
      <c r="G7" s="318" t="s">
        <v>250</v>
      </c>
      <c r="H7" s="317"/>
      <c r="I7" s="318" t="s">
        <v>250</v>
      </c>
      <c r="J7" s="317"/>
      <c r="K7" s="319">
        <f>SUM(B7+D7+F7+H7+J7)</f>
        <v>0</v>
      </c>
    </row>
    <row r="8" spans="1:11" ht="15.75">
      <c r="A8" s="320" t="s">
        <v>111</v>
      </c>
      <c r="B8" s="321"/>
      <c r="C8" s="320" t="s">
        <v>111</v>
      </c>
      <c r="D8" s="322"/>
      <c r="E8" s="320" t="s">
        <v>111</v>
      </c>
      <c r="F8" s="305"/>
      <c r="G8" s="320" t="s">
        <v>111</v>
      </c>
      <c r="H8" s="152"/>
      <c r="I8" s="320" t="s">
        <v>111</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32</v>
      </c>
      <c r="B17" s="319">
        <f>SUM(B9:B16)</f>
        <v>0</v>
      </c>
      <c r="C17" s="320" t="s">
        <v>32</v>
      </c>
      <c r="D17" s="319">
        <f>SUM(D9:D16)</f>
        <v>0</v>
      </c>
      <c r="E17" s="320" t="s">
        <v>32</v>
      </c>
      <c r="F17" s="333">
        <f>SUM(F9:F16)</f>
        <v>0</v>
      </c>
      <c r="G17" s="320" t="s">
        <v>32</v>
      </c>
      <c r="H17" s="319">
        <f>SUM(H9:H16)</f>
        <v>0</v>
      </c>
      <c r="I17" s="320" t="s">
        <v>32</v>
      </c>
      <c r="J17" s="319">
        <f>SUM(J9:J16)</f>
        <v>0</v>
      </c>
      <c r="K17" s="319">
        <f>SUM(B17+D17+F17+H17+J17)</f>
        <v>0</v>
      </c>
    </row>
    <row r="18" spans="1:11" ht="15.75">
      <c r="A18" s="320" t="s">
        <v>33</v>
      </c>
      <c r="B18" s="319">
        <f>SUM(B7+B17)</f>
        <v>0</v>
      </c>
      <c r="C18" s="320" t="s">
        <v>33</v>
      </c>
      <c r="D18" s="319">
        <f>SUM(D7+D17)</f>
        <v>0</v>
      </c>
      <c r="E18" s="320" t="s">
        <v>33</v>
      </c>
      <c r="F18" s="319">
        <f>SUM(F7+F17)</f>
        <v>0</v>
      </c>
      <c r="G18" s="320" t="s">
        <v>33</v>
      </c>
      <c r="H18" s="319">
        <f>SUM(H7+H17)</f>
        <v>0</v>
      </c>
      <c r="I18" s="320" t="s">
        <v>33</v>
      </c>
      <c r="J18" s="319">
        <f>SUM(J7+J17)</f>
        <v>0</v>
      </c>
      <c r="K18" s="319">
        <f>SUM(B18+D18+F18+H18+J18)</f>
        <v>0</v>
      </c>
    </row>
    <row r="19" spans="1:11" ht="15.75">
      <c r="A19" s="320" t="s">
        <v>34</v>
      </c>
      <c r="B19" s="321"/>
      <c r="C19" s="320" t="s">
        <v>34</v>
      </c>
      <c r="D19" s="322"/>
      <c r="E19" s="320" t="s">
        <v>34</v>
      </c>
      <c r="F19" s="305"/>
      <c r="G19" s="320" t="s">
        <v>34</v>
      </c>
      <c r="H19" s="152"/>
      <c r="I19" s="320" t="s">
        <v>34</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35</v>
      </c>
      <c r="B28" s="319">
        <f>SUM(B20:B27)</f>
        <v>0</v>
      </c>
      <c r="C28" s="320" t="s">
        <v>35</v>
      </c>
      <c r="D28" s="319">
        <f>SUM(D20:D27)</f>
        <v>0</v>
      </c>
      <c r="E28" s="320" t="s">
        <v>35</v>
      </c>
      <c r="F28" s="333">
        <f>SUM(F20:F27)</f>
        <v>0</v>
      </c>
      <c r="G28" s="320" t="s">
        <v>35</v>
      </c>
      <c r="H28" s="333">
        <f>SUM(H20:H27)</f>
        <v>0</v>
      </c>
      <c r="I28" s="320" t="s">
        <v>35</v>
      </c>
      <c r="J28" s="319">
        <f>SUM(J20:J27)</f>
        <v>0</v>
      </c>
      <c r="K28" s="319">
        <f>SUM(B28+D28+F28+H28+J28)</f>
        <v>0</v>
      </c>
    </row>
    <row r="29" spans="1:12" ht="15.75">
      <c r="A29" s="320" t="s">
        <v>251</v>
      </c>
      <c r="B29" s="319">
        <f>SUM(B18-B28)</f>
        <v>0</v>
      </c>
      <c r="C29" s="320" t="s">
        <v>251</v>
      </c>
      <c r="D29" s="319">
        <f>SUM(D18-D28)</f>
        <v>0</v>
      </c>
      <c r="E29" s="320" t="s">
        <v>251</v>
      </c>
      <c r="F29" s="319">
        <f>SUM(F18-F28)</f>
        <v>0</v>
      </c>
      <c r="G29" s="320" t="s">
        <v>251</v>
      </c>
      <c r="H29" s="319">
        <f>SUM(H18-H28)</f>
        <v>0</v>
      </c>
      <c r="I29" s="320" t="s">
        <v>251</v>
      </c>
      <c r="J29" s="319">
        <f>SUM(J18-J28)</f>
        <v>0</v>
      </c>
      <c r="K29" s="334">
        <f>SUM(B29+D29+F29+H29+J29)</f>
        <v>0</v>
      </c>
      <c r="L29" s="120" t="s">
        <v>252</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252</v>
      </c>
    </row>
    <row r="31" spans="1:11" ht="15.75">
      <c r="A31" s="152"/>
      <c r="B31" s="335"/>
      <c r="C31" s="152"/>
      <c r="D31" s="305"/>
      <c r="E31" s="152"/>
      <c r="F31" s="152"/>
      <c r="G31" s="336" t="s">
        <v>253</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37</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58" customWidth="1"/>
    <col min="2" max="16384" width="8.8984375" style="158" customWidth="1"/>
  </cols>
  <sheetData>
    <row r="1" ht="18.75">
      <c r="A1" s="338" t="s">
        <v>272</v>
      </c>
    </row>
    <row r="2" ht="15.75">
      <c r="A2" s="120"/>
    </row>
    <row r="3" ht="15.75">
      <c r="A3" s="120"/>
    </row>
    <row r="4" ht="56.25" customHeight="1">
      <c r="A4" s="339" t="s">
        <v>273</v>
      </c>
    </row>
    <row r="5" ht="15.75">
      <c r="A5" s="340"/>
    </row>
    <row r="6" ht="15.75">
      <c r="A6" s="120"/>
    </row>
    <row r="7" ht="50.25" customHeight="1">
      <c r="A7" s="339" t="s">
        <v>274</v>
      </c>
    </row>
    <row r="8" ht="15.75">
      <c r="A8" s="120"/>
    </row>
    <row r="9" ht="15.75">
      <c r="A9" s="120"/>
    </row>
    <row r="10" ht="52.5" customHeight="1">
      <c r="A10" s="339" t="s">
        <v>275</v>
      </c>
    </row>
    <row r="11" ht="15.75">
      <c r="A11" s="120"/>
    </row>
    <row r="12" ht="15.75">
      <c r="A12" s="120"/>
    </row>
    <row r="13" ht="52.5" customHeight="1">
      <c r="A13" s="339" t="s">
        <v>276</v>
      </c>
    </row>
    <row r="14" ht="15.75">
      <c r="A14" s="340"/>
    </row>
    <row r="15" ht="15.75">
      <c r="A15" s="340"/>
    </row>
    <row r="16" ht="51" customHeight="1">
      <c r="A16" s="407" t="s">
        <v>552</v>
      </c>
    </row>
    <row r="17" ht="15.75">
      <c r="A17" s="340"/>
    </row>
    <row r="18" ht="15.75">
      <c r="A18" s="340"/>
    </row>
    <row r="19" ht="37.5" customHeight="1">
      <c r="A19" s="339" t="s">
        <v>277</v>
      </c>
    </row>
    <row r="20" ht="15.75">
      <c r="A20" s="120"/>
    </row>
    <row r="21" ht="15.75">
      <c r="A21" s="120"/>
    </row>
    <row r="22" ht="47.25">
      <c r="A22" s="339" t="s">
        <v>278</v>
      </c>
    </row>
    <row r="23" ht="15.75">
      <c r="A23" s="340"/>
    </row>
    <row r="24" ht="15.75">
      <c r="A24" s="120"/>
    </row>
    <row r="25" ht="67.5" customHeight="1">
      <c r="A25" s="339" t="s">
        <v>279</v>
      </c>
    </row>
    <row r="26" ht="68.25" customHeight="1">
      <c r="A26" s="341" t="s">
        <v>280</v>
      </c>
    </row>
    <row r="27" ht="15.75">
      <c r="A27" s="120"/>
    </row>
    <row r="28" ht="15.75">
      <c r="A28" s="120"/>
    </row>
    <row r="29" ht="51" customHeight="1">
      <c r="A29" s="409" t="s">
        <v>553</v>
      </c>
    </row>
    <row r="30" ht="15.75">
      <c r="A30" s="120"/>
    </row>
    <row r="31" ht="15.75">
      <c r="A31" s="340"/>
    </row>
    <row r="32" ht="69" customHeight="1">
      <c r="A32" s="409" t="s">
        <v>554</v>
      </c>
    </row>
    <row r="33" ht="15.75">
      <c r="A33" s="340"/>
    </row>
    <row r="34" ht="15.75">
      <c r="A34" s="340"/>
    </row>
    <row r="35" ht="52.5" customHeight="1">
      <c r="A35" s="409" t="s">
        <v>555</v>
      </c>
    </row>
    <row r="36" ht="15.75">
      <c r="A36" s="340"/>
    </row>
    <row r="37" ht="15.75">
      <c r="A37" s="340"/>
    </row>
    <row r="38" ht="59.25" customHeight="1">
      <c r="A38" s="339" t="s">
        <v>281</v>
      </c>
    </row>
    <row r="39" ht="15.75">
      <c r="A39" s="120"/>
    </row>
    <row r="40" ht="15.75">
      <c r="A40" s="120"/>
    </row>
    <row r="41" ht="53.25" customHeight="1">
      <c r="A41" s="339" t="s">
        <v>282</v>
      </c>
    </row>
    <row r="42" ht="15.75">
      <c r="A42" s="340"/>
    </row>
    <row r="43" ht="15.75">
      <c r="A43" s="340"/>
    </row>
    <row r="44" ht="38.25" customHeight="1">
      <c r="A44" s="339" t="s">
        <v>283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41" sqref="A41:B41"/>
    </sheetView>
  </sheetViews>
  <sheetFormatPr defaultColWidth="8.7968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41" t="s">
        <v>76</v>
      </c>
      <c r="B1" s="733"/>
      <c r="C1" s="733"/>
      <c r="D1" s="733"/>
      <c r="E1" s="733"/>
      <c r="F1" s="733"/>
      <c r="G1" s="733"/>
      <c r="H1" s="733"/>
    </row>
    <row r="2" spans="1:8" ht="15.75">
      <c r="A2" s="74"/>
      <c r="B2" s="74"/>
      <c r="C2" s="74"/>
      <c r="D2" s="74"/>
      <c r="E2" s="74"/>
      <c r="F2" s="74"/>
      <c r="G2" s="74"/>
      <c r="H2" s="74"/>
    </row>
    <row r="3" spans="1:9" ht="15.75">
      <c r="A3" s="732" t="s">
        <v>103</v>
      </c>
      <c r="B3" s="732"/>
      <c r="C3" s="732"/>
      <c r="D3" s="732"/>
      <c r="E3" s="732"/>
      <c r="F3" s="732"/>
      <c r="G3" s="732"/>
      <c r="H3" s="732"/>
      <c r="I3" s="112">
        <f>inputPrYr!D11</f>
        <v>2015</v>
      </c>
    </row>
    <row r="4" spans="1:8" ht="15.75">
      <c r="A4" s="707" t="str">
        <f>inputPrYr!D3</f>
        <v>PIEDMONT  CEMETERY #1</v>
      </c>
      <c r="B4" s="707"/>
      <c r="C4" s="707"/>
      <c r="D4" s="707"/>
      <c r="E4" s="707"/>
      <c r="F4" s="707"/>
      <c r="G4" s="707"/>
      <c r="H4" s="707"/>
    </row>
    <row r="5" spans="1:8" ht="15.75">
      <c r="A5" s="779" t="str">
        <f>inputPrYr!D4</f>
        <v>GREENWOOD</v>
      </c>
      <c r="B5" s="779"/>
      <c r="C5" s="779"/>
      <c r="D5" s="779"/>
      <c r="E5" s="779"/>
      <c r="F5" s="779"/>
      <c r="G5" s="779"/>
      <c r="H5" s="779"/>
    </row>
    <row r="6" spans="1:8" ht="15.75">
      <c r="A6" s="768" t="str">
        <f>CONCATENATE("will meet on ",inputBudSum!B7," at ",inputBudSum!B9," at ",inputBudSum!B11," for the purpose of hearing and")</f>
        <v>will meet on August 18, 2014 at 8:00 A. M.  at Residence of Allen Wunderlich for the purpose of hearing and</v>
      </c>
      <c r="B6" s="768"/>
      <c r="C6" s="768"/>
      <c r="D6" s="768"/>
      <c r="E6" s="768"/>
      <c r="F6" s="768"/>
      <c r="G6" s="768"/>
      <c r="H6" s="768"/>
    </row>
    <row r="7" spans="1:8" ht="15.75">
      <c r="A7" s="122" t="s">
        <v>317</v>
      </c>
      <c r="B7" s="82"/>
      <c r="C7" s="82"/>
      <c r="D7" s="82"/>
      <c r="E7" s="82"/>
      <c r="F7" s="82"/>
      <c r="G7" s="82"/>
      <c r="H7" s="82"/>
    </row>
    <row r="8" spans="1:8" ht="15.75">
      <c r="A8" s="360" t="str">
        <f>CONCATENATE("Detailed budget information is avaiable at ",inputBudSum!B14," and will be available at this hearing.")</f>
        <v>Detailed budget information is avaiable at Residence of Allen Wunderlich and will be available at this hearing.</v>
      </c>
      <c r="B8" s="361"/>
      <c r="C8" s="361"/>
      <c r="D8" s="361"/>
      <c r="E8" s="361"/>
      <c r="F8" s="361"/>
      <c r="G8" s="82"/>
      <c r="H8" s="82"/>
    </row>
    <row r="9" spans="1:8" ht="15.75">
      <c r="A9" s="81" t="s">
        <v>77</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70" t="str">
        <f>CONCATENATE("Estimated Value Of One Mill For ",I3,"")</f>
        <v>Estimated Value Of One Mill For 2015</v>
      </c>
      <c r="K11" s="771"/>
      <c r="L11" s="771"/>
      <c r="M11" s="772"/>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647</v>
      </c>
      <c r="K13" s="514"/>
      <c r="L13" s="514"/>
      <c r="M13" s="515">
        <f>ROUND(F27/1000,0)</f>
        <v>2115</v>
      </c>
    </row>
    <row r="14" spans="1:13" ht="15.75">
      <c r="A14" s="130"/>
      <c r="B14" s="128"/>
      <c r="C14" s="129" t="s">
        <v>44</v>
      </c>
      <c r="D14" s="128"/>
      <c r="E14" s="129" t="s">
        <v>44</v>
      </c>
      <c r="F14" s="130" t="s">
        <v>196</v>
      </c>
      <c r="G14" s="777" t="str">
        <f>CONCATENATE("Amount of ",I3-1," Ad Valorem Tax")</f>
        <v>Amount of 2014 Ad Valorem Tax</v>
      </c>
      <c r="H14" s="129" t="s">
        <v>650</v>
      </c>
      <c r="J14" s="72"/>
      <c r="K14" s="72"/>
      <c r="L14" s="72"/>
      <c r="M14" s="72"/>
    </row>
    <row r="15" spans="1:13" ht="15.75">
      <c r="A15" s="231" t="s">
        <v>45</v>
      </c>
      <c r="B15" s="131" t="s">
        <v>46</v>
      </c>
      <c r="C15" s="132" t="s">
        <v>154</v>
      </c>
      <c r="D15" s="131" t="s">
        <v>46</v>
      </c>
      <c r="E15" s="132" t="s">
        <v>154</v>
      </c>
      <c r="F15" s="131" t="s">
        <v>545</v>
      </c>
      <c r="G15" s="778"/>
      <c r="H15" s="132" t="s">
        <v>154</v>
      </c>
      <c r="J15" s="770" t="str">
        <f>CONCATENATE("Want The Mill Rate The Same As For ",I3-1,"?")</f>
        <v>Want The Mill Rate The Same As For 2014?</v>
      </c>
      <c r="K15" s="773"/>
      <c r="L15" s="773"/>
      <c r="M15" s="774"/>
    </row>
    <row r="16" spans="1:13" ht="15.75">
      <c r="A16" s="106" t="str">
        <f>inputPrYr!B24</f>
        <v>General</v>
      </c>
      <c r="B16" s="134">
        <f>IF('gen 6'!$C$61&lt;&gt;0,'gen 6'!$C$61,"  ")</f>
        <v>5010</v>
      </c>
      <c r="C16" s="626">
        <f>IF(inputPrYr!D43&gt;0,inputPrYr!D43,"  ")</f>
        <v>2.379</v>
      </c>
      <c r="D16" s="134">
        <f>IF('gen 6'!$D$61&lt;&gt;0,'gen 6'!$D$61,"  ")</f>
        <v>7825</v>
      </c>
      <c r="E16" s="626">
        <f>IF(inputOth!D46&gt;0,inputOth!D46,"  ")</f>
        <v>2.362</v>
      </c>
      <c r="F16" s="134">
        <f>IF('gen 6'!$E$61&lt;&gt;0,'gen 6'!$E$61,"  ")</f>
        <v>43150</v>
      </c>
      <c r="G16" s="134">
        <f>IF('gen 6'!$E$68&lt;&gt;0,'gen 6'!$E$68,"  ")</f>
        <v>4978</v>
      </c>
      <c r="H16" s="626">
        <f>IF('gen 6'!E68&gt;0,ROUND(G16/$F$27*1000,3)," ")</f>
        <v>2.354</v>
      </c>
      <c r="J16" s="516"/>
      <c r="K16" s="511"/>
      <c r="L16" s="511"/>
      <c r="M16" s="517"/>
    </row>
    <row r="17" spans="1:13" ht="15.75">
      <c r="A17" s="106" t="s">
        <v>260</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2.362</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t="str">
        <f>IF(M19&gt;0,"Increased By:","")</f>
        <v>Increased By:</v>
      </c>
      <c r="K19" s="520"/>
      <c r="L19" s="520"/>
      <c r="M19" s="521">
        <f>IF(M26&lt;0,M26*-1,0)</f>
        <v>17</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f>IF(M20&lt;0,"Reduced By:","")</f>
      </c>
      <c r="K20" s="505"/>
      <c r="L20" s="505"/>
      <c r="M20" s="523">
        <f>IF(M26&gt;0,M26*-1,0)</f>
        <v>0</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70" t="str">
        <f>CONCATENATE("Impact On Keeping The Same Mill Rate As For ",I3-1,"")</f>
        <v>Impact On Keeping The Same Mill Rate As For 2014</v>
      </c>
      <c r="K22" s="775"/>
      <c r="L22" s="775"/>
      <c r="M22" s="776"/>
    </row>
    <row r="23" spans="1:13" ht="15.75">
      <c r="A23" s="92" t="s">
        <v>117</v>
      </c>
      <c r="B23" s="529">
        <f>SUM(B16:B22)</f>
        <v>5010</v>
      </c>
      <c r="C23" s="630">
        <f aca="true" t="shared" si="0" ref="C23:H23">SUM(C16:C21)</f>
        <v>2.379</v>
      </c>
      <c r="D23" s="529">
        <f t="shared" si="0"/>
        <v>7825</v>
      </c>
      <c r="E23" s="630">
        <f t="shared" si="0"/>
        <v>2.362</v>
      </c>
      <c r="F23" s="529">
        <f t="shared" si="0"/>
        <v>43150</v>
      </c>
      <c r="G23" s="529">
        <f>SUM(G16:G21)</f>
        <v>4978</v>
      </c>
      <c r="H23" s="630">
        <f t="shared" si="0"/>
        <v>2.354</v>
      </c>
      <c r="J23" s="516"/>
      <c r="K23" s="511"/>
      <c r="L23" s="511"/>
      <c r="M23" s="517"/>
    </row>
    <row r="24" spans="1:13" ht="15.75">
      <c r="A24" s="92" t="s">
        <v>158</v>
      </c>
      <c r="B24" s="134">
        <f>'transfers 4'!C26</f>
        <v>0</v>
      </c>
      <c r="C24" s="138"/>
      <c r="D24" s="134">
        <f>'transfers 4'!D26</f>
        <v>0</v>
      </c>
      <c r="E24" s="138"/>
      <c r="F24" s="100">
        <f>'transfers 4'!E26</f>
        <v>0</v>
      </c>
      <c r="G24" s="139"/>
      <c r="H24" s="140"/>
      <c r="J24" s="516" t="str">
        <f>CONCATENATE("",I3," Ad Valorem Tax Revenue:")</f>
        <v>2015 Ad Valorem Tax Revenue:</v>
      </c>
      <c r="K24" s="511"/>
      <c r="L24" s="511"/>
      <c r="M24" s="512">
        <f>G23</f>
        <v>4978</v>
      </c>
    </row>
    <row r="25" spans="1:13" ht="16.5" thickBot="1">
      <c r="A25" s="92" t="s">
        <v>159</v>
      </c>
      <c r="B25" s="104">
        <f>SUM(B23-B24)</f>
        <v>5010</v>
      </c>
      <c r="C25" s="142"/>
      <c r="D25" s="104">
        <f>SUM(D23-D24)</f>
        <v>7825</v>
      </c>
      <c r="E25" s="142"/>
      <c r="F25" s="632">
        <f>SUM(F23-F24)</f>
        <v>43150</v>
      </c>
      <c r="G25" s="139"/>
      <c r="H25" s="140"/>
      <c r="J25" s="516" t="str">
        <f>CONCATENATE("",I3-1," Ad Valorem Tax Revenue:")</f>
        <v>2014 Ad Valorem Tax Revenue:</v>
      </c>
      <c r="K25" s="511"/>
      <c r="L25" s="511"/>
      <c r="M25" s="524">
        <f>ROUND(F27*M17/1000,0)</f>
        <v>4995</v>
      </c>
    </row>
    <row r="26" spans="1:13" ht="16.5" thickTop="1">
      <c r="A26" s="92" t="s">
        <v>47</v>
      </c>
      <c r="B26" s="195">
        <f>inputPrYr!E50</f>
        <v>5279</v>
      </c>
      <c r="C26" s="130"/>
      <c r="D26" s="195">
        <f>inputPrYr!E29</f>
        <v>4996</v>
      </c>
      <c r="E26" s="130"/>
      <c r="F26" s="294" t="s">
        <v>21</v>
      </c>
      <c r="G26" s="74"/>
      <c r="H26" s="74"/>
      <c r="J26" s="525" t="s">
        <v>648</v>
      </c>
      <c r="K26" s="526"/>
      <c r="L26" s="526"/>
      <c r="M26" s="515">
        <f>M24-M25</f>
        <v>-17</v>
      </c>
    </row>
    <row r="27" spans="1:13" ht="16.5" thickBot="1">
      <c r="A27" s="92" t="s">
        <v>188</v>
      </c>
      <c r="B27" s="205">
        <f>inputPrYr!E51</f>
        <v>2219365</v>
      </c>
      <c r="C27" s="130"/>
      <c r="D27" s="205">
        <f>inputOth!E60</f>
        <v>2114836</v>
      </c>
      <c r="E27" s="130"/>
      <c r="F27" s="205">
        <f>inputOth!E12</f>
        <v>2114596</v>
      </c>
      <c r="G27" s="74"/>
      <c r="H27" s="74"/>
      <c r="J27" s="527"/>
      <c r="K27" s="527"/>
      <c r="L27" s="527"/>
      <c r="M27" s="4"/>
    </row>
    <row r="28" spans="1:13" ht="16.5" thickTop="1">
      <c r="A28" s="76"/>
      <c r="B28" s="139"/>
      <c r="C28" s="79"/>
      <c r="D28" s="139"/>
      <c r="E28" s="79"/>
      <c r="F28" s="139"/>
      <c r="G28" s="74"/>
      <c r="H28" s="74"/>
      <c r="J28" s="770" t="s">
        <v>649</v>
      </c>
      <c r="K28" s="773"/>
      <c r="L28" s="773"/>
      <c r="M28" s="774"/>
    </row>
    <row r="29" spans="1:13" ht="15.75">
      <c r="A29" s="73" t="s">
        <v>48</v>
      </c>
      <c r="B29" s="74"/>
      <c r="C29" s="74"/>
      <c r="D29" s="74"/>
      <c r="E29" s="74"/>
      <c r="F29" s="74"/>
      <c r="G29" s="74"/>
      <c r="H29" s="74"/>
      <c r="J29" s="516"/>
      <c r="K29" s="511"/>
      <c r="L29" s="511"/>
      <c r="M29" s="517"/>
    </row>
    <row r="30" spans="1:13" ht="15.75">
      <c r="A30" s="73" t="s">
        <v>160</v>
      </c>
      <c r="B30" s="121">
        <f>I3-2</f>
        <v>2013</v>
      </c>
      <c r="C30" s="74"/>
      <c r="D30" s="121">
        <f>I3-1</f>
        <v>2014</v>
      </c>
      <c r="E30" s="74"/>
      <c r="F30" s="121">
        <f>I3</f>
        <v>2015</v>
      </c>
      <c r="G30" s="74"/>
      <c r="H30" s="74"/>
      <c r="J30" s="516" t="str">
        <f>CONCATENATE("Current ",I3," Estimated Mill Rate:")</f>
        <v>Current 2015 Estimated Mill Rate:</v>
      </c>
      <c r="K30" s="511"/>
      <c r="L30" s="511"/>
      <c r="M30" s="518">
        <f>H23</f>
        <v>2.354</v>
      </c>
    </row>
    <row r="31" spans="1:13" ht="15.75">
      <c r="A31" s="73" t="s">
        <v>49</v>
      </c>
      <c r="B31" s="144">
        <f>inputPrYr!D54</f>
        <v>0</v>
      </c>
      <c r="C31" s="145"/>
      <c r="D31" s="144">
        <f>inputPrYr!E54</f>
        <v>0</v>
      </c>
      <c r="E31" s="74"/>
      <c r="F31" s="144">
        <f>'debt 5'!F12</f>
        <v>0</v>
      </c>
      <c r="G31" s="74"/>
      <c r="H31" s="112"/>
      <c r="J31" s="516" t="str">
        <f>CONCATENATE("Desired ",I3," Mill Rate:")</f>
        <v>Desired 2015 Mill Rate:</v>
      </c>
      <c r="K31" s="511"/>
      <c r="L31" s="511"/>
      <c r="M31" s="528">
        <v>0</v>
      </c>
    </row>
    <row r="32" spans="1:13" ht="15.75">
      <c r="A32" s="74" t="s">
        <v>50</v>
      </c>
      <c r="B32" s="144">
        <f>inputPrYr!D55</f>
        <v>0</v>
      </c>
      <c r="C32" s="74"/>
      <c r="D32" s="144">
        <f>inputPrYr!E55</f>
        <v>0</v>
      </c>
      <c r="E32" s="74"/>
      <c r="F32" s="144">
        <f>'debt 5'!F16</f>
        <v>0</v>
      </c>
      <c r="G32" s="74"/>
      <c r="H32" s="112"/>
      <c r="J32" s="516" t="str">
        <f>CONCATENATE("",I3," Ad Valorem Tax:")</f>
        <v>2015 Ad Valorem Tax:</v>
      </c>
      <c r="K32" s="511"/>
      <c r="L32" s="511"/>
      <c r="M32" s="524">
        <f>ROUND(F27*M31/1000,0)</f>
        <v>0</v>
      </c>
    </row>
    <row r="33" spans="1:13" ht="15.75">
      <c r="A33" s="73" t="s">
        <v>181</v>
      </c>
      <c r="B33" s="144">
        <f>inputPrYr!D56</f>
        <v>0</v>
      </c>
      <c r="C33" s="145"/>
      <c r="D33" s="144">
        <f>inputPrYr!E56</f>
        <v>0</v>
      </c>
      <c r="E33" s="74"/>
      <c r="F33" s="144">
        <f>'debt 5'!F20</f>
        <v>0</v>
      </c>
      <c r="G33" s="74"/>
      <c r="H33" s="112"/>
      <c r="J33" s="525" t="str">
        <f>CONCATENATE("",I3," Tax Levy Fund Exp. Changed By:")</f>
        <v>2015 Tax Levy Fund Exp. Changed By:</v>
      </c>
      <c r="K33" s="526"/>
      <c r="L33" s="526"/>
      <c r="M33" s="515">
        <f>IF(M31=0,0,(M32-G23))</f>
        <v>0</v>
      </c>
    </row>
    <row r="34" spans="1:8" ht="15.75">
      <c r="A34" s="73" t="s">
        <v>118</v>
      </c>
      <c r="B34" s="144">
        <f>inputPrYr!D57</f>
        <v>0</v>
      </c>
      <c r="C34" s="74"/>
      <c r="D34" s="144">
        <f>inputPrYr!E57</f>
        <v>0</v>
      </c>
      <c r="E34" s="74"/>
      <c r="F34" s="144">
        <f>'debt 5'!G39</f>
        <v>0</v>
      </c>
      <c r="G34" s="74"/>
      <c r="H34" s="112"/>
    </row>
    <row r="35" spans="1:8" ht="15.75">
      <c r="A35" s="112"/>
      <c r="B35" s="146"/>
      <c r="C35" s="145"/>
      <c r="D35" s="146"/>
      <c r="E35" s="74"/>
      <c r="F35" s="147"/>
      <c r="G35" s="112"/>
      <c r="H35" s="112"/>
    </row>
    <row r="36" spans="1:8" ht="16.5" thickBot="1">
      <c r="A36" s="148" t="s">
        <v>51</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52</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69" t="str">
        <f>inputBudSum!B3</f>
        <v>Allen Wunderlich</v>
      </c>
      <c r="B41" s="740"/>
      <c r="C41" s="123"/>
      <c r="D41" s="74"/>
      <c r="E41" s="74"/>
      <c r="F41" s="74"/>
      <c r="G41" s="74"/>
      <c r="H41" s="112"/>
    </row>
    <row r="42" spans="1:8" ht="15.75">
      <c r="A42" s="767" t="str">
        <f>inputBudSum!B5</f>
        <v>Treasurer</v>
      </c>
      <c r="B42" s="762"/>
      <c r="C42" s="74"/>
      <c r="D42" s="155" t="s">
        <v>37</v>
      </c>
      <c r="E42" s="156"/>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PIEDMONT  CEMETERY #1</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725" t="str">
        <f>CONCATENATE("",F1," Neighborhood Revitalization Rebate")</f>
        <v>2015 Neighborhood Revitalization Rebate</v>
      </c>
      <c r="C4" s="782"/>
      <c r="D4" s="782"/>
      <c r="E4" s="733"/>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191</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83" t="str">
        <f>CONCATENATE("",F1-1," July 1 Valuation:")</f>
        <v>2014 July 1 Valuation:</v>
      </c>
      <c r="B16" s="781"/>
      <c r="C16" s="783"/>
      <c r="D16" s="170">
        <f>inputOth!E12</f>
        <v>2114596</v>
      </c>
      <c r="E16" s="74"/>
      <c r="F16" s="112"/>
    </row>
    <row r="17" spans="1:6" ht="15.75">
      <c r="A17" s="74"/>
      <c r="B17" s="74"/>
      <c r="C17" s="74"/>
      <c r="D17" s="74"/>
      <c r="E17" s="74"/>
      <c r="F17" s="112"/>
    </row>
    <row r="18" spans="1:6" ht="15.75">
      <c r="A18" s="74"/>
      <c r="B18" s="783" t="s">
        <v>303</v>
      </c>
      <c r="C18" s="783"/>
      <c r="D18" s="171">
        <f>IF(D16&gt;0,(D16*0.001),"")</f>
        <v>2114.596</v>
      </c>
      <c r="E18" s="74"/>
      <c r="F18" s="112"/>
    </row>
    <row r="19" spans="1:6" ht="15.75">
      <c r="A19" s="74"/>
      <c r="B19" s="155"/>
      <c r="C19" s="155"/>
      <c r="D19" s="172"/>
      <c r="E19" s="74"/>
      <c r="F19" s="112"/>
    </row>
    <row r="20" spans="1:6" ht="15.75">
      <c r="A20" s="780" t="s">
        <v>284</v>
      </c>
      <c r="B20" s="733"/>
      <c r="C20" s="733"/>
      <c r="D20" s="174">
        <f>inputOth!D42</f>
        <v>0</v>
      </c>
      <c r="E20" s="175"/>
      <c r="F20" s="175"/>
    </row>
    <row r="21" spans="1:6" ht="15">
      <c r="A21" s="175"/>
      <c r="B21" s="175"/>
      <c r="C21" s="175"/>
      <c r="D21" s="176"/>
      <c r="E21" s="175"/>
      <c r="F21" s="175"/>
    </row>
    <row r="22" spans="1:6" ht="15.75">
      <c r="A22" s="175"/>
      <c r="B22" s="780" t="s">
        <v>285</v>
      </c>
      <c r="C22" s="781"/>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534</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37</v>
      </c>
      <c r="C35" s="178"/>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75">
      <c r="C2" s="683"/>
      <c r="D2" s="683"/>
      <c r="E2" s="683"/>
      <c r="F2" s="683"/>
      <c r="G2" s="683"/>
      <c r="H2" s="683"/>
      <c r="I2" s="687">
        <f>inputPrYr!D11</f>
        <v>2015</v>
      </c>
    </row>
    <row r="3" spans="3:9" ht="15.75" thickBot="1">
      <c r="C3" s="683"/>
      <c r="D3" s="683"/>
      <c r="E3" s="683"/>
      <c r="F3" s="683"/>
      <c r="G3" s="683"/>
      <c r="H3" s="683"/>
      <c r="I3" s="683"/>
    </row>
    <row r="4" spans="3:9" ht="19.5" thickBot="1">
      <c r="C4" s="787" t="s">
        <v>787</v>
      </c>
      <c r="D4" s="788"/>
      <c r="E4" s="788"/>
      <c r="F4" s="788"/>
      <c r="G4" s="788"/>
      <c r="H4" s="788"/>
      <c r="I4" s="789"/>
    </row>
    <row r="5" spans="3:9" ht="16.5" thickBot="1">
      <c r="C5" s="684"/>
      <c r="D5" s="684"/>
      <c r="E5" s="685"/>
      <c r="F5" s="686"/>
      <c r="G5" s="684"/>
      <c r="H5" s="684"/>
      <c r="I5" s="684"/>
    </row>
    <row r="6" spans="3:9" ht="15.75">
      <c r="C6" s="790" t="str">
        <f>CONCATENATE("Notice of Vote - ",inputPrYr!D3)</f>
        <v>Notice of Vote - PIEDMONT  CEMETERY #1</v>
      </c>
      <c r="D6" s="791"/>
      <c r="E6" s="791"/>
      <c r="F6" s="791"/>
      <c r="G6" s="791"/>
      <c r="H6" s="791"/>
      <c r="I6" s="792"/>
    </row>
    <row r="7" spans="3:9" ht="60.75" customHeight="1" thickBot="1">
      <c r="C7" s="78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5"/>
      <c r="E7" s="785"/>
      <c r="F7" s="785"/>
      <c r="G7" s="785"/>
      <c r="H7" s="785"/>
      <c r="I7" s="78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58" sqref="E58"/>
    </sheetView>
  </sheetViews>
  <sheetFormatPr defaultColWidth="8.7968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07" t="s">
        <v>2</v>
      </c>
      <c r="B1" s="706"/>
      <c r="C1" s="706"/>
      <c r="D1" s="706"/>
      <c r="E1" s="706"/>
    </row>
    <row r="2" spans="1:5" ht="15.75">
      <c r="A2" s="73"/>
      <c r="B2" s="74"/>
      <c r="C2" s="74"/>
      <c r="D2" s="74"/>
      <c r="E2" s="74"/>
    </row>
    <row r="3" spans="1:5" ht="15.75">
      <c r="A3" s="75" t="s">
        <v>776</v>
      </c>
      <c r="B3" s="74"/>
      <c r="C3" s="74"/>
      <c r="D3" s="644" t="s">
        <v>809</v>
      </c>
      <c r="E3" s="76"/>
    </row>
    <row r="4" spans="1:5" ht="15.75">
      <c r="A4" s="75" t="s">
        <v>209</v>
      </c>
      <c r="B4" s="74"/>
      <c r="C4" s="74"/>
      <c r="D4" s="644" t="s">
        <v>810</v>
      </c>
      <c r="E4" s="76"/>
    </row>
    <row r="5" spans="1:5" ht="15.75">
      <c r="A5" s="75" t="s">
        <v>777</v>
      </c>
      <c r="B5" s="74"/>
      <c r="C5" s="74"/>
      <c r="D5" s="77"/>
      <c r="E5" s="76"/>
    </row>
    <row r="6" spans="1:5" ht="15.75">
      <c r="A6" s="78" t="s">
        <v>210</v>
      </c>
      <c r="B6" s="79"/>
      <c r="C6" s="79"/>
      <c r="D6" s="644" t="s">
        <v>811</v>
      </c>
      <c r="E6" s="76"/>
    </row>
    <row r="7" spans="1:5" ht="15.75">
      <c r="A7" s="75" t="s">
        <v>211</v>
      </c>
      <c r="B7" s="74"/>
      <c r="C7" s="74"/>
      <c r="D7" s="644"/>
      <c r="E7" s="76"/>
    </row>
    <row r="8" spans="1:5" ht="15.75">
      <c r="A8" s="75" t="s">
        <v>212</v>
      </c>
      <c r="B8" s="74"/>
      <c r="C8" s="74"/>
      <c r="D8" s="644"/>
      <c r="E8" s="76"/>
    </row>
    <row r="9" spans="1:5" ht="15.75">
      <c r="A9" s="75" t="s">
        <v>213</v>
      </c>
      <c r="B9" s="74"/>
      <c r="C9" s="74"/>
      <c r="D9" s="644"/>
      <c r="E9" s="76"/>
    </row>
    <row r="10" spans="1:5" ht="15.75">
      <c r="A10" s="74"/>
      <c r="B10" s="74"/>
      <c r="C10" s="74"/>
      <c r="D10" s="74"/>
      <c r="E10" s="74"/>
    </row>
    <row r="11" spans="1:5" ht="15.75">
      <c r="A11" s="75" t="s">
        <v>185</v>
      </c>
      <c r="B11" s="74"/>
      <c r="C11" s="74"/>
      <c r="D11" s="80">
        <v>2015</v>
      </c>
      <c r="E11" s="74"/>
    </row>
    <row r="12" spans="1:5" ht="15.75">
      <c r="A12" s="74"/>
      <c r="B12" s="74"/>
      <c r="C12" s="74"/>
      <c r="D12" s="74"/>
      <c r="E12" s="74"/>
    </row>
    <row r="13" spans="1:5" ht="15.75">
      <c r="A13" s="81" t="s">
        <v>70</v>
      </c>
      <c r="B13" s="82"/>
      <c r="C13" s="82"/>
      <c r="D13" s="82"/>
      <c r="E13" s="82"/>
    </row>
    <row r="14" spans="1:5" ht="15.75">
      <c r="A14" s="81" t="s">
        <v>71</v>
      </c>
      <c r="B14" s="82"/>
      <c r="C14" s="82"/>
      <c r="D14" s="82"/>
      <c r="E14" s="82"/>
    </row>
    <row r="15" spans="1:8" ht="15.75">
      <c r="A15" s="83" t="s">
        <v>186</v>
      </c>
      <c r="B15" s="74"/>
      <c r="C15" s="74"/>
      <c r="D15" s="74"/>
      <c r="E15" s="74"/>
      <c r="F15" s="74"/>
      <c r="G15" s="710" t="s">
        <v>713</v>
      </c>
      <c r="H15" s="711"/>
    </row>
    <row r="16" spans="1:8" ht="15.75">
      <c r="A16" s="83"/>
      <c r="B16" s="74"/>
      <c r="C16" s="74"/>
      <c r="D16" s="74"/>
      <c r="E16" s="74"/>
      <c r="F16" s="74"/>
      <c r="G16" s="712"/>
      <c r="H16" s="711"/>
    </row>
    <row r="17" spans="1:8" ht="15.75">
      <c r="A17" s="705" t="s">
        <v>136</v>
      </c>
      <c r="B17" s="706"/>
      <c r="C17" s="706"/>
      <c r="D17" s="706"/>
      <c r="E17" s="706"/>
      <c r="F17" s="74"/>
      <c r="G17" s="712"/>
      <c r="H17" s="711"/>
    </row>
    <row r="18" spans="1:8" ht="15.75">
      <c r="A18" s="84"/>
      <c r="B18" s="84"/>
      <c r="C18" s="84"/>
      <c r="D18" s="84"/>
      <c r="E18" s="84"/>
      <c r="F18" s="74"/>
      <c r="G18" s="712"/>
      <c r="H18" s="711"/>
    </row>
    <row r="19" spans="1:8" ht="15.75">
      <c r="A19" s="85" t="s">
        <v>135</v>
      </c>
      <c r="B19" s="86"/>
      <c r="C19" s="74"/>
      <c r="D19" s="74"/>
      <c r="E19" s="74"/>
      <c r="F19" s="74"/>
      <c r="G19" s="712"/>
      <c r="H19" s="711"/>
    </row>
    <row r="20" spans="1:8" ht="15.75">
      <c r="A20" s="87" t="str">
        <f>CONCATENATE("the ",D11-1," Budget, Certificate Page:")</f>
        <v>the 2014 Budget, Certificate Page:</v>
      </c>
      <c r="B20" s="88"/>
      <c r="C20" s="74"/>
      <c r="D20" s="74"/>
      <c r="E20" s="74"/>
      <c r="F20" s="74"/>
      <c r="G20" s="712"/>
      <c r="H20" s="711"/>
    </row>
    <row r="21" spans="1:8" ht="15.75">
      <c r="A21" s="87" t="s">
        <v>267</v>
      </c>
      <c r="B21" s="88"/>
      <c r="C21" s="74"/>
      <c r="D21" s="74"/>
      <c r="E21" s="74"/>
      <c r="F21" s="74"/>
      <c r="G21" s="79"/>
      <c r="H21" s="554"/>
    </row>
    <row r="22" spans="1:8" ht="15.75" customHeight="1">
      <c r="A22" s="74"/>
      <c r="B22" s="74"/>
      <c r="C22" s="89"/>
      <c r="D22" s="90">
        <f>D11-1</f>
        <v>2014</v>
      </c>
      <c r="E22" s="708" t="str">
        <f>CONCATENATE("Amount of ",D11-2,"     Ad Valorem Tax")</f>
        <v>Amount of 2013     Ad Valorem Tax</v>
      </c>
      <c r="G22" s="182" t="s">
        <v>714</v>
      </c>
      <c r="H22" s="186" t="s">
        <v>36</v>
      </c>
    </row>
    <row r="23" spans="1:8" ht="15.75">
      <c r="A23" s="73" t="s">
        <v>3</v>
      </c>
      <c r="B23" s="74"/>
      <c r="C23" s="89" t="s">
        <v>4</v>
      </c>
      <c r="D23" s="91" t="s">
        <v>268</v>
      </c>
      <c r="E23" s="709"/>
      <c r="G23" s="131" t="str">
        <f>CONCATENATE("",D11-2," Ad Valorem Tax")</f>
        <v>2013 Ad Valorem Tax</v>
      </c>
      <c r="H23" s="555">
        <v>0</v>
      </c>
    </row>
    <row r="24" spans="1:7" ht="15.75">
      <c r="A24" s="74"/>
      <c r="B24" s="92" t="s">
        <v>5</v>
      </c>
      <c r="C24" s="93"/>
      <c r="D24" s="94">
        <v>39300</v>
      </c>
      <c r="E24" s="94">
        <v>4996</v>
      </c>
      <c r="G24" s="134">
        <f>IF(H23&gt;0,ROUND(E24-(E24*H23),0),0)</f>
        <v>0</v>
      </c>
    </row>
    <row r="25" spans="1:7" ht="15.75">
      <c r="A25" s="74"/>
      <c r="B25" s="92" t="s">
        <v>260</v>
      </c>
      <c r="C25" s="95" t="s">
        <v>134</v>
      </c>
      <c r="D25" s="94"/>
      <c r="E25" s="94"/>
      <c r="G25" s="134">
        <f>IF(H23&gt;0,ROUND(E25-(E25*H23),0),0)</f>
        <v>0</v>
      </c>
    </row>
    <row r="26" spans="1:5" ht="15.75">
      <c r="A26" s="73" t="s">
        <v>6</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4996</v>
      </c>
    </row>
    <row r="30" spans="1:5" ht="16.5" thickTop="1">
      <c r="A30" s="102" t="s">
        <v>7</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39300</v>
      </c>
      <c r="E33" s="96"/>
    </row>
    <row r="34" spans="1:5" ht="16.5" thickTop="1">
      <c r="A34" s="74" t="s">
        <v>254</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135</v>
      </c>
      <c r="B41" s="86"/>
      <c r="C41" s="74"/>
      <c r="D41" s="703" t="str">
        <f>CONCATENATE("",D11-3," Tax Rate         (",D11-2," Column)")</f>
        <v>2012 Tax Rate         (2013 Column)</v>
      </c>
      <c r="E41" s="96"/>
    </row>
    <row r="42" spans="1:5" ht="15.75">
      <c r="A42" s="87" t="str">
        <f>CONCATENATE("the ",D11-1," Budget, Budget Summary Page")</f>
        <v>the 2014 Budget, Budget Summary Page</v>
      </c>
      <c r="B42" s="88"/>
      <c r="C42" s="74"/>
      <c r="D42" s="704"/>
      <c r="E42" s="96"/>
    </row>
    <row r="43" spans="1:5" ht="15.75">
      <c r="A43" s="74"/>
      <c r="B43" s="106" t="str">
        <f>B24</f>
        <v>General</v>
      </c>
      <c r="C43" s="74"/>
      <c r="D43" s="107">
        <v>2.379</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8</v>
      </c>
      <c r="B47" s="99"/>
      <c r="C47" s="103"/>
      <c r="D47" s="108">
        <f>SUM(D43:D46)</f>
        <v>2.379</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5279</v>
      </c>
    </row>
    <row r="51" spans="1:5" ht="15.75">
      <c r="A51" s="110" t="str">
        <f>CONCATENATE("Assessed Valuation (",D11-2," budget column):")</f>
        <v>Assessed Valuation (2013 budget column):</v>
      </c>
      <c r="B51" s="86"/>
      <c r="C51" s="74"/>
      <c r="D51" s="74"/>
      <c r="E51" s="111">
        <v>2219365</v>
      </c>
    </row>
    <row r="52" spans="1:5" ht="15.75">
      <c r="A52" s="74"/>
      <c r="B52" s="74"/>
      <c r="C52" s="74"/>
      <c r="D52" s="74"/>
      <c r="E52" s="96"/>
    </row>
    <row r="53" spans="1:5" ht="15.75">
      <c r="A53" s="86" t="s">
        <v>187</v>
      </c>
      <c r="B53" s="86"/>
      <c r="C53" s="112"/>
      <c r="D53" s="113">
        <f>D11-3</f>
        <v>2012</v>
      </c>
      <c r="E53" s="113">
        <f>D11-2</f>
        <v>2013</v>
      </c>
    </row>
    <row r="54" spans="1:5" ht="15.75">
      <c r="A54" s="114" t="s">
        <v>176</v>
      </c>
      <c r="B54" s="114"/>
      <c r="C54" s="115"/>
      <c r="D54" s="116">
        <v>0</v>
      </c>
      <c r="E54" s="116">
        <v>0</v>
      </c>
    </row>
    <row r="55" spans="1:5" ht="15.75">
      <c r="A55" s="117" t="s">
        <v>177</v>
      </c>
      <c r="B55" s="117"/>
      <c r="C55" s="118"/>
      <c r="D55" s="116">
        <v>0</v>
      </c>
      <c r="E55" s="116">
        <v>0</v>
      </c>
    </row>
    <row r="56" spans="1:5" ht="15.75">
      <c r="A56" s="117" t="s">
        <v>183</v>
      </c>
      <c r="B56" s="117"/>
      <c r="C56" s="118"/>
      <c r="D56" s="116">
        <v>0</v>
      </c>
      <c r="E56" s="116">
        <v>0</v>
      </c>
    </row>
    <row r="57" spans="1:5" ht="15.75">
      <c r="A57" s="117" t="s">
        <v>178</v>
      </c>
      <c r="B57" s="117"/>
      <c r="C57" s="118"/>
      <c r="D57" s="116">
        <v>0</v>
      </c>
      <c r="E57" s="116">
        <v>0</v>
      </c>
    </row>
    <row r="58" spans="1:5" ht="15.7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75">
      <c r="C2" s="683"/>
      <c r="D2" s="683"/>
      <c r="E2" s="683"/>
      <c r="F2" s="683"/>
      <c r="G2" s="683"/>
      <c r="H2" s="687">
        <f>inputPrYr!D11</f>
        <v>2015</v>
      </c>
    </row>
    <row r="3" spans="3:8" ht="15.75" thickBot="1">
      <c r="C3" s="683"/>
      <c r="D3" s="683"/>
      <c r="E3" s="683"/>
      <c r="F3" s="683"/>
      <c r="G3" s="683"/>
      <c r="H3" s="683"/>
    </row>
    <row r="4" spans="3:8" ht="19.5" thickBot="1">
      <c r="C4" s="793" t="s">
        <v>788</v>
      </c>
      <c r="D4" s="794"/>
      <c r="E4" s="794"/>
      <c r="F4" s="794"/>
      <c r="G4" s="794"/>
      <c r="H4" s="795"/>
    </row>
    <row r="5" spans="3:8" ht="16.5" thickBot="1">
      <c r="C5" s="688"/>
      <c r="D5" s="688"/>
      <c r="E5" s="688"/>
      <c r="F5" s="688"/>
      <c r="G5" s="688"/>
      <c r="H5" s="688"/>
    </row>
    <row r="6" spans="3:8" ht="15.75">
      <c r="C6" s="790" t="str">
        <f>CONCATENATE("Notice of Vote - ",inputPrYr!D3)</f>
        <v>Notice of Vote - PIEDMONT  CEMETERY #1</v>
      </c>
      <c r="D6" s="791"/>
      <c r="E6" s="791"/>
      <c r="F6" s="791"/>
      <c r="G6" s="791"/>
      <c r="H6" s="792"/>
    </row>
    <row r="7" spans="3:8" ht="15.75">
      <c r="C7" s="796" t="s">
        <v>789</v>
      </c>
      <c r="D7" s="797"/>
      <c r="E7" s="797"/>
      <c r="F7" s="797"/>
      <c r="G7" s="797"/>
      <c r="H7" s="798"/>
    </row>
    <row r="8" spans="3:8" ht="15.75">
      <c r="C8" s="796" t="s">
        <v>790</v>
      </c>
      <c r="D8" s="797"/>
      <c r="E8" s="797"/>
      <c r="F8" s="797"/>
      <c r="G8" s="797"/>
      <c r="H8" s="798"/>
    </row>
    <row r="9" spans="3:8" ht="15.75">
      <c r="C9" s="691" t="str">
        <f>CONCATENATE(H2-1," Budget")</f>
        <v>2014 Budget</v>
      </c>
      <c r="D9" s="695" t="s">
        <v>86</v>
      </c>
      <c r="E9" s="697">
        <f>inputPrYr!E29</f>
        <v>4996</v>
      </c>
      <c r="F9" s="689"/>
      <c r="G9" s="689"/>
      <c r="H9" s="690"/>
    </row>
    <row r="10" spans="3:8" ht="15.75">
      <c r="C10" s="691" t="str">
        <f>CONCATENATE(H2," Budget")</f>
        <v>2015 Budget</v>
      </c>
      <c r="D10" s="695" t="s">
        <v>86</v>
      </c>
      <c r="E10" s="698">
        <f>'cert 1'!F29</f>
        <v>4978</v>
      </c>
      <c r="F10" s="689"/>
      <c r="G10" s="689"/>
      <c r="H10" s="690"/>
    </row>
    <row r="11" spans="3:8" ht="15.75">
      <c r="C11" s="691"/>
      <c r="D11" s="689"/>
      <c r="E11" s="689" t="s">
        <v>791</v>
      </c>
      <c r="F11" s="699"/>
      <c r="G11" s="694" t="s">
        <v>792</v>
      </c>
      <c r="H11" s="700"/>
    </row>
    <row r="12" spans="3:8" ht="16.5" thickBot="1">
      <c r="C12" s="692"/>
      <c r="D12" s="693"/>
      <c r="E12" s="693"/>
      <c r="F12" s="693"/>
      <c r="G12" s="693"/>
      <c r="H12" s="69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318</v>
      </c>
      <c r="B3" s="362"/>
      <c r="C3" s="362"/>
      <c r="D3" s="362"/>
      <c r="E3" s="362"/>
      <c r="F3" s="362"/>
      <c r="G3" s="362"/>
      <c r="H3" s="362"/>
      <c r="I3" s="362"/>
      <c r="J3" s="362"/>
      <c r="K3" s="362"/>
      <c r="L3" s="362"/>
    </row>
    <row r="5" ht="15">
      <c r="A5" s="363" t="s">
        <v>319</v>
      </c>
    </row>
    <row r="6" ht="15">
      <c r="A6" s="363" t="str">
        <f>CONCATENATE(inputPrYr!D11-2," 'total expenditures' exceed your ",inputPrYr!D11-2," 'budget authority.'")</f>
        <v>2013 'total expenditures' exceed your 2013 'budget authority.'</v>
      </c>
    </row>
    <row r="7" ht="15">
      <c r="A7" s="363"/>
    </row>
    <row r="8" ht="15">
      <c r="A8" s="363" t="s">
        <v>320</v>
      </c>
    </row>
    <row r="9" ht="15">
      <c r="A9" s="363" t="s">
        <v>321</v>
      </c>
    </row>
    <row r="10" ht="15">
      <c r="A10" s="363" t="s">
        <v>322</v>
      </c>
    </row>
    <row r="11" ht="15">
      <c r="A11" s="363"/>
    </row>
    <row r="12" ht="15">
      <c r="A12" s="363"/>
    </row>
    <row r="13" ht="15">
      <c r="A13" s="364" t="s">
        <v>323</v>
      </c>
    </row>
    <row r="15" ht="15">
      <c r="A15" s="363" t="s">
        <v>324</v>
      </c>
    </row>
    <row r="16" ht="15">
      <c r="A16" s="363" t="str">
        <f>CONCATENATE("(i.e. an audit has not been completed, or the ",inputPrYr!D11," adopted")</f>
        <v>(i.e. an audit has not been completed, or the 2015 adopted</v>
      </c>
    </row>
    <row r="17" ht="15">
      <c r="A17" s="363" t="s">
        <v>325</v>
      </c>
    </row>
    <row r="18" ht="15">
      <c r="A18" s="363" t="s">
        <v>326</v>
      </c>
    </row>
    <row r="19" ht="15">
      <c r="A19" s="363" t="s">
        <v>327</v>
      </c>
    </row>
    <row r="21" ht="15">
      <c r="A21" s="364" t="s">
        <v>328</v>
      </c>
    </row>
    <row r="22" ht="15">
      <c r="A22" s="364"/>
    </row>
    <row r="23" ht="15">
      <c r="A23" s="363" t="s">
        <v>329</v>
      </c>
    </row>
    <row r="24" ht="15">
      <c r="A24" s="363" t="s">
        <v>330</v>
      </c>
    </row>
    <row r="25" ht="15">
      <c r="A25" s="363" t="str">
        <f>CONCATENATE("particular fund.  If your ",inputPrYr!D11-2," budget was amended, did you")</f>
        <v>particular fund.  If your 2013 budget was amended, did you</v>
      </c>
    </row>
    <row r="26" ht="15">
      <c r="A26" s="363" t="s">
        <v>331</v>
      </c>
    </row>
    <row r="27" ht="15">
      <c r="A27" s="363"/>
    </row>
    <row r="28" ht="15">
      <c r="A28" s="363" t="str">
        <f>CONCATENATE("Next, look to see if any of your ",inputPrYr!D11-2," expenditures can be")</f>
        <v>Next, look to see if any of your 2013 expenditures can be</v>
      </c>
    </row>
    <row r="29" ht="15">
      <c r="A29" s="363" t="s">
        <v>332</v>
      </c>
    </row>
    <row r="30" ht="15">
      <c r="A30" s="363" t="s">
        <v>333</v>
      </c>
    </row>
    <row r="31" ht="15">
      <c r="A31" s="363" t="s">
        <v>334</v>
      </c>
    </row>
    <row r="32" ht="15">
      <c r="A32" s="363"/>
    </row>
    <row r="33" ht="15">
      <c r="A33" s="363" t="str">
        <f>CONCATENATE("Additionally, do your ",inputPrYr!D11-2," receipts contain a reimbursement")</f>
        <v>Additionally, do your 2013 receipts contain a reimbursement</v>
      </c>
    </row>
    <row r="34" ht="15">
      <c r="A34" s="363" t="s">
        <v>335</v>
      </c>
    </row>
    <row r="35" ht="15">
      <c r="A35" s="363" t="s">
        <v>336</v>
      </c>
    </row>
    <row r="36" ht="15">
      <c r="A36" s="363"/>
    </row>
    <row r="37" ht="15">
      <c r="A37" s="363" t="s">
        <v>337</v>
      </c>
    </row>
    <row r="38" ht="15">
      <c r="A38" s="363" t="s">
        <v>338</v>
      </c>
    </row>
    <row r="39" ht="15">
      <c r="A39" s="363" t="s">
        <v>339</v>
      </c>
    </row>
    <row r="40" ht="15">
      <c r="A40" s="363"/>
    </row>
    <row r="41" ht="15">
      <c r="A41" s="364" t="s">
        <v>340</v>
      </c>
    </row>
    <row r="42" ht="15">
      <c r="A42" s="363"/>
    </row>
    <row r="43" ht="15">
      <c r="A43" s="363" t="s">
        <v>341</v>
      </c>
    </row>
    <row r="44" ht="15">
      <c r="A44" s="363" t="s">
        <v>342</v>
      </c>
    </row>
    <row r="45" ht="15">
      <c r="A45" s="363" t="s">
        <v>343</v>
      </c>
    </row>
    <row r="46" ht="15">
      <c r="A46" s="363" t="s">
        <v>344</v>
      </c>
    </row>
    <row r="47" ht="15">
      <c r="A47" s="363" t="s">
        <v>345</v>
      </c>
    </row>
    <row r="48" ht="15">
      <c r="A48" s="363" t="s">
        <v>346</v>
      </c>
    </row>
    <row r="49" ht="15">
      <c r="A49" s="363" t="s">
        <v>347</v>
      </c>
    </row>
    <row r="50" ht="15">
      <c r="A50" s="363" t="s">
        <v>348</v>
      </c>
    </row>
    <row r="51" ht="15">
      <c r="A51" s="363" t="s">
        <v>349</v>
      </c>
    </row>
    <row r="52" ht="15">
      <c r="A52" s="363" t="s">
        <v>350</v>
      </c>
    </row>
    <row r="53" ht="15">
      <c r="A53" s="363" t="s">
        <v>351</v>
      </c>
    </row>
    <row r="54" ht="15">
      <c r="A54" s="363" t="s">
        <v>352</v>
      </c>
    </row>
    <row r="55" ht="15">
      <c r="A55" s="363" t="s">
        <v>353</v>
      </c>
    </row>
    <row r="56" ht="15">
      <c r="A56" s="363"/>
    </row>
    <row r="57" ht="15">
      <c r="A57" s="363" t="s">
        <v>354</v>
      </c>
    </row>
    <row r="58" ht="15">
      <c r="A58" s="363" t="s">
        <v>355</v>
      </c>
    </row>
    <row r="59" ht="15">
      <c r="A59" s="363" t="s">
        <v>356</v>
      </c>
    </row>
    <row r="60" ht="15">
      <c r="A60" s="363"/>
    </row>
    <row r="61" ht="15">
      <c r="A61" s="364" t="str">
        <f>CONCATENATE("What if the ",inputPrYr!D11-2," financial records have been closed?")</f>
        <v>What if the 2013 financial records have been closed?</v>
      </c>
    </row>
    <row r="63" ht="15">
      <c r="A63" s="363" t="s">
        <v>357</v>
      </c>
    </row>
    <row r="64" ht="15">
      <c r="A64" s="363" t="str">
        <f>CONCATENATE("(i.e. an audit for ",inputPrYr!D11-2," has been completed, or the ",inputPrYr!D11)</f>
        <v>(i.e. an audit for 2013 has been completed, or the 2015</v>
      </c>
    </row>
    <row r="65" ht="15">
      <c r="A65" s="363" t="s">
        <v>358</v>
      </c>
    </row>
    <row r="66" ht="15">
      <c r="A66" s="363" t="s">
        <v>359</v>
      </c>
    </row>
    <row r="67" ht="15">
      <c r="A67" s="363"/>
    </row>
    <row r="68" ht="15">
      <c r="A68" s="363" t="s">
        <v>360</v>
      </c>
    </row>
    <row r="69" ht="15">
      <c r="A69" s="363" t="s">
        <v>361</v>
      </c>
    </row>
    <row r="70" ht="15">
      <c r="A70" s="363" t="s">
        <v>362</v>
      </c>
    </row>
    <row r="71" ht="15">
      <c r="A71" s="363"/>
    </row>
    <row r="72" ht="15">
      <c r="A72" s="363" t="s">
        <v>363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364</v>
      </c>
      <c r="B3" s="362"/>
      <c r="C3" s="362"/>
      <c r="D3" s="362"/>
      <c r="E3" s="362"/>
      <c r="F3" s="362"/>
      <c r="G3" s="362"/>
      <c r="H3" s="365"/>
      <c r="I3" s="365"/>
      <c r="J3" s="365"/>
    </row>
    <row r="5" ht="15">
      <c r="A5" s="363" t="s">
        <v>365</v>
      </c>
    </row>
    <row r="6" ht="15">
      <c r="A6" t="str">
        <f>CONCATENATE(inputPrYr!D11-2," expenditures show that you finished the year with a ")</f>
        <v>2013 expenditures show that you finished the year with a </v>
      </c>
    </row>
    <row r="7" ht="15">
      <c r="A7" t="s">
        <v>366</v>
      </c>
    </row>
    <row r="9" ht="15">
      <c r="A9" t="s">
        <v>367</v>
      </c>
    </row>
    <row r="10" ht="15">
      <c r="A10" t="s">
        <v>368</v>
      </c>
    </row>
    <row r="11" ht="15">
      <c r="A11" t="s">
        <v>369</v>
      </c>
    </row>
    <row r="13" ht="15">
      <c r="A13" s="364" t="s">
        <v>370</v>
      </c>
    </row>
    <row r="14" ht="15">
      <c r="A14" s="364"/>
    </row>
    <row r="15" ht="15">
      <c r="A15" s="363" t="s">
        <v>371</v>
      </c>
    </row>
    <row r="16" ht="15">
      <c r="A16" s="363" t="s">
        <v>372</v>
      </c>
    </row>
    <row r="17" ht="15">
      <c r="A17" s="363" t="s">
        <v>373</v>
      </c>
    </row>
    <row r="18" ht="15">
      <c r="A18" s="363"/>
    </row>
    <row r="19" ht="15">
      <c r="A19" s="364" t="s">
        <v>374</v>
      </c>
    </row>
    <row r="20" ht="15">
      <c r="A20" s="364"/>
    </row>
    <row r="21" ht="15">
      <c r="A21" s="363" t="s">
        <v>375</v>
      </c>
    </row>
    <row r="22" ht="15">
      <c r="A22" s="363" t="s">
        <v>376</v>
      </c>
    </row>
    <row r="23" ht="15">
      <c r="A23" s="363" t="s">
        <v>377</v>
      </c>
    </row>
    <row r="24" ht="15">
      <c r="A24" s="363"/>
    </row>
    <row r="25" ht="15">
      <c r="A25" s="364" t="s">
        <v>378</v>
      </c>
    </row>
    <row r="26" ht="15">
      <c r="A26" s="364"/>
    </row>
    <row r="27" ht="15">
      <c r="A27" s="363" t="s">
        <v>379</v>
      </c>
    </row>
    <row r="28" ht="15">
      <c r="A28" s="363" t="s">
        <v>380</v>
      </c>
    </row>
    <row r="29" ht="15">
      <c r="A29" s="363" t="s">
        <v>381</v>
      </c>
    </row>
    <row r="30" ht="15">
      <c r="A30" s="363"/>
    </row>
    <row r="31" ht="15">
      <c r="A31" s="364" t="s">
        <v>382</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383</v>
      </c>
      <c r="B35" s="363"/>
      <c r="C35" s="363"/>
      <c r="D35" s="363"/>
      <c r="E35" s="363"/>
      <c r="F35" s="363"/>
      <c r="G35" s="363"/>
      <c r="H35" s="363"/>
    </row>
    <row r="36" spans="1:8" ht="15">
      <c r="A36" s="363" t="s">
        <v>384</v>
      </c>
      <c r="B36" s="363"/>
      <c r="C36" s="363"/>
      <c r="D36" s="363"/>
      <c r="E36" s="363"/>
      <c r="F36" s="363"/>
      <c r="G36" s="363"/>
      <c r="H36" s="363"/>
    </row>
    <row r="37" spans="1:8" ht="15">
      <c r="A37" s="363" t="s">
        <v>385</v>
      </c>
      <c r="B37" s="363"/>
      <c r="C37" s="363"/>
      <c r="D37" s="363"/>
      <c r="E37" s="363"/>
      <c r="F37" s="363"/>
      <c r="G37" s="363"/>
      <c r="H37" s="363"/>
    </row>
    <row r="38" spans="1:8" ht="15">
      <c r="A38" s="363" t="s">
        <v>386</v>
      </c>
      <c r="B38" s="363"/>
      <c r="C38" s="363"/>
      <c r="D38" s="363"/>
      <c r="E38" s="363"/>
      <c r="F38" s="363"/>
      <c r="G38" s="363"/>
      <c r="H38" s="363"/>
    </row>
    <row r="39" spans="1:8" ht="15">
      <c r="A39" s="363" t="s">
        <v>387</v>
      </c>
      <c r="B39" s="363"/>
      <c r="C39" s="363"/>
      <c r="D39" s="363"/>
      <c r="E39" s="363"/>
      <c r="F39" s="363"/>
      <c r="G39" s="363"/>
      <c r="H39" s="363"/>
    </row>
    <row r="40" spans="1:8" ht="15">
      <c r="A40" s="363"/>
      <c r="B40" s="363"/>
      <c r="C40" s="363"/>
      <c r="D40" s="363"/>
      <c r="E40" s="363"/>
      <c r="F40" s="363"/>
      <c r="G40" s="363"/>
      <c r="H40" s="363"/>
    </row>
    <row r="41" spans="1:8" ht="15">
      <c r="A41" s="363" t="s">
        <v>388</v>
      </c>
      <c r="B41" s="363"/>
      <c r="C41" s="363"/>
      <c r="D41" s="363"/>
      <c r="E41" s="363"/>
      <c r="F41" s="363"/>
      <c r="G41" s="363"/>
      <c r="H41" s="363"/>
    </row>
    <row r="42" spans="1:8" ht="15">
      <c r="A42" s="363" t="s">
        <v>389</v>
      </c>
      <c r="B42" s="363"/>
      <c r="C42" s="363"/>
      <c r="D42" s="363"/>
      <c r="E42" s="363"/>
      <c r="F42" s="363"/>
      <c r="G42" s="363"/>
      <c r="H42" s="363"/>
    </row>
    <row r="43" spans="1:8" ht="15">
      <c r="A43" s="363" t="s">
        <v>390</v>
      </c>
      <c r="B43" s="363"/>
      <c r="C43" s="363"/>
      <c r="D43" s="363"/>
      <c r="E43" s="363"/>
      <c r="F43" s="363"/>
      <c r="G43" s="363"/>
      <c r="H43" s="363"/>
    </row>
    <row r="44" spans="1:8" ht="15">
      <c r="A44" s="363" t="s">
        <v>391</v>
      </c>
      <c r="B44" s="363"/>
      <c r="C44" s="363"/>
      <c r="D44" s="363"/>
      <c r="E44" s="363"/>
      <c r="F44" s="363"/>
      <c r="G44" s="363"/>
      <c r="H44" s="363"/>
    </row>
    <row r="45" spans="1:8" ht="15">
      <c r="A45" s="363"/>
      <c r="B45" s="363"/>
      <c r="C45" s="363"/>
      <c r="D45" s="363"/>
      <c r="E45" s="363"/>
      <c r="F45" s="363"/>
      <c r="G45" s="363"/>
      <c r="H45" s="363"/>
    </row>
    <row r="46" spans="1:8" ht="15">
      <c r="A46" s="363" t="s">
        <v>392</v>
      </c>
      <c r="B46" s="363"/>
      <c r="C46" s="363"/>
      <c r="D46" s="363"/>
      <c r="E46" s="363"/>
      <c r="F46" s="363"/>
      <c r="G46" s="363"/>
      <c r="H46" s="363"/>
    </row>
    <row r="47" spans="1:8" ht="15">
      <c r="A47" s="363" t="s">
        <v>393</v>
      </c>
      <c r="B47" s="363"/>
      <c r="C47" s="363"/>
      <c r="D47" s="363"/>
      <c r="E47" s="363"/>
      <c r="F47" s="363"/>
      <c r="G47" s="363"/>
      <c r="H47" s="363"/>
    </row>
    <row r="48" spans="1:8" ht="15">
      <c r="A48" s="363" t="s">
        <v>394</v>
      </c>
      <c r="B48" s="363"/>
      <c r="C48" s="363"/>
      <c r="D48" s="363"/>
      <c r="E48" s="363"/>
      <c r="F48" s="363"/>
      <c r="G48" s="363"/>
      <c r="H48" s="363"/>
    </row>
    <row r="49" spans="1:8" ht="15">
      <c r="A49" s="363" t="s">
        <v>395</v>
      </c>
      <c r="B49" s="363"/>
      <c r="C49" s="363"/>
      <c r="D49" s="363"/>
      <c r="E49" s="363"/>
      <c r="F49" s="363"/>
      <c r="G49" s="363"/>
      <c r="H49" s="363"/>
    </row>
    <row r="50" spans="1:8" ht="15">
      <c r="A50" s="363" t="s">
        <v>396</v>
      </c>
      <c r="B50" s="363"/>
      <c r="C50" s="363"/>
      <c r="D50" s="363"/>
      <c r="E50" s="363"/>
      <c r="F50" s="363"/>
      <c r="G50" s="363"/>
      <c r="H50" s="363"/>
    </row>
    <row r="51" spans="1:8" ht="15">
      <c r="A51" s="363"/>
      <c r="B51" s="363"/>
      <c r="C51" s="363"/>
      <c r="D51" s="363"/>
      <c r="E51" s="363"/>
      <c r="F51" s="363"/>
      <c r="G51" s="363"/>
      <c r="H51" s="363"/>
    </row>
    <row r="52" spans="1:8" ht="15">
      <c r="A52" s="364" t="s">
        <v>397</v>
      </c>
      <c r="B52" s="364"/>
      <c r="C52" s="364"/>
      <c r="D52" s="364"/>
      <c r="E52" s="364"/>
      <c r="F52" s="364"/>
      <c r="G52" s="364"/>
      <c r="H52" s="363"/>
    </row>
    <row r="53" spans="1:8" ht="15">
      <c r="A53" s="364" t="s">
        <v>398</v>
      </c>
      <c r="B53" s="364"/>
      <c r="C53" s="364"/>
      <c r="D53" s="364"/>
      <c r="E53" s="364"/>
      <c r="F53" s="364"/>
      <c r="G53" s="364"/>
      <c r="H53" s="363"/>
    </row>
    <row r="54" spans="1:8" ht="15">
      <c r="A54" s="363"/>
      <c r="B54" s="363"/>
      <c r="C54" s="363"/>
      <c r="D54" s="363"/>
      <c r="E54" s="363"/>
      <c r="F54" s="363"/>
      <c r="G54" s="363"/>
      <c r="H54" s="363"/>
    </row>
    <row r="55" spans="1:8" ht="15">
      <c r="A55" s="363" t="s">
        <v>399</v>
      </c>
      <c r="B55" s="363"/>
      <c r="C55" s="363"/>
      <c r="D55" s="363"/>
      <c r="E55" s="363"/>
      <c r="F55" s="363"/>
      <c r="G55" s="363"/>
      <c r="H55" s="363"/>
    </row>
    <row r="56" spans="1:8" ht="15">
      <c r="A56" s="363" t="s">
        <v>400</v>
      </c>
      <c r="B56" s="363"/>
      <c r="C56" s="363"/>
      <c r="D56" s="363"/>
      <c r="E56" s="363"/>
      <c r="F56" s="363"/>
      <c r="G56" s="363"/>
      <c r="H56" s="363"/>
    </row>
    <row r="57" spans="1:8" ht="15">
      <c r="A57" s="363" t="s">
        <v>401</v>
      </c>
      <c r="B57" s="363"/>
      <c r="C57" s="363"/>
      <c r="D57" s="363"/>
      <c r="E57" s="363"/>
      <c r="F57" s="363"/>
      <c r="G57" s="363"/>
      <c r="H57" s="363"/>
    </row>
    <row r="58" spans="1:8" ht="15">
      <c r="A58" s="363" t="s">
        <v>402</v>
      </c>
      <c r="B58" s="363"/>
      <c r="C58" s="363"/>
      <c r="D58" s="363"/>
      <c r="E58" s="363"/>
      <c r="F58" s="363"/>
      <c r="G58" s="363"/>
      <c r="H58" s="363"/>
    </row>
    <row r="59" spans="1:8" ht="15">
      <c r="A59" s="363"/>
      <c r="B59" s="363"/>
      <c r="C59" s="363"/>
      <c r="D59" s="363"/>
      <c r="E59" s="363"/>
      <c r="F59" s="363"/>
      <c r="G59" s="363"/>
      <c r="H59" s="363"/>
    </row>
    <row r="60" spans="1:8" ht="15">
      <c r="A60" s="363" t="s">
        <v>403</v>
      </c>
      <c r="B60" s="363"/>
      <c r="C60" s="363"/>
      <c r="D60" s="363"/>
      <c r="E60" s="363"/>
      <c r="F60" s="363"/>
      <c r="G60" s="363"/>
      <c r="H60" s="363"/>
    </row>
    <row r="61" spans="1:8" ht="15">
      <c r="A61" s="363" t="s">
        <v>404</v>
      </c>
      <c r="B61" s="363"/>
      <c r="C61" s="363"/>
      <c r="D61" s="363"/>
      <c r="E61" s="363"/>
      <c r="F61" s="363"/>
      <c r="G61" s="363"/>
      <c r="H61" s="363"/>
    </row>
    <row r="62" spans="1:8" ht="15">
      <c r="A62" s="363" t="s">
        <v>405</v>
      </c>
      <c r="B62" s="363"/>
      <c r="C62" s="363"/>
      <c r="D62" s="363"/>
      <c r="E62" s="363"/>
      <c r="F62" s="363"/>
      <c r="G62" s="363"/>
      <c r="H62" s="363"/>
    </row>
    <row r="63" spans="1:8" ht="15">
      <c r="A63" s="363" t="s">
        <v>406</v>
      </c>
      <c r="B63" s="363"/>
      <c r="C63" s="363"/>
      <c r="D63" s="363"/>
      <c r="E63" s="363"/>
      <c r="F63" s="363"/>
      <c r="G63" s="363"/>
      <c r="H63" s="363"/>
    </row>
    <row r="64" spans="1:8" ht="15">
      <c r="A64" s="363" t="s">
        <v>407</v>
      </c>
      <c r="B64" s="363"/>
      <c r="C64" s="363"/>
      <c r="D64" s="363"/>
      <c r="E64" s="363"/>
      <c r="F64" s="363"/>
      <c r="G64" s="363"/>
      <c r="H64" s="363"/>
    </row>
    <row r="65" spans="1:8" ht="15">
      <c r="A65" s="363" t="s">
        <v>408</v>
      </c>
      <c r="B65" s="363"/>
      <c r="C65" s="363"/>
      <c r="D65" s="363"/>
      <c r="E65" s="363"/>
      <c r="F65" s="363"/>
      <c r="G65" s="363"/>
      <c r="H65" s="363"/>
    </row>
    <row r="66" spans="1:8" ht="15">
      <c r="A66" s="363"/>
      <c r="B66" s="363"/>
      <c r="C66" s="363"/>
      <c r="D66" s="363"/>
      <c r="E66" s="363"/>
      <c r="F66" s="363"/>
      <c r="G66" s="363"/>
      <c r="H66" s="363"/>
    </row>
    <row r="67" spans="1:8" ht="15">
      <c r="A67" s="363" t="s">
        <v>409</v>
      </c>
      <c r="B67" s="363"/>
      <c r="C67" s="363"/>
      <c r="D67" s="363"/>
      <c r="E67" s="363"/>
      <c r="F67" s="363"/>
      <c r="G67" s="363"/>
      <c r="H67" s="363"/>
    </row>
    <row r="68" spans="1:8" ht="15">
      <c r="A68" s="363" t="s">
        <v>410</v>
      </c>
      <c r="B68" s="363"/>
      <c r="C68" s="363"/>
      <c r="D68" s="363"/>
      <c r="E68" s="363"/>
      <c r="F68" s="363"/>
      <c r="G68" s="363"/>
      <c r="H68" s="363"/>
    </row>
    <row r="69" spans="1:8" ht="15">
      <c r="A69" s="363" t="s">
        <v>411</v>
      </c>
      <c r="B69" s="363"/>
      <c r="C69" s="363"/>
      <c r="D69" s="363"/>
      <c r="E69" s="363"/>
      <c r="F69" s="363"/>
      <c r="G69" s="363"/>
      <c r="H69" s="363"/>
    </row>
    <row r="70" spans="1:8" ht="15">
      <c r="A70" s="363" t="s">
        <v>412</v>
      </c>
      <c r="B70" s="363"/>
      <c r="C70" s="363"/>
      <c r="D70" s="363"/>
      <c r="E70" s="363"/>
      <c r="F70" s="363"/>
      <c r="G70" s="363"/>
      <c r="H70" s="363"/>
    </row>
    <row r="71" spans="1:8" ht="15">
      <c r="A71" s="363" t="s">
        <v>413</v>
      </c>
      <c r="B71" s="363"/>
      <c r="C71" s="363"/>
      <c r="D71" s="363"/>
      <c r="E71" s="363"/>
      <c r="F71" s="363"/>
      <c r="G71" s="363"/>
      <c r="H71" s="363"/>
    </row>
    <row r="72" spans="1:8" ht="15">
      <c r="A72" s="363" t="s">
        <v>414</v>
      </c>
      <c r="B72" s="363"/>
      <c r="C72" s="363"/>
      <c r="D72" s="363"/>
      <c r="E72" s="363"/>
      <c r="F72" s="363"/>
      <c r="G72" s="363"/>
      <c r="H72" s="363"/>
    </row>
    <row r="73" spans="1:8" ht="15">
      <c r="A73" s="363" t="s">
        <v>415</v>
      </c>
      <c r="B73" s="363"/>
      <c r="C73" s="363"/>
      <c r="D73" s="363"/>
      <c r="E73" s="363"/>
      <c r="F73" s="363"/>
      <c r="G73" s="363"/>
      <c r="H73" s="363"/>
    </row>
    <row r="74" spans="1:8" ht="15">
      <c r="A74" s="363"/>
      <c r="B74" s="363"/>
      <c r="C74" s="363"/>
      <c r="D74" s="363"/>
      <c r="E74" s="363"/>
      <c r="F74" s="363"/>
      <c r="G74" s="363"/>
      <c r="H74" s="363"/>
    </row>
    <row r="75" spans="1:8" ht="15">
      <c r="A75" s="363" t="s">
        <v>416</v>
      </c>
      <c r="B75" s="363"/>
      <c r="C75" s="363"/>
      <c r="D75" s="363"/>
      <c r="E75" s="363"/>
      <c r="F75" s="363"/>
      <c r="G75" s="363"/>
      <c r="H75" s="363"/>
    </row>
    <row r="76" spans="1:8" ht="15">
      <c r="A76" s="363" t="s">
        <v>417</v>
      </c>
      <c r="B76" s="363"/>
      <c r="C76" s="363"/>
      <c r="D76" s="363"/>
      <c r="E76" s="363"/>
      <c r="F76" s="363"/>
      <c r="G76" s="363"/>
      <c r="H76" s="363"/>
    </row>
    <row r="77" spans="1:8" ht="15">
      <c r="A77" s="363" t="s">
        <v>418</v>
      </c>
      <c r="B77" s="363"/>
      <c r="C77" s="363"/>
      <c r="D77" s="363"/>
      <c r="E77" s="363"/>
      <c r="F77" s="363"/>
      <c r="G77" s="363"/>
      <c r="H77" s="363"/>
    </row>
    <row r="78" spans="1:8" ht="15">
      <c r="A78" s="363"/>
      <c r="B78" s="363"/>
      <c r="C78" s="363"/>
      <c r="D78" s="363"/>
      <c r="E78" s="363"/>
      <c r="F78" s="363"/>
      <c r="G78" s="363"/>
      <c r="H78" s="363"/>
    </row>
    <row r="79" ht="15">
      <c r="A79" s="363" t="s">
        <v>363</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419</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319</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420</v>
      </c>
      <c r="I7" s="362"/>
      <c r="J7" s="362"/>
      <c r="K7" s="362"/>
      <c r="L7" s="362"/>
    </row>
    <row r="8" spans="1:12" ht="15">
      <c r="A8" s="363"/>
      <c r="I8" s="362"/>
      <c r="J8" s="362"/>
      <c r="K8" s="362"/>
      <c r="L8" s="362"/>
    </row>
    <row r="9" spans="1:12" ht="15">
      <c r="A9" s="363" t="s">
        <v>421</v>
      </c>
      <c r="I9" s="362"/>
      <c r="J9" s="362"/>
      <c r="K9" s="362"/>
      <c r="L9" s="362"/>
    </row>
    <row r="10" spans="1:12" ht="15">
      <c r="A10" s="363" t="s">
        <v>422</v>
      </c>
      <c r="I10" s="362"/>
      <c r="J10" s="362"/>
      <c r="K10" s="362"/>
      <c r="L10" s="362"/>
    </row>
    <row r="11" spans="1:12" ht="15">
      <c r="A11" s="363" t="s">
        <v>423</v>
      </c>
      <c r="I11" s="362"/>
      <c r="J11" s="362"/>
      <c r="K11" s="362"/>
      <c r="L11" s="362"/>
    </row>
    <row r="12" spans="1:12" ht="15">
      <c r="A12" s="363" t="s">
        <v>424</v>
      </c>
      <c r="I12" s="362"/>
      <c r="J12" s="362"/>
      <c r="K12" s="362"/>
      <c r="L12" s="362"/>
    </row>
    <row r="13" spans="1:12" ht="15">
      <c r="A13" s="363" t="s">
        <v>425</v>
      </c>
      <c r="I13" s="362"/>
      <c r="J13" s="362"/>
      <c r="K13" s="362"/>
      <c r="L13" s="362"/>
    </row>
    <row r="14" spans="1:12" ht="15">
      <c r="A14" s="362"/>
      <c r="B14" s="362"/>
      <c r="C14" s="362"/>
      <c r="D14" s="362"/>
      <c r="E14" s="362"/>
      <c r="F14" s="362"/>
      <c r="G14" s="362"/>
      <c r="H14" s="362"/>
      <c r="I14" s="362"/>
      <c r="J14" s="362"/>
      <c r="K14" s="362"/>
      <c r="L14" s="362"/>
    </row>
    <row r="15" ht="15">
      <c r="A15" s="364" t="s">
        <v>426</v>
      </c>
    </row>
    <row r="16" ht="15">
      <c r="A16" s="364" t="s">
        <v>427</v>
      </c>
    </row>
    <row r="17" ht="15">
      <c r="A17" s="364"/>
    </row>
    <row r="18" spans="1:7" ht="15">
      <c r="A18" s="363" t="s">
        <v>428</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429</v>
      </c>
      <c r="B20" s="363"/>
      <c r="C20" s="363"/>
      <c r="D20" s="363"/>
      <c r="E20" s="363"/>
      <c r="F20" s="363"/>
      <c r="G20" s="363"/>
    </row>
    <row r="21" spans="1:7" ht="15">
      <c r="A21" s="363" t="s">
        <v>430</v>
      </c>
      <c r="B21" s="363"/>
      <c r="C21" s="363"/>
      <c r="D21" s="363"/>
      <c r="E21" s="363"/>
      <c r="F21" s="363"/>
      <c r="G21" s="363"/>
    </row>
    <row r="22" ht="15">
      <c r="A22" s="363"/>
    </row>
    <row r="23" ht="15">
      <c r="A23" s="364" t="s">
        <v>431</v>
      </c>
    </row>
    <row r="24" ht="15">
      <c r="A24" s="364"/>
    </row>
    <row r="25" ht="15">
      <c r="A25" s="363" t="s">
        <v>432</v>
      </c>
    </row>
    <row r="26" spans="1:6" ht="15">
      <c r="A26" s="363" t="s">
        <v>433</v>
      </c>
      <c r="B26" s="363"/>
      <c r="C26" s="363"/>
      <c r="D26" s="363"/>
      <c r="E26" s="363"/>
      <c r="F26" s="363"/>
    </row>
    <row r="27" spans="1:6" ht="15">
      <c r="A27" s="363" t="s">
        <v>434</v>
      </c>
      <c r="B27" s="363"/>
      <c r="C27" s="363"/>
      <c r="D27" s="363"/>
      <c r="E27" s="363"/>
      <c r="F27" s="363"/>
    </row>
    <row r="28" spans="1:6" ht="15">
      <c r="A28" s="363" t="s">
        <v>435</v>
      </c>
      <c r="B28" s="363"/>
      <c r="C28" s="363"/>
      <c r="D28" s="363"/>
      <c r="E28" s="363"/>
      <c r="F28" s="363"/>
    </row>
    <row r="29" spans="1:6" ht="15">
      <c r="A29" s="363"/>
      <c r="B29" s="363"/>
      <c r="C29" s="363"/>
      <c r="D29" s="363"/>
      <c r="E29" s="363"/>
      <c r="F29" s="363"/>
    </row>
    <row r="30" spans="1:7" ht="15">
      <c r="A30" s="364" t="s">
        <v>436</v>
      </c>
      <c r="B30" s="364"/>
      <c r="C30" s="364"/>
      <c r="D30" s="364"/>
      <c r="E30" s="364"/>
      <c r="F30" s="364"/>
      <c r="G30" s="364"/>
    </row>
    <row r="31" spans="1:7" ht="15">
      <c r="A31" s="364" t="s">
        <v>437</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438</v>
      </c>
      <c r="B34" s="363"/>
      <c r="C34" s="363"/>
      <c r="D34" s="363"/>
      <c r="E34" s="363"/>
      <c r="F34" s="363"/>
    </row>
    <row r="35" spans="1:6" ht="15">
      <c r="A35" s="367" t="s">
        <v>333</v>
      </c>
      <c r="B35" s="363"/>
      <c r="C35" s="363"/>
      <c r="D35" s="363"/>
      <c r="E35" s="363"/>
      <c r="F35" s="363"/>
    </row>
    <row r="36" spans="1:6" ht="15">
      <c r="A36" s="367" t="s">
        <v>334</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335</v>
      </c>
      <c r="B39" s="363"/>
      <c r="C39" s="363"/>
      <c r="D39" s="363"/>
      <c r="E39" s="363"/>
      <c r="F39" s="363"/>
    </row>
    <row r="40" spans="1:6" ht="15">
      <c r="A40" s="367" t="s">
        <v>336</v>
      </c>
      <c r="B40" s="363"/>
      <c r="C40" s="363"/>
      <c r="D40" s="363"/>
      <c r="E40" s="363"/>
      <c r="F40" s="363"/>
    </row>
    <row r="41" spans="1:6" ht="15">
      <c r="A41" s="367"/>
      <c r="B41" s="363"/>
      <c r="C41" s="363"/>
      <c r="D41" s="363"/>
      <c r="E41" s="363"/>
      <c r="F41" s="363"/>
    </row>
    <row r="42" spans="1:6" ht="15">
      <c r="A42" s="367" t="s">
        <v>439</v>
      </c>
      <c r="B42" s="363"/>
      <c r="C42" s="363"/>
      <c r="D42" s="363"/>
      <c r="E42" s="363"/>
      <c r="F42" s="363"/>
    </row>
    <row r="43" spans="1:6" ht="15">
      <c r="A43" s="367" t="s">
        <v>440</v>
      </c>
      <c r="B43" s="363"/>
      <c r="C43" s="363"/>
      <c r="D43" s="363"/>
      <c r="E43" s="363"/>
      <c r="F43" s="363"/>
    </row>
    <row r="44" spans="1:6" ht="15">
      <c r="A44" s="367" t="s">
        <v>441</v>
      </c>
      <c r="B44" s="363"/>
      <c r="C44" s="363"/>
      <c r="D44" s="363"/>
      <c r="E44" s="363"/>
      <c r="F44" s="363"/>
    </row>
    <row r="45" spans="1:6" ht="15">
      <c r="A45" s="367" t="s">
        <v>442</v>
      </c>
      <c r="B45" s="363"/>
      <c r="C45" s="363"/>
      <c r="D45" s="363"/>
      <c r="E45" s="363"/>
      <c r="F45" s="363"/>
    </row>
    <row r="46" spans="1:6" ht="15">
      <c r="A46" s="367" t="s">
        <v>443</v>
      </c>
      <c r="B46" s="363"/>
      <c r="C46" s="363"/>
      <c r="D46" s="363"/>
      <c r="E46" s="363"/>
      <c r="F46" s="363"/>
    </row>
    <row r="47" spans="1:6" ht="15">
      <c r="A47" s="367"/>
      <c r="B47" s="363"/>
      <c r="C47" s="363"/>
      <c r="D47" s="363"/>
      <c r="E47" s="363"/>
      <c r="F47" s="363"/>
    </row>
    <row r="48" spans="1:6" ht="15">
      <c r="A48" s="368" t="s">
        <v>444</v>
      </c>
      <c r="B48" s="363"/>
      <c r="C48" s="363"/>
      <c r="D48" s="363"/>
      <c r="E48" s="363"/>
      <c r="F48" s="363"/>
    </row>
    <row r="49" spans="1:6" ht="15">
      <c r="A49" s="368" t="s">
        <v>445</v>
      </c>
      <c r="B49" s="363"/>
      <c r="C49" s="363"/>
      <c r="D49" s="363"/>
      <c r="E49" s="363"/>
      <c r="F49" s="363"/>
    </row>
    <row r="50" spans="1:6" ht="15">
      <c r="A50" s="368" t="s">
        <v>446</v>
      </c>
      <c r="B50" s="363"/>
      <c r="C50" s="363"/>
      <c r="D50" s="363"/>
      <c r="E50" s="363"/>
      <c r="F50" s="363"/>
    </row>
    <row r="51" ht="15">
      <c r="A51" s="368" t="s">
        <v>447</v>
      </c>
    </row>
    <row r="52" ht="15">
      <c r="A52" s="368" t="s">
        <v>448</v>
      </c>
    </row>
    <row r="53" ht="15">
      <c r="A53" s="368" t="s">
        <v>449</v>
      </c>
    </row>
    <row r="55" ht="15">
      <c r="A55" s="363" t="s">
        <v>450</v>
      </c>
    </row>
    <row r="56" ht="15">
      <c r="A56" s="363" t="s">
        <v>451</v>
      </c>
    </row>
    <row r="57" ht="15">
      <c r="A57" s="363" t="s">
        <v>452</v>
      </c>
    </row>
    <row r="58" ht="15">
      <c r="A58" s="363" t="s">
        <v>453</v>
      </c>
    </row>
    <row r="59" ht="15">
      <c r="A59" s="363" t="s">
        <v>454</v>
      </c>
    </row>
    <row r="60" ht="15">
      <c r="A60" s="363" t="s">
        <v>455</v>
      </c>
    </row>
    <row r="62" ht="15">
      <c r="A62" s="363"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456</v>
      </c>
      <c r="B3" s="362"/>
      <c r="C3" s="362"/>
      <c r="D3" s="362"/>
      <c r="E3" s="362"/>
      <c r="F3" s="362"/>
      <c r="G3" s="362"/>
    </row>
    <row r="4" spans="1:7" ht="15">
      <c r="A4" s="362"/>
      <c r="B4" s="362"/>
      <c r="C4" s="362"/>
      <c r="D4" s="362"/>
      <c r="E4" s="362"/>
      <c r="F4" s="362"/>
      <c r="G4" s="362"/>
    </row>
    <row r="5" ht="15">
      <c r="A5" s="363" t="s">
        <v>365</v>
      </c>
    </row>
    <row r="6" ht="15">
      <c r="A6" s="363" t="str">
        <f>CONCATENATE(inputPrYr!D11-1," estimated expenditures show that at the end of this year")</f>
        <v>2014 estimated expenditures show that at the end of this year</v>
      </c>
    </row>
    <row r="7" ht="15">
      <c r="A7" s="363" t="s">
        <v>457</v>
      </c>
    </row>
    <row r="8" ht="15">
      <c r="A8" s="363" t="s">
        <v>458</v>
      </c>
    </row>
    <row r="10" ht="15">
      <c r="A10" t="s">
        <v>367</v>
      </c>
    </row>
    <row r="11" ht="15">
      <c r="A11" t="s">
        <v>368</v>
      </c>
    </row>
    <row r="12" ht="15">
      <c r="A12" t="s">
        <v>369</v>
      </c>
    </row>
    <row r="13" spans="1:7" ht="15">
      <c r="A13" s="362"/>
      <c r="B13" s="362"/>
      <c r="C13" s="362"/>
      <c r="D13" s="362"/>
      <c r="E13" s="362"/>
      <c r="F13" s="362"/>
      <c r="G13" s="362"/>
    </row>
    <row r="14" ht="15">
      <c r="A14" s="364" t="s">
        <v>459</v>
      </c>
    </row>
    <row r="15" ht="15">
      <c r="A15" s="363"/>
    </row>
    <row r="16" ht="15">
      <c r="A16" s="363" t="s">
        <v>460</v>
      </c>
    </row>
    <row r="17" ht="15">
      <c r="A17" s="363" t="s">
        <v>461</v>
      </c>
    </row>
    <row r="18" ht="15">
      <c r="A18" s="363" t="s">
        <v>462</v>
      </c>
    </row>
    <row r="19" ht="15">
      <c r="A19" s="363"/>
    </row>
    <row r="20" ht="15">
      <c r="A20" s="363" t="s">
        <v>463</v>
      </c>
    </row>
    <row r="21" ht="15">
      <c r="A21" s="363" t="s">
        <v>464</v>
      </c>
    </row>
    <row r="22" ht="15">
      <c r="A22" s="363" t="s">
        <v>465</v>
      </c>
    </row>
    <row r="23" ht="15">
      <c r="A23" s="363" t="s">
        <v>466</v>
      </c>
    </row>
    <row r="24" ht="15">
      <c r="A24" s="363"/>
    </row>
    <row r="25" ht="15">
      <c r="A25" s="364" t="s">
        <v>431</v>
      </c>
    </row>
    <row r="26" ht="15">
      <c r="A26" s="364"/>
    </row>
    <row r="27" ht="15">
      <c r="A27" s="363" t="s">
        <v>432</v>
      </c>
    </row>
    <row r="28" spans="1:6" ht="15">
      <c r="A28" s="363" t="s">
        <v>433</v>
      </c>
      <c r="B28" s="363"/>
      <c r="C28" s="363"/>
      <c r="D28" s="363"/>
      <c r="E28" s="363"/>
      <c r="F28" s="363"/>
    </row>
    <row r="29" spans="1:6" ht="15">
      <c r="A29" s="363" t="s">
        <v>434</v>
      </c>
      <c r="B29" s="363"/>
      <c r="C29" s="363"/>
      <c r="D29" s="363"/>
      <c r="E29" s="363"/>
      <c r="F29" s="363"/>
    </row>
    <row r="30" spans="1:6" ht="15">
      <c r="A30" s="363" t="s">
        <v>435</v>
      </c>
      <c r="B30" s="363"/>
      <c r="C30" s="363"/>
      <c r="D30" s="363"/>
      <c r="E30" s="363"/>
      <c r="F30" s="363"/>
    </row>
    <row r="31" ht="15">
      <c r="A31" s="363"/>
    </row>
    <row r="32" spans="1:7" ht="15">
      <c r="A32" s="364" t="s">
        <v>436</v>
      </c>
      <c r="B32" s="364"/>
      <c r="C32" s="364"/>
      <c r="D32" s="364"/>
      <c r="E32" s="364"/>
      <c r="F32" s="364"/>
      <c r="G32" s="364"/>
    </row>
    <row r="33" spans="1:7" ht="15">
      <c r="A33" s="364" t="s">
        <v>437</v>
      </c>
      <c r="B33" s="364"/>
      <c r="C33" s="364"/>
      <c r="D33" s="364"/>
      <c r="E33" s="364"/>
      <c r="F33" s="364"/>
      <c r="G33" s="364"/>
    </row>
    <row r="34" spans="1:7" ht="15">
      <c r="A34" s="364"/>
      <c r="B34" s="364"/>
      <c r="C34" s="364"/>
      <c r="D34" s="364"/>
      <c r="E34" s="364"/>
      <c r="F34" s="364"/>
      <c r="G34" s="364"/>
    </row>
    <row r="35" spans="1:7" ht="15">
      <c r="A35" s="363" t="s">
        <v>467</v>
      </c>
      <c r="B35" s="363"/>
      <c r="C35" s="363"/>
      <c r="D35" s="363"/>
      <c r="E35" s="363"/>
      <c r="F35" s="363"/>
      <c r="G35" s="363"/>
    </row>
    <row r="36" spans="1:7" ht="15">
      <c r="A36" s="363" t="s">
        <v>468</v>
      </c>
      <c r="B36" s="363"/>
      <c r="C36" s="363"/>
      <c r="D36" s="363"/>
      <c r="E36" s="363"/>
      <c r="F36" s="363"/>
      <c r="G36" s="363"/>
    </row>
    <row r="37" spans="1:7" ht="15">
      <c r="A37" s="363" t="s">
        <v>469</v>
      </c>
      <c r="B37" s="363"/>
      <c r="C37" s="363"/>
      <c r="D37" s="363"/>
      <c r="E37" s="363"/>
      <c r="F37" s="363"/>
      <c r="G37" s="363"/>
    </row>
    <row r="38" spans="1:7" ht="15">
      <c r="A38" s="363" t="s">
        <v>470</v>
      </c>
      <c r="B38" s="363"/>
      <c r="C38" s="363"/>
      <c r="D38" s="363"/>
      <c r="E38" s="363"/>
      <c r="F38" s="363"/>
      <c r="G38" s="363"/>
    </row>
    <row r="39" spans="1:7" ht="15">
      <c r="A39" s="363" t="s">
        <v>471</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438</v>
      </c>
      <c r="B42" s="363"/>
      <c r="C42" s="363"/>
      <c r="D42" s="363"/>
      <c r="E42" s="363"/>
      <c r="F42" s="363"/>
    </row>
    <row r="43" spans="1:6" ht="15">
      <c r="A43" s="367" t="s">
        <v>333</v>
      </c>
      <c r="B43" s="363"/>
      <c r="C43" s="363"/>
      <c r="D43" s="363"/>
      <c r="E43" s="363"/>
      <c r="F43" s="363"/>
    </row>
    <row r="44" spans="1:6" ht="15">
      <c r="A44" s="367" t="s">
        <v>334</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335</v>
      </c>
      <c r="B47" s="363"/>
      <c r="C47" s="363"/>
      <c r="D47" s="363"/>
      <c r="E47" s="363"/>
      <c r="F47" s="363"/>
    </row>
    <row r="48" spans="1:6" ht="15">
      <c r="A48" s="367" t="s">
        <v>336</v>
      </c>
      <c r="B48" s="363"/>
      <c r="C48" s="363"/>
      <c r="D48" s="363"/>
      <c r="E48" s="363"/>
      <c r="F48" s="363"/>
    </row>
    <row r="49" spans="1:7" ht="15">
      <c r="A49" s="363"/>
      <c r="B49" s="363"/>
      <c r="C49" s="363"/>
      <c r="D49" s="363"/>
      <c r="E49" s="363"/>
      <c r="F49" s="363"/>
      <c r="G49" s="363"/>
    </row>
    <row r="50" spans="1:7" ht="15">
      <c r="A50" s="363" t="s">
        <v>392</v>
      </c>
      <c r="B50" s="363"/>
      <c r="C50" s="363"/>
      <c r="D50" s="363"/>
      <c r="E50" s="363"/>
      <c r="F50" s="363"/>
      <c r="G50" s="363"/>
    </row>
    <row r="51" spans="1:7" ht="15">
      <c r="A51" s="363" t="s">
        <v>393</v>
      </c>
      <c r="B51" s="363"/>
      <c r="C51" s="363"/>
      <c r="D51" s="363"/>
      <c r="E51" s="363"/>
      <c r="F51" s="363"/>
      <c r="G51" s="363"/>
    </row>
    <row r="52" spans="1:7" ht="15">
      <c r="A52" s="363" t="s">
        <v>394</v>
      </c>
      <c r="B52" s="363"/>
      <c r="C52" s="363"/>
      <c r="D52" s="363"/>
      <c r="E52" s="363"/>
      <c r="F52" s="363"/>
      <c r="G52" s="363"/>
    </row>
    <row r="53" spans="1:7" ht="15">
      <c r="A53" s="363" t="s">
        <v>395</v>
      </c>
      <c r="B53" s="363"/>
      <c r="C53" s="363"/>
      <c r="D53" s="363"/>
      <c r="E53" s="363"/>
      <c r="F53" s="363"/>
      <c r="G53" s="363"/>
    </row>
    <row r="54" spans="1:7" ht="15">
      <c r="A54" s="363" t="s">
        <v>396</v>
      </c>
      <c r="B54" s="363"/>
      <c r="C54" s="363"/>
      <c r="D54" s="363"/>
      <c r="E54" s="363"/>
      <c r="F54" s="363"/>
      <c r="G54" s="363"/>
    </row>
    <row r="55" spans="1:7" ht="15">
      <c r="A55" s="363"/>
      <c r="B55" s="363"/>
      <c r="C55" s="363"/>
      <c r="D55" s="363"/>
      <c r="E55" s="363"/>
      <c r="F55" s="363"/>
      <c r="G55" s="363"/>
    </row>
    <row r="56" spans="1:6" ht="15">
      <c r="A56" s="367" t="s">
        <v>472</v>
      </c>
      <c r="B56" s="363"/>
      <c r="C56" s="363"/>
      <c r="D56" s="363"/>
      <c r="E56" s="363"/>
      <c r="F56" s="363"/>
    </row>
    <row r="57" spans="1:6" ht="15">
      <c r="A57" s="367" t="s">
        <v>473</v>
      </c>
      <c r="B57" s="363"/>
      <c r="C57" s="363"/>
      <c r="D57" s="363"/>
      <c r="E57" s="363"/>
      <c r="F57" s="363"/>
    </row>
    <row r="58" spans="1:6" ht="15">
      <c r="A58" s="367" t="s">
        <v>474</v>
      </c>
      <c r="B58" s="363"/>
      <c r="C58" s="363"/>
      <c r="D58" s="363"/>
      <c r="E58" s="363"/>
      <c r="F58" s="363"/>
    </row>
    <row r="59" spans="1:6" ht="15">
      <c r="A59" s="367"/>
      <c r="B59" s="363"/>
      <c r="C59" s="363"/>
      <c r="D59" s="363"/>
      <c r="E59" s="363"/>
      <c r="F59" s="363"/>
    </row>
    <row r="60" spans="1:7" ht="15">
      <c r="A60" s="363" t="s">
        <v>475</v>
      </c>
      <c r="B60" s="363"/>
      <c r="C60" s="363"/>
      <c r="D60" s="363"/>
      <c r="E60" s="363"/>
      <c r="F60" s="363"/>
      <c r="G60" s="363"/>
    </row>
    <row r="61" spans="1:7" ht="15">
      <c r="A61" s="363" t="s">
        <v>476</v>
      </c>
      <c r="B61" s="363"/>
      <c r="C61" s="363"/>
      <c r="D61" s="363"/>
      <c r="E61" s="363"/>
      <c r="F61" s="363"/>
      <c r="G61" s="363"/>
    </row>
    <row r="62" spans="1:7" ht="15">
      <c r="A62" s="363" t="s">
        <v>477</v>
      </c>
      <c r="B62" s="363"/>
      <c r="C62" s="363"/>
      <c r="D62" s="363"/>
      <c r="E62" s="363"/>
      <c r="F62" s="363"/>
      <c r="G62" s="363"/>
    </row>
    <row r="63" spans="1:7" ht="15">
      <c r="A63" s="363" t="s">
        <v>478</v>
      </c>
      <c r="B63" s="363"/>
      <c r="C63" s="363"/>
      <c r="D63" s="363"/>
      <c r="E63" s="363"/>
      <c r="F63" s="363"/>
      <c r="G63" s="363"/>
    </row>
    <row r="64" spans="1:7" ht="15">
      <c r="A64" s="363" t="s">
        <v>479</v>
      </c>
      <c r="B64" s="363"/>
      <c r="C64" s="363"/>
      <c r="D64" s="363"/>
      <c r="E64" s="363"/>
      <c r="F64" s="363"/>
      <c r="G64" s="363"/>
    </row>
    <row r="66" spans="1:6" ht="15">
      <c r="A66" s="367" t="s">
        <v>439</v>
      </c>
      <c r="B66" s="363"/>
      <c r="C66" s="363"/>
      <c r="D66" s="363"/>
      <c r="E66" s="363"/>
      <c r="F66" s="363"/>
    </row>
    <row r="67" spans="1:6" ht="15">
      <c r="A67" s="367" t="s">
        <v>440</v>
      </c>
      <c r="B67" s="363"/>
      <c r="C67" s="363"/>
      <c r="D67" s="363"/>
      <c r="E67" s="363"/>
      <c r="F67" s="363"/>
    </row>
    <row r="68" spans="1:6" ht="15">
      <c r="A68" s="367" t="s">
        <v>441</v>
      </c>
      <c r="B68" s="363"/>
      <c r="C68" s="363"/>
      <c r="D68" s="363"/>
      <c r="E68" s="363"/>
      <c r="F68" s="363"/>
    </row>
    <row r="69" spans="1:6" ht="15">
      <c r="A69" s="367" t="s">
        <v>442</v>
      </c>
      <c r="B69" s="363"/>
      <c r="C69" s="363"/>
      <c r="D69" s="363"/>
      <c r="E69" s="363"/>
      <c r="F69" s="363"/>
    </row>
    <row r="70" spans="1:6" ht="15">
      <c r="A70" s="367" t="s">
        <v>443</v>
      </c>
      <c r="B70" s="363"/>
      <c r="C70" s="363"/>
      <c r="D70" s="363"/>
      <c r="E70" s="363"/>
      <c r="F70" s="363"/>
    </row>
    <row r="71" ht="15">
      <c r="A71" s="363"/>
    </row>
    <row r="72" ht="15">
      <c r="A72" s="363" t="s">
        <v>363</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480</v>
      </c>
      <c r="B3" s="362"/>
      <c r="C3" s="362"/>
      <c r="D3" s="362"/>
      <c r="E3" s="362"/>
      <c r="F3" s="362"/>
      <c r="G3" s="362"/>
    </row>
    <row r="4" spans="1:7" ht="15">
      <c r="A4" s="362" t="s">
        <v>481</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319</v>
      </c>
    </row>
    <row r="8" ht="15">
      <c r="A8" s="363" t="str">
        <f>CONCATENATE("estimated ",inputPrYr!D11," 'total expenditures' exceed your ",inputPrYr!D11,"")</f>
        <v>estimated 2015 'total expenditures' exceed your 2015</v>
      </c>
    </row>
    <row r="9" ht="15">
      <c r="A9" s="366" t="s">
        <v>482</v>
      </c>
    </row>
    <row r="10" ht="15">
      <c r="A10" s="363"/>
    </row>
    <row r="11" ht="15">
      <c r="A11" s="363" t="s">
        <v>483</v>
      </c>
    </row>
    <row r="12" ht="15">
      <c r="A12" s="363" t="s">
        <v>484</v>
      </c>
    </row>
    <row r="13" ht="15">
      <c r="A13" s="363" t="s">
        <v>485</v>
      </c>
    </row>
    <row r="14" ht="15">
      <c r="A14" s="363"/>
    </row>
    <row r="15" ht="15">
      <c r="A15" s="364" t="s">
        <v>486</v>
      </c>
    </row>
    <row r="16" spans="1:7" ht="15">
      <c r="A16" s="362"/>
      <c r="B16" s="362"/>
      <c r="C16" s="362"/>
      <c r="D16" s="362"/>
      <c r="E16" s="362"/>
      <c r="F16" s="362"/>
      <c r="G16" s="362"/>
    </row>
    <row r="17" spans="1:8" ht="15">
      <c r="A17" s="369" t="s">
        <v>487</v>
      </c>
      <c r="B17" s="370"/>
      <c r="C17" s="370"/>
      <c r="D17" s="370"/>
      <c r="E17" s="370"/>
      <c r="F17" s="370"/>
      <c r="G17" s="370"/>
      <c r="H17" s="370"/>
    </row>
    <row r="18" spans="1:7" ht="15">
      <c r="A18" s="363" t="s">
        <v>488</v>
      </c>
      <c r="B18" s="371"/>
      <c r="C18" s="371"/>
      <c r="D18" s="371"/>
      <c r="E18" s="371"/>
      <c r="F18" s="371"/>
      <c r="G18" s="371"/>
    </row>
    <row r="19" ht="15">
      <c r="A19" s="363" t="s">
        <v>489</v>
      </c>
    </row>
    <row r="20" ht="15">
      <c r="A20" s="363" t="s">
        <v>490</v>
      </c>
    </row>
    <row r="22" ht="15">
      <c r="A22" s="364" t="s">
        <v>491</v>
      </c>
    </row>
    <row r="24" ht="15">
      <c r="A24" s="363" t="s">
        <v>492</v>
      </c>
    </row>
    <row r="25" ht="15">
      <c r="A25" s="363" t="s">
        <v>493</v>
      </c>
    </row>
    <row r="26" ht="15">
      <c r="A26" s="363" t="s">
        <v>494</v>
      </c>
    </row>
    <row r="28" ht="15">
      <c r="A28" s="364" t="s">
        <v>495</v>
      </c>
    </row>
    <row r="30" ht="15">
      <c r="A30" t="s">
        <v>496</v>
      </c>
    </row>
    <row r="31" ht="15">
      <c r="A31" t="s">
        <v>497</v>
      </c>
    </row>
    <row r="32" ht="15">
      <c r="A32" t="s">
        <v>498</v>
      </c>
    </row>
    <row r="33" ht="15">
      <c r="A33" s="363" t="s">
        <v>499</v>
      </c>
    </row>
    <row r="35" ht="15">
      <c r="A35" t="s">
        <v>500</v>
      </c>
    </row>
    <row r="36" ht="15">
      <c r="A36" t="s">
        <v>501</v>
      </c>
    </row>
    <row r="37" ht="15">
      <c r="A37" t="s">
        <v>502</v>
      </c>
    </row>
    <row r="38" ht="15">
      <c r="A38" t="s">
        <v>503</v>
      </c>
    </row>
    <row r="40" ht="15">
      <c r="A40" t="s">
        <v>504</v>
      </c>
    </row>
    <row r="41" ht="15">
      <c r="A41" t="s">
        <v>505</v>
      </c>
    </row>
    <row r="42" ht="15">
      <c r="A42" t="s">
        <v>506</v>
      </c>
    </row>
    <row r="43" ht="15">
      <c r="A43" t="s">
        <v>507</v>
      </c>
    </row>
    <row r="44" ht="15">
      <c r="A44" t="s">
        <v>508</v>
      </c>
    </row>
    <row r="45" ht="15">
      <c r="A45" t="s">
        <v>509</v>
      </c>
    </row>
    <row r="47" ht="15">
      <c r="A47" t="s">
        <v>510</v>
      </c>
    </row>
    <row r="48" ht="15">
      <c r="A48" t="s">
        <v>511</v>
      </c>
    </row>
    <row r="49" ht="15">
      <c r="A49" s="363" t="s">
        <v>512</v>
      </c>
    </row>
    <row r="50" ht="15">
      <c r="A50" s="363" t="s">
        <v>513</v>
      </c>
    </row>
    <row r="52" ht="15">
      <c r="A52"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799" t="s">
        <v>556</v>
      </c>
      <c r="C6" s="800"/>
      <c r="D6" s="800"/>
      <c r="E6" s="800"/>
      <c r="F6" s="800"/>
      <c r="G6" s="800"/>
      <c r="H6" s="800"/>
      <c r="I6" s="800"/>
      <c r="J6" s="800"/>
      <c r="K6" s="800"/>
      <c r="L6" s="413"/>
    </row>
    <row r="7" spans="1:12" ht="40.5" customHeight="1">
      <c r="A7" s="410"/>
      <c r="B7" s="801" t="s">
        <v>557</v>
      </c>
      <c r="C7" s="802"/>
      <c r="D7" s="802"/>
      <c r="E7" s="802"/>
      <c r="F7" s="802"/>
      <c r="G7" s="802"/>
      <c r="H7" s="802"/>
      <c r="I7" s="802"/>
      <c r="J7" s="802"/>
      <c r="K7" s="802"/>
      <c r="L7" s="410"/>
    </row>
    <row r="8" spans="1:12" ht="14.25">
      <c r="A8" s="410"/>
      <c r="B8" s="803" t="s">
        <v>558</v>
      </c>
      <c r="C8" s="803"/>
      <c r="D8" s="803"/>
      <c r="E8" s="803"/>
      <c r="F8" s="803"/>
      <c r="G8" s="803"/>
      <c r="H8" s="803"/>
      <c r="I8" s="803"/>
      <c r="J8" s="803"/>
      <c r="K8" s="803"/>
      <c r="L8" s="410"/>
    </row>
    <row r="9" spans="1:12" ht="14.25">
      <c r="A9" s="410"/>
      <c r="L9" s="410"/>
    </row>
    <row r="10" spans="1:12" ht="14.25">
      <c r="A10" s="410"/>
      <c r="B10" s="803" t="s">
        <v>559</v>
      </c>
      <c r="C10" s="803"/>
      <c r="D10" s="803"/>
      <c r="E10" s="803"/>
      <c r="F10" s="803"/>
      <c r="G10" s="803"/>
      <c r="H10" s="803"/>
      <c r="I10" s="803"/>
      <c r="J10" s="803"/>
      <c r="K10" s="803"/>
      <c r="L10" s="410"/>
    </row>
    <row r="11" spans="1:12" ht="14.25">
      <c r="A11" s="410"/>
      <c r="B11" s="551"/>
      <c r="C11" s="551"/>
      <c r="D11" s="551"/>
      <c r="E11" s="551"/>
      <c r="F11" s="551"/>
      <c r="G11" s="551"/>
      <c r="H11" s="551"/>
      <c r="I11" s="551"/>
      <c r="J11" s="551"/>
      <c r="K11" s="551"/>
      <c r="L11" s="410"/>
    </row>
    <row r="12" spans="1:12" ht="32.25" customHeight="1">
      <c r="A12" s="410"/>
      <c r="B12" s="804" t="s">
        <v>560</v>
      </c>
      <c r="C12" s="804"/>
      <c r="D12" s="804"/>
      <c r="E12" s="804"/>
      <c r="F12" s="804"/>
      <c r="G12" s="804"/>
      <c r="H12" s="804"/>
      <c r="I12" s="804"/>
      <c r="J12" s="804"/>
      <c r="K12" s="804"/>
      <c r="L12" s="410"/>
    </row>
    <row r="13" spans="1:12" ht="14.25">
      <c r="A13" s="410"/>
      <c r="L13" s="410"/>
    </row>
    <row r="14" spans="1:12" ht="14.25">
      <c r="A14" s="410"/>
      <c r="B14" s="414" t="s">
        <v>561</v>
      </c>
      <c r="L14" s="410"/>
    </row>
    <row r="15" spans="1:12" ht="14.25">
      <c r="A15" s="410"/>
      <c r="L15" s="410"/>
    </row>
    <row r="16" spans="1:12" ht="14.25">
      <c r="A16" s="410"/>
      <c r="B16" s="412" t="s">
        <v>562</v>
      </c>
      <c r="L16" s="410"/>
    </row>
    <row r="17" spans="1:12" ht="14.25">
      <c r="A17" s="410"/>
      <c r="B17" s="412" t="s">
        <v>563</v>
      </c>
      <c r="L17" s="410"/>
    </row>
    <row r="18" spans="1:12" ht="14.25">
      <c r="A18" s="410"/>
      <c r="L18" s="410"/>
    </row>
    <row r="19" spans="1:12" ht="14.25">
      <c r="A19" s="410"/>
      <c r="B19" s="414" t="s">
        <v>685</v>
      </c>
      <c r="L19" s="410"/>
    </row>
    <row r="20" spans="1:12" ht="14.25">
      <c r="A20" s="410"/>
      <c r="B20" s="414"/>
      <c r="L20" s="410"/>
    </row>
    <row r="21" spans="1:12" ht="14.25">
      <c r="A21" s="410"/>
      <c r="B21" s="412" t="s">
        <v>686</v>
      </c>
      <c r="L21" s="410"/>
    </row>
    <row r="22" spans="1:12" ht="14.25">
      <c r="A22" s="410"/>
      <c r="L22" s="410"/>
    </row>
    <row r="23" spans="1:12" ht="14.25">
      <c r="A23" s="410"/>
      <c r="B23" s="412" t="s">
        <v>564</v>
      </c>
      <c r="E23" s="412" t="s">
        <v>565</v>
      </c>
      <c r="F23" s="805">
        <v>312000000</v>
      </c>
      <c r="G23" s="805"/>
      <c r="L23" s="410"/>
    </row>
    <row r="24" spans="1:12" ht="14.25">
      <c r="A24" s="410"/>
      <c r="L24" s="410"/>
    </row>
    <row r="25" spans="1:12" ht="14.25">
      <c r="A25" s="410"/>
      <c r="C25" s="806">
        <f>F23</f>
        <v>312000000</v>
      </c>
      <c r="D25" s="806"/>
      <c r="E25" s="412" t="s">
        <v>566</v>
      </c>
      <c r="F25" s="415">
        <v>1000</v>
      </c>
      <c r="G25" s="415" t="s">
        <v>565</v>
      </c>
      <c r="H25" s="552">
        <f>F23/F25</f>
        <v>312000</v>
      </c>
      <c r="L25" s="410"/>
    </row>
    <row r="26" spans="1:12" ht="15" thickBot="1">
      <c r="A26" s="410"/>
      <c r="L26" s="410"/>
    </row>
    <row r="27" spans="1:12" ht="14.25">
      <c r="A27" s="410"/>
      <c r="B27" s="416" t="s">
        <v>561</v>
      </c>
      <c r="C27" s="417"/>
      <c r="D27" s="417"/>
      <c r="E27" s="417"/>
      <c r="F27" s="417"/>
      <c r="G27" s="417"/>
      <c r="H27" s="417"/>
      <c r="I27" s="417"/>
      <c r="J27" s="417"/>
      <c r="K27" s="418"/>
      <c r="L27" s="410"/>
    </row>
    <row r="28" spans="1:12" ht="14.25">
      <c r="A28" s="410"/>
      <c r="B28" s="419">
        <f>F23</f>
        <v>312000000</v>
      </c>
      <c r="C28" s="420" t="s">
        <v>567</v>
      </c>
      <c r="D28" s="420"/>
      <c r="E28" s="420" t="s">
        <v>566</v>
      </c>
      <c r="F28" s="547">
        <v>1000</v>
      </c>
      <c r="G28" s="547" t="s">
        <v>565</v>
      </c>
      <c r="H28" s="421">
        <f>B28/F28</f>
        <v>312000</v>
      </c>
      <c r="I28" s="420" t="s">
        <v>568</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807" t="s">
        <v>557</v>
      </c>
      <c r="C30" s="807"/>
      <c r="D30" s="807"/>
      <c r="E30" s="807"/>
      <c r="F30" s="807"/>
      <c r="G30" s="807"/>
      <c r="H30" s="807"/>
      <c r="I30" s="807"/>
      <c r="J30" s="807"/>
      <c r="K30" s="807"/>
      <c r="L30" s="410"/>
    </row>
    <row r="31" spans="1:12" ht="14.25">
      <c r="A31" s="410"/>
      <c r="B31" s="803" t="s">
        <v>569</v>
      </c>
      <c r="C31" s="803"/>
      <c r="D31" s="803"/>
      <c r="E31" s="803"/>
      <c r="F31" s="803"/>
      <c r="G31" s="803"/>
      <c r="H31" s="803"/>
      <c r="I31" s="803"/>
      <c r="J31" s="803"/>
      <c r="K31" s="803"/>
      <c r="L31" s="410"/>
    </row>
    <row r="32" spans="1:12" ht="14.25">
      <c r="A32" s="410"/>
      <c r="L32" s="410"/>
    </row>
    <row r="33" spans="1:12" ht="14.25">
      <c r="A33" s="410"/>
      <c r="B33" s="803" t="s">
        <v>570</v>
      </c>
      <c r="C33" s="803"/>
      <c r="D33" s="803"/>
      <c r="E33" s="803"/>
      <c r="F33" s="803"/>
      <c r="G33" s="803"/>
      <c r="H33" s="803"/>
      <c r="I33" s="803"/>
      <c r="J33" s="803"/>
      <c r="K33" s="803"/>
      <c r="L33" s="410"/>
    </row>
    <row r="34" spans="1:12" ht="14.25">
      <c r="A34" s="410"/>
      <c r="L34" s="410"/>
    </row>
    <row r="35" spans="1:12" ht="89.25" customHeight="1">
      <c r="A35" s="410"/>
      <c r="B35" s="804" t="s">
        <v>571</v>
      </c>
      <c r="C35" s="808"/>
      <c r="D35" s="808"/>
      <c r="E35" s="808"/>
      <c r="F35" s="808"/>
      <c r="G35" s="808"/>
      <c r="H35" s="808"/>
      <c r="I35" s="808"/>
      <c r="J35" s="808"/>
      <c r="K35" s="808"/>
      <c r="L35" s="410"/>
    </row>
    <row r="36" spans="1:12" ht="14.25">
      <c r="A36" s="410"/>
      <c r="L36" s="410"/>
    </row>
    <row r="37" spans="1:12" ht="14.25">
      <c r="A37" s="410"/>
      <c r="B37" s="414" t="s">
        <v>572</v>
      </c>
      <c r="L37" s="410"/>
    </row>
    <row r="38" spans="1:12" ht="14.25">
      <c r="A38" s="410"/>
      <c r="L38" s="410"/>
    </row>
    <row r="39" spans="1:12" ht="14.25">
      <c r="A39" s="410"/>
      <c r="B39" s="412" t="s">
        <v>573</v>
      </c>
      <c r="L39" s="410"/>
    </row>
    <row r="40" spans="1:12" ht="14.25">
      <c r="A40" s="410"/>
      <c r="L40" s="410"/>
    </row>
    <row r="41" spans="1:12" ht="14.25">
      <c r="A41" s="410"/>
      <c r="C41" s="809">
        <v>312000000</v>
      </c>
      <c r="D41" s="809"/>
      <c r="E41" s="412" t="s">
        <v>566</v>
      </c>
      <c r="F41" s="415">
        <v>1000</v>
      </c>
      <c r="G41" s="415" t="s">
        <v>565</v>
      </c>
      <c r="H41" s="426">
        <f>C41/F41</f>
        <v>312000</v>
      </c>
      <c r="L41" s="410"/>
    </row>
    <row r="42" spans="1:12" ht="14.25">
      <c r="A42" s="410"/>
      <c r="L42" s="410"/>
    </row>
    <row r="43" spans="1:12" ht="14.25">
      <c r="A43" s="410"/>
      <c r="B43" s="412" t="s">
        <v>574</v>
      </c>
      <c r="L43" s="410"/>
    </row>
    <row r="44" spans="1:12" ht="14.25">
      <c r="A44" s="410"/>
      <c r="L44" s="410"/>
    </row>
    <row r="45" spans="1:12" ht="14.25">
      <c r="A45" s="410"/>
      <c r="B45" s="412" t="s">
        <v>575</v>
      </c>
      <c r="L45" s="410"/>
    </row>
    <row r="46" spans="1:12" ht="15" thickBot="1">
      <c r="A46" s="410"/>
      <c r="L46" s="410"/>
    </row>
    <row r="47" spans="1:12" ht="14.25">
      <c r="A47" s="410"/>
      <c r="B47" s="427" t="s">
        <v>561</v>
      </c>
      <c r="C47" s="417"/>
      <c r="D47" s="417"/>
      <c r="E47" s="417"/>
      <c r="F47" s="417"/>
      <c r="G47" s="417"/>
      <c r="H47" s="417"/>
      <c r="I47" s="417"/>
      <c r="J47" s="417"/>
      <c r="K47" s="418"/>
      <c r="L47" s="410"/>
    </row>
    <row r="48" spans="1:12" ht="14.25">
      <c r="A48" s="410"/>
      <c r="B48" s="810">
        <v>312000000</v>
      </c>
      <c r="C48" s="805"/>
      <c r="D48" s="420" t="s">
        <v>576</v>
      </c>
      <c r="E48" s="420" t="s">
        <v>566</v>
      </c>
      <c r="F48" s="547">
        <v>1000</v>
      </c>
      <c r="G48" s="547" t="s">
        <v>565</v>
      </c>
      <c r="H48" s="421">
        <f>B48/F48</f>
        <v>312000</v>
      </c>
      <c r="I48" s="420" t="s">
        <v>577</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578</v>
      </c>
      <c r="D50" s="420"/>
      <c r="E50" s="420" t="s">
        <v>566</v>
      </c>
      <c r="F50" s="421">
        <f>H48</f>
        <v>312000</v>
      </c>
      <c r="G50" s="811" t="s">
        <v>579</v>
      </c>
      <c r="H50" s="812"/>
      <c r="I50" s="547" t="s">
        <v>565</v>
      </c>
      <c r="J50" s="430">
        <f>B50/F50</f>
        <v>0.16025641025641027</v>
      </c>
      <c r="K50" s="422"/>
      <c r="L50" s="410"/>
    </row>
    <row r="51" spans="1:15" ht="15" thickBot="1">
      <c r="A51" s="410"/>
      <c r="B51" s="423"/>
      <c r="C51" s="424"/>
      <c r="D51" s="424"/>
      <c r="E51" s="424"/>
      <c r="F51" s="424"/>
      <c r="G51" s="424"/>
      <c r="H51" s="424"/>
      <c r="I51" s="813" t="s">
        <v>580</v>
      </c>
      <c r="J51" s="813"/>
      <c r="K51" s="814"/>
      <c r="L51" s="410"/>
      <c r="O51" s="431"/>
    </row>
    <row r="52" spans="1:12" ht="40.5" customHeight="1">
      <c r="A52" s="410"/>
      <c r="B52" s="807" t="s">
        <v>557</v>
      </c>
      <c r="C52" s="807"/>
      <c r="D52" s="807"/>
      <c r="E52" s="807"/>
      <c r="F52" s="807"/>
      <c r="G52" s="807"/>
      <c r="H52" s="807"/>
      <c r="I52" s="807"/>
      <c r="J52" s="807"/>
      <c r="K52" s="807"/>
      <c r="L52" s="410"/>
    </row>
    <row r="53" spans="1:12" ht="14.25">
      <c r="A53" s="410"/>
      <c r="B53" s="803" t="s">
        <v>581</v>
      </c>
      <c r="C53" s="803"/>
      <c r="D53" s="803"/>
      <c r="E53" s="803"/>
      <c r="F53" s="803"/>
      <c r="G53" s="803"/>
      <c r="H53" s="803"/>
      <c r="I53" s="803"/>
      <c r="J53" s="803"/>
      <c r="K53" s="803"/>
      <c r="L53" s="410"/>
    </row>
    <row r="54" spans="1:12" ht="14.25">
      <c r="A54" s="410"/>
      <c r="B54" s="551"/>
      <c r="C54" s="551"/>
      <c r="D54" s="551"/>
      <c r="E54" s="551"/>
      <c r="F54" s="551"/>
      <c r="G54" s="551"/>
      <c r="H54" s="551"/>
      <c r="I54" s="551"/>
      <c r="J54" s="551"/>
      <c r="K54" s="551"/>
      <c r="L54" s="410"/>
    </row>
    <row r="55" spans="1:12" ht="14.25">
      <c r="A55" s="410"/>
      <c r="B55" s="799" t="s">
        <v>582</v>
      </c>
      <c r="C55" s="799"/>
      <c r="D55" s="799"/>
      <c r="E55" s="799"/>
      <c r="F55" s="799"/>
      <c r="G55" s="799"/>
      <c r="H55" s="799"/>
      <c r="I55" s="799"/>
      <c r="J55" s="799"/>
      <c r="K55" s="799"/>
      <c r="L55" s="410"/>
    </row>
    <row r="56" spans="1:12" ht="15" customHeight="1">
      <c r="A56" s="410"/>
      <c r="L56" s="410"/>
    </row>
    <row r="57" spans="1:24" ht="74.25" customHeight="1">
      <c r="A57" s="410"/>
      <c r="B57" s="804" t="s">
        <v>583</v>
      </c>
      <c r="C57" s="808"/>
      <c r="D57" s="808"/>
      <c r="E57" s="808"/>
      <c r="F57" s="808"/>
      <c r="G57" s="808"/>
      <c r="H57" s="808"/>
      <c r="I57" s="808"/>
      <c r="J57" s="808"/>
      <c r="K57" s="808"/>
      <c r="L57" s="410"/>
      <c r="M57" s="432"/>
      <c r="N57" s="433"/>
      <c r="O57" s="433"/>
      <c r="P57" s="433"/>
      <c r="Q57" s="433"/>
      <c r="R57" s="433"/>
      <c r="S57" s="433"/>
      <c r="T57" s="433"/>
      <c r="U57" s="433"/>
      <c r="V57" s="433"/>
      <c r="W57" s="433"/>
      <c r="X57" s="433"/>
    </row>
    <row r="58" spans="1:24" ht="15" customHeight="1">
      <c r="A58" s="410"/>
      <c r="B58" s="804"/>
      <c r="C58" s="808"/>
      <c r="D58" s="808"/>
      <c r="E58" s="808"/>
      <c r="F58" s="808"/>
      <c r="G58" s="808"/>
      <c r="H58" s="808"/>
      <c r="I58" s="808"/>
      <c r="J58" s="808"/>
      <c r="K58" s="808"/>
      <c r="L58" s="410"/>
      <c r="M58" s="432"/>
      <c r="N58" s="433"/>
      <c r="O58" s="433"/>
      <c r="P58" s="433"/>
      <c r="Q58" s="433"/>
      <c r="R58" s="433"/>
      <c r="S58" s="433"/>
      <c r="T58" s="433"/>
      <c r="U58" s="433"/>
      <c r="V58" s="433"/>
      <c r="W58" s="433"/>
      <c r="X58" s="433"/>
    </row>
    <row r="59" spans="1:24" ht="14.25">
      <c r="A59" s="410"/>
      <c r="B59" s="414" t="s">
        <v>572</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584</v>
      </c>
      <c r="L61" s="410"/>
      <c r="M61" s="433"/>
      <c r="N61" s="433"/>
      <c r="O61" s="433"/>
      <c r="P61" s="433"/>
      <c r="Q61" s="433"/>
      <c r="R61" s="433"/>
      <c r="S61" s="433"/>
      <c r="T61" s="433"/>
      <c r="U61" s="433"/>
      <c r="V61" s="433"/>
      <c r="W61" s="433"/>
      <c r="X61" s="433"/>
    </row>
    <row r="62" spans="1:24" ht="14.25">
      <c r="A62" s="410"/>
      <c r="B62" s="412" t="s">
        <v>687</v>
      </c>
      <c r="L62" s="410"/>
      <c r="M62" s="433"/>
      <c r="N62" s="433"/>
      <c r="O62" s="433"/>
      <c r="P62" s="433"/>
      <c r="Q62" s="433"/>
      <c r="R62" s="433"/>
      <c r="S62" s="433"/>
      <c r="T62" s="433"/>
      <c r="U62" s="433"/>
      <c r="V62" s="433"/>
      <c r="W62" s="433"/>
      <c r="X62" s="433"/>
    </row>
    <row r="63" spans="1:24" ht="14.25">
      <c r="A63" s="410"/>
      <c r="B63" s="412" t="s">
        <v>688</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585</v>
      </c>
      <c r="L65" s="410"/>
      <c r="M65" s="433"/>
      <c r="N65" s="433"/>
      <c r="O65" s="433"/>
      <c r="P65" s="433"/>
      <c r="Q65" s="433"/>
      <c r="R65" s="433"/>
      <c r="S65" s="433"/>
      <c r="T65" s="433"/>
      <c r="U65" s="433"/>
      <c r="V65" s="433"/>
      <c r="W65" s="433"/>
      <c r="X65" s="433"/>
    </row>
    <row r="66" spans="1:24" ht="14.25">
      <c r="A66" s="410"/>
      <c r="B66" s="412" t="s">
        <v>586</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587</v>
      </c>
      <c r="L68" s="410"/>
      <c r="M68" s="434"/>
      <c r="N68" s="435"/>
      <c r="O68" s="435"/>
      <c r="P68" s="435"/>
      <c r="Q68" s="435"/>
      <c r="R68" s="435"/>
      <c r="S68" s="435"/>
      <c r="T68" s="435"/>
      <c r="U68" s="435"/>
      <c r="V68" s="435"/>
      <c r="W68" s="435"/>
      <c r="X68" s="433"/>
    </row>
    <row r="69" spans="1:24" ht="14.25">
      <c r="A69" s="410"/>
      <c r="B69" s="412" t="s">
        <v>689</v>
      </c>
      <c r="L69" s="410"/>
      <c r="M69" s="433"/>
      <c r="N69" s="433"/>
      <c r="O69" s="433"/>
      <c r="P69" s="433"/>
      <c r="Q69" s="433"/>
      <c r="R69" s="433"/>
      <c r="S69" s="433"/>
      <c r="T69" s="433"/>
      <c r="U69" s="433"/>
      <c r="V69" s="433"/>
      <c r="W69" s="433"/>
      <c r="X69" s="433"/>
    </row>
    <row r="70" spans="1:24" ht="14.25">
      <c r="A70" s="410"/>
      <c r="B70" s="412" t="s">
        <v>690</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561</v>
      </c>
      <c r="C72" s="417"/>
      <c r="D72" s="417"/>
      <c r="E72" s="417"/>
      <c r="F72" s="417"/>
      <c r="G72" s="417"/>
      <c r="H72" s="417"/>
      <c r="I72" s="417"/>
      <c r="J72" s="417"/>
      <c r="K72" s="418"/>
      <c r="L72" s="436"/>
    </row>
    <row r="73" spans="1:12" ht="14.25">
      <c r="A73" s="410"/>
      <c r="B73" s="428"/>
      <c r="C73" s="420" t="s">
        <v>567</v>
      </c>
      <c r="D73" s="420"/>
      <c r="E73" s="420"/>
      <c r="F73" s="420"/>
      <c r="G73" s="420"/>
      <c r="H73" s="420"/>
      <c r="I73" s="420"/>
      <c r="J73" s="420"/>
      <c r="K73" s="422"/>
      <c r="L73" s="436"/>
    </row>
    <row r="74" spans="1:12" ht="14.25">
      <c r="A74" s="410"/>
      <c r="B74" s="428" t="s">
        <v>588</v>
      </c>
      <c r="C74" s="805">
        <v>312000000</v>
      </c>
      <c r="D74" s="805"/>
      <c r="E74" s="547" t="s">
        <v>566</v>
      </c>
      <c r="F74" s="547">
        <v>1000</v>
      </c>
      <c r="G74" s="547" t="s">
        <v>565</v>
      </c>
      <c r="H74" s="544">
        <f>C74/F74</f>
        <v>312000</v>
      </c>
      <c r="I74" s="420" t="s">
        <v>589</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590</v>
      </c>
      <c r="D76" s="420"/>
      <c r="E76" s="547"/>
      <c r="F76" s="420" t="s">
        <v>589</v>
      </c>
      <c r="G76" s="420"/>
      <c r="H76" s="420"/>
      <c r="I76" s="420"/>
      <c r="J76" s="420"/>
      <c r="K76" s="422"/>
      <c r="L76" s="436"/>
    </row>
    <row r="77" spans="1:12" ht="14.25">
      <c r="A77" s="410"/>
      <c r="B77" s="428" t="s">
        <v>591</v>
      </c>
      <c r="C77" s="805">
        <v>50000</v>
      </c>
      <c r="D77" s="805"/>
      <c r="E77" s="547" t="s">
        <v>566</v>
      </c>
      <c r="F77" s="544">
        <f>H74</f>
        <v>312000</v>
      </c>
      <c r="G77" s="547" t="s">
        <v>565</v>
      </c>
      <c r="H77" s="430">
        <f>C77/F77</f>
        <v>0.16025641025641027</v>
      </c>
      <c r="I77" s="420" t="s">
        <v>592</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593</v>
      </c>
      <c r="D79" s="438"/>
      <c r="E79" s="543"/>
      <c r="F79" s="438"/>
      <c r="G79" s="438"/>
      <c r="H79" s="438"/>
      <c r="I79" s="438"/>
      <c r="J79" s="438"/>
      <c r="K79" s="439"/>
      <c r="L79" s="436"/>
    </row>
    <row r="80" spans="1:12" ht="14.25">
      <c r="A80" s="410"/>
      <c r="B80" s="428" t="s">
        <v>594</v>
      </c>
      <c r="C80" s="805">
        <v>100000</v>
      </c>
      <c r="D80" s="805"/>
      <c r="E80" s="547" t="s">
        <v>21</v>
      </c>
      <c r="F80" s="547">
        <v>0.115</v>
      </c>
      <c r="G80" s="547" t="s">
        <v>565</v>
      </c>
      <c r="H80" s="544">
        <f>C80*F80</f>
        <v>11500</v>
      </c>
      <c r="I80" s="420" t="s">
        <v>595</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596</v>
      </c>
      <c r="D82" s="438"/>
      <c r="E82" s="543"/>
      <c r="F82" s="438" t="s">
        <v>592</v>
      </c>
      <c r="G82" s="438"/>
      <c r="H82" s="438"/>
      <c r="I82" s="438"/>
      <c r="J82" s="438" t="s">
        <v>597</v>
      </c>
      <c r="K82" s="439"/>
      <c r="L82" s="436"/>
    </row>
    <row r="83" spans="1:12" ht="14.25">
      <c r="A83" s="410"/>
      <c r="B83" s="428" t="s">
        <v>598</v>
      </c>
      <c r="C83" s="815">
        <f>H80</f>
        <v>11500</v>
      </c>
      <c r="D83" s="815"/>
      <c r="E83" s="547" t="s">
        <v>21</v>
      </c>
      <c r="F83" s="430">
        <f>H77</f>
        <v>0.16025641025641027</v>
      </c>
      <c r="G83" s="547" t="s">
        <v>566</v>
      </c>
      <c r="H83" s="547">
        <v>1000</v>
      </c>
      <c r="I83" s="547" t="s">
        <v>565</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807" t="s">
        <v>557</v>
      </c>
      <c r="C85" s="807"/>
      <c r="D85" s="807"/>
      <c r="E85" s="807"/>
      <c r="F85" s="807"/>
      <c r="G85" s="807"/>
      <c r="H85" s="807"/>
      <c r="I85" s="807"/>
      <c r="J85" s="807"/>
      <c r="K85" s="807"/>
      <c r="L85" s="410"/>
    </row>
    <row r="86" spans="1:12" ht="14.25">
      <c r="A86" s="410"/>
      <c r="B86" s="799" t="s">
        <v>599</v>
      </c>
      <c r="C86" s="799"/>
      <c r="D86" s="799"/>
      <c r="E86" s="799"/>
      <c r="F86" s="799"/>
      <c r="G86" s="799"/>
      <c r="H86" s="799"/>
      <c r="I86" s="799"/>
      <c r="J86" s="799"/>
      <c r="K86" s="799"/>
      <c r="L86" s="410"/>
    </row>
    <row r="87" spans="1:12" ht="14.25">
      <c r="A87" s="410"/>
      <c r="B87" s="444"/>
      <c r="C87" s="444"/>
      <c r="D87" s="444"/>
      <c r="E87" s="444"/>
      <c r="F87" s="444"/>
      <c r="G87" s="444"/>
      <c r="H87" s="444"/>
      <c r="I87" s="444"/>
      <c r="J87" s="444"/>
      <c r="K87" s="444"/>
      <c r="L87" s="410"/>
    </row>
    <row r="88" spans="1:12" ht="14.25">
      <c r="A88" s="410"/>
      <c r="B88" s="799" t="s">
        <v>600</v>
      </c>
      <c r="C88" s="799"/>
      <c r="D88" s="799"/>
      <c r="E88" s="799"/>
      <c r="F88" s="799"/>
      <c r="G88" s="799"/>
      <c r="H88" s="799"/>
      <c r="I88" s="799"/>
      <c r="J88" s="799"/>
      <c r="K88" s="799"/>
      <c r="L88" s="410"/>
    </row>
    <row r="89" spans="1:12" ht="14.25">
      <c r="A89" s="410"/>
      <c r="B89" s="546"/>
      <c r="C89" s="546"/>
      <c r="D89" s="546"/>
      <c r="E89" s="546"/>
      <c r="F89" s="546"/>
      <c r="G89" s="546"/>
      <c r="H89" s="546"/>
      <c r="I89" s="546"/>
      <c r="J89" s="546"/>
      <c r="K89" s="546"/>
      <c r="L89" s="410"/>
    </row>
    <row r="90" spans="1:12" ht="45" customHeight="1">
      <c r="A90" s="410"/>
      <c r="B90" s="804" t="s">
        <v>601</v>
      </c>
      <c r="C90" s="804"/>
      <c r="D90" s="804"/>
      <c r="E90" s="804"/>
      <c r="F90" s="804"/>
      <c r="G90" s="804"/>
      <c r="H90" s="804"/>
      <c r="I90" s="804"/>
      <c r="J90" s="804"/>
      <c r="K90" s="804"/>
      <c r="L90" s="410"/>
    </row>
    <row r="91" spans="1:12" ht="15" customHeight="1" thickBot="1">
      <c r="A91" s="410"/>
      <c r="L91" s="410"/>
    </row>
    <row r="92" spans="1:12" ht="15" customHeight="1">
      <c r="A92" s="410"/>
      <c r="B92" s="445" t="s">
        <v>561</v>
      </c>
      <c r="C92" s="446"/>
      <c r="D92" s="446"/>
      <c r="E92" s="446"/>
      <c r="F92" s="446"/>
      <c r="G92" s="446"/>
      <c r="H92" s="446"/>
      <c r="I92" s="446"/>
      <c r="J92" s="446"/>
      <c r="K92" s="447"/>
      <c r="L92" s="410"/>
    </row>
    <row r="93" spans="1:12" ht="15" customHeight="1">
      <c r="A93" s="410"/>
      <c r="B93" s="448"/>
      <c r="C93" s="549" t="s">
        <v>567</v>
      </c>
      <c r="D93" s="549"/>
      <c r="E93" s="549"/>
      <c r="F93" s="549"/>
      <c r="G93" s="549"/>
      <c r="H93" s="549"/>
      <c r="I93" s="549"/>
      <c r="J93" s="549"/>
      <c r="K93" s="449"/>
      <c r="L93" s="410"/>
    </row>
    <row r="94" spans="1:12" ht="15" customHeight="1">
      <c r="A94" s="410"/>
      <c r="B94" s="448" t="s">
        <v>588</v>
      </c>
      <c r="C94" s="805">
        <v>312000000</v>
      </c>
      <c r="D94" s="805"/>
      <c r="E94" s="547" t="s">
        <v>566</v>
      </c>
      <c r="F94" s="547">
        <v>1000</v>
      </c>
      <c r="G94" s="547" t="s">
        <v>565</v>
      </c>
      <c r="H94" s="544">
        <f>C94/F94</f>
        <v>312000</v>
      </c>
      <c r="I94" s="549" t="s">
        <v>589</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590</v>
      </c>
      <c r="D96" s="549"/>
      <c r="E96" s="547"/>
      <c r="F96" s="549" t="s">
        <v>589</v>
      </c>
      <c r="G96" s="549"/>
      <c r="H96" s="549"/>
      <c r="I96" s="549"/>
      <c r="J96" s="549"/>
      <c r="K96" s="449"/>
      <c r="L96" s="410"/>
    </row>
    <row r="97" spans="1:12" ht="15" customHeight="1">
      <c r="A97" s="410"/>
      <c r="B97" s="448" t="s">
        <v>591</v>
      </c>
      <c r="C97" s="805">
        <v>50000</v>
      </c>
      <c r="D97" s="805"/>
      <c r="E97" s="547" t="s">
        <v>566</v>
      </c>
      <c r="F97" s="544">
        <f>H94</f>
        <v>312000</v>
      </c>
      <c r="G97" s="547" t="s">
        <v>565</v>
      </c>
      <c r="H97" s="430">
        <f>C97/F97</f>
        <v>0.16025641025641027</v>
      </c>
      <c r="I97" s="549" t="s">
        <v>592</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602</v>
      </c>
      <c r="D99" s="451"/>
      <c r="E99" s="543"/>
      <c r="F99" s="451"/>
      <c r="G99" s="451"/>
      <c r="H99" s="451"/>
      <c r="I99" s="451"/>
      <c r="J99" s="451"/>
      <c r="K99" s="452"/>
      <c r="L99" s="410"/>
    </row>
    <row r="100" spans="1:12" ht="15" customHeight="1">
      <c r="A100" s="410"/>
      <c r="B100" s="448" t="s">
        <v>594</v>
      </c>
      <c r="C100" s="805">
        <v>2500000</v>
      </c>
      <c r="D100" s="805"/>
      <c r="E100" s="547" t="s">
        <v>21</v>
      </c>
      <c r="F100" s="453">
        <v>0.3</v>
      </c>
      <c r="G100" s="547" t="s">
        <v>565</v>
      </c>
      <c r="H100" s="544">
        <f>C100*F100</f>
        <v>750000</v>
      </c>
      <c r="I100" s="549" t="s">
        <v>595</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596</v>
      </c>
      <c r="D102" s="451"/>
      <c r="E102" s="543"/>
      <c r="F102" s="451" t="s">
        <v>592</v>
      </c>
      <c r="G102" s="451"/>
      <c r="H102" s="451"/>
      <c r="I102" s="451"/>
      <c r="J102" s="451" t="s">
        <v>597</v>
      </c>
      <c r="K102" s="452"/>
      <c r="L102" s="410"/>
    </row>
    <row r="103" spans="1:12" ht="15" customHeight="1">
      <c r="A103" s="410"/>
      <c r="B103" s="448" t="s">
        <v>598</v>
      </c>
      <c r="C103" s="815">
        <f>H100</f>
        <v>750000</v>
      </c>
      <c r="D103" s="815"/>
      <c r="E103" s="547" t="s">
        <v>21</v>
      </c>
      <c r="F103" s="430">
        <f>H97</f>
        <v>0.16025641025641027</v>
      </c>
      <c r="G103" s="547" t="s">
        <v>566</v>
      </c>
      <c r="H103" s="547">
        <v>1000</v>
      </c>
      <c r="I103" s="547" t="s">
        <v>565</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807" t="s">
        <v>557</v>
      </c>
      <c r="C105" s="816"/>
      <c r="D105" s="816"/>
      <c r="E105" s="816"/>
      <c r="F105" s="816"/>
      <c r="G105" s="816"/>
      <c r="H105" s="816"/>
      <c r="I105" s="816"/>
      <c r="J105" s="816"/>
      <c r="K105" s="816"/>
      <c r="L105" s="410"/>
    </row>
    <row r="106" spans="1:12" ht="15" customHeight="1">
      <c r="A106" s="410"/>
      <c r="B106" s="817" t="s">
        <v>603</v>
      </c>
      <c r="C106" s="800"/>
      <c r="D106" s="800"/>
      <c r="E106" s="800"/>
      <c r="F106" s="800"/>
      <c r="G106" s="800"/>
      <c r="H106" s="800"/>
      <c r="I106" s="800"/>
      <c r="J106" s="800"/>
      <c r="K106" s="800"/>
      <c r="L106" s="410"/>
    </row>
    <row r="107" spans="1:12" ht="15" customHeight="1">
      <c r="A107" s="410"/>
      <c r="B107" s="549"/>
      <c r="C107" s="455"/>
      <c r="D107" s="455"/>
      <c r="E107" s="547"/>
      <c r="F107" s="430"/>
      <c r="G107" s="547"/>
      <c r="H107" s="547"/>
      <c r="I107" s="547"/>
      <c r="J107" s="545"/>
      <c r="K107" s="549"/>
      <c r="L107" s="410"/>
    </row>
    <row r="108" spans="1:12" ht="15" customHeight="1">
      <c r="A108" s="410"/>
      <c r="B108" s="817" t="s">
        <v>604</v>
      </c>
      <c r="C108" s="818"/>
      <c r="D108" s="818"/>
      <c r="E108" s="818"/>
      <c r="F108" s="818"/>
      <c r="G108" s="818"/>
      <c r="H108" s="818"/>
      <c r="I108" s="818"/>
      <c r="J108" s="818"/>
      <c r="K108" s="818"/>
      <c r="L108" s="410"/>
    </row>
    <row r="109" spans="1:12" ht="15" customHeight="1">
      <c r="A109" s="410"/>
      <c r="B109" s="549"/>
      <c r="C109" s="455"/>
      <c r="D109" s="455"/>
      <c r="E109" s="547"/>
      <c r="F109" s="430"/>
      <c r="G109" s="547"/>
      <c r="H109" s="547"/>
      <c r="I109" s="547"/>
      <c r="J109" s="545"/>
      <c r="K109" s="549"/>
      <c r="L109" s="410"/>
    </row>
    <row r="110" spans="1:12" ht="59.25" customHeight="1">
      <c r="A110" s="410"/>
      <c r="B110" s="819" t="s">
        <v>605</v>
      </c>
      <c r="C110" s="808"/>
      <c r="D110" s="808"/>
      <c r="E110" s="808"/>
      <c r="F110" s="808"/>
      <c r="G110" s="808"/>
      <c r="H110" s="808"/>
      <c r="I110" s="808"/>
      <c r="J110" s="808"/>
      <c r="K110" s="808"/>
      <c r="L110" s="410"/>
    </row>
    <row r="111" spans="1:12" ht="15" thickBot="1">
      <c r="A111" s="410"/>
      <c r="B111" s="551"/>
      <c r="C111" s="551"/>
      <c r="D111" s="551"/>
      <c r="E111" s="551"/>
      <c r="F111" s="551"/>
      <c r="G111" s="551"/>
      <c r="H111" s="551"/>
      <c r="I111" s="551"/>
      <c r="J111" s="551"/>
      <c r="K111" s="551"/>
      <c r="L111" s="456"/>
    </row>
    <row r="112" spans="1:12" ht="14.25">
      <c r="A112" s="410"/>
      <c r="B112" s="416" t="s">
        <v>561</v>
      </c>
      <c r="C112" s="417"/>
      <c r="D112" s="417"/>
      <c r="E112" s="417"/>
      <c r="F112" s="417"/>
      <c r="G112" s="417"/>
      <c r="H112" s="417"/>
      <c r="I112" s="417"/>
      <c r="J112" s="417"/>
      <c r="K112" s="418"/>
      <c r="L112" s="410"/>
    </row>
    <row r="113" spans="1:12" ht="14.25">
      <c r="A113" s="410"/>
      <c r="B113" s="428"/>
      <c r="C113" s="420" t="s">
        <v>567</v>
      </c>
      <c r="D113" s="420"/>
      <c r="E113" s="420"/>
      <c r="F113" s="420"/>
      <c r="G113" s="420"/>
      <c r="H113" s="420"/>
      <c r="I113" s="420"/>
      <c r="J113" s="420"/>
      <c r="K113" s="422"/>
      <c r="L113" s="410"/>
    </row>
    <row r="114" spans="1:12" ht="14.25">
      <c r="A114" s="410"/>
      <c r="B114" s="428" t="s">
        <v>588</v>
      </c>
      <c r="C114" s="805">
        <v>312000000</v>
      </c>
      <c r="D114" s="805"/>
      <c r="E114" s="547" t="s">
        <v>566</v>
      </c>
      <c r="F114" s="547">
        <v>1000</v>
      </c>
      <c r="G114" s="547" t="s">
        <v>565</v>
      </c>
      <c r="H114" s="544">
        <f>C114/F114</f>
        <v>312000</v>
      </c>
      <c r="I114" s="420" t="s">
        <v>589</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590</v>
      </c>
      <c r="D116" s="420"/>
      <c r="E116" s="547"/>
      <c r="F116" s="420" t="s">
        <v>589</v>
      </c>
      <c r="G116" s="420"/>
      <c r="H116" s="420"/>
      <c r="I116" s="420"/>
      <c r="J116" s="420"/>
      <c r="K116" s="422"/>
      <c r="L116" s="410"/>
    </row>
    <row r="117" spans="1:12" ht="14.25">
      <c r="A117" s="410"/>
      <c r="B117" s="428" t="s">
        <v>591</v>
      </c>
      <c r="C117" s="805">
        <v>50000</v>
      </c>
      <c r="D117" s="805"/>
      <c r="E117" s="547" t="s">
        <v>566</v>
      </c>
      <c r="F117" s="544">
        <f>H114</f>
        <v>312000</v>
      </c>
      <c r="G117" s="547" t="s">
        <v>565</v>
      </c>
      <c r="H117" s="430">
        <f>C117/F117</f>
        <v>0.16025641025641027</v>
      </c>
      <c r="I117" s="420" t="s">
        <v>592</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602</v>
      </c>
      <c r="D119" s="438"/>
      <c r="E119" s="543"/>
      <c r="F119" s="438"/>
      <c r="G119" s="438"/>
      <c r="H119" s="438"/>
      <c r="I119" s="438"/>
      <c r="J119" s="438"/>
      <c r="K119" s="439"/>
      <c r="L119" s="410"/>
    </row>
    <row r="120" spans="1:12" ht="14.25">
      <c r="A120" s="410"/>
      <c r="B120" s="428" t="s">
        <v>594</v>
      </c>
      <c r="C120" s="805">
        <v>2500000</v>
      </c>
      <c r="D120" s="805"/>
      <c r="E120" s="547" t="s">
        <v>21</v>
      </c>
      <c r="F120" s="453">
        <v>0.25</v>
      </c>
      <c r="G120" s="547" t="s">
        <v>565</v>
      </c>
      <c r="H120" s="544">
        <f>C120*F120</f>
        <v>625000</v>
      </c>
      <c r="I120" s="420" t="s">
        <v>595</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596</v>
      </c>
      <c r="D122" s="438"/>
      <c r="E122" s="543"/>
      <c r="F122" s="438" t="s">
        <v>592</v>
      </c>
      <c r="G122" s="438"/>
      <c r="H122" s="438"/>
      <c r="I122" s="438"/>
      <c r="J122" s="438" t="s">
        <v>597</v>
      </c>
      <c r="K122" s="439"/>
      <c r="L122" s="410"/>
    </row>
    <row r="123" spans="1:12" ht="14.25">
      <c r="A123" s="410"/>
      <c r="B123" s="428" t="s">
        <v>598</v>
      </c>
      <c r="C123" s="815">
        <f>H120</f>
        <v>625000</v>
      </c>
      <c r="D123" s="815"/>
      <c r="E123" s="547" t="s">
        <v>21</v>
      </c>
      <c r="F123" s="430">
        <f>H117</f>
        <v>0.16025641025641027</v>
      </c>
      <c r="G123" s="547" t="s">
        <v>566</v>
      </c>
      <c r="H123" s="547">
        <v>1000</v>
      </c>
      <c r="I123" s="547" t="s">
        <v>565</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807" t="s">
        <v>557</v>
      </c>
      <c r="C125" s="807"/>
      <c r="D125" s="807"/>
      <c r="E125" s="807"/>
      <c r="F125" s="807"/>
      <c r="G125" s="807"/>
      <c r="H125" s="807"/>
      <c r="I125" s="807"/>
      <c r="J125" s="807"/>
      <c r="K125" s="807"/>
      <c r="L125" s="456"/>
    </row>
    <row r="126" spans="1:12" ht="14.25">
      <c r="A126" s="410"/>
      <c r="B126" s="799" t="s">
        <v>606</v>
      </c>
      <c r="C126" s="799"/>
      <c r="D126" s="799"/>
      <c r="E126" s="799"/>
      <c r="F126" s="799"/>
      <c r="G126" s="799"/>
      <c r="H126" s="799"/>
      <c r="I126" s="799"/>
      <c r="J126" s="799"/>
      <c r="K126" s="799"/>
      <c r="L126" s="456"/>
    </row>
    <row r="127" spans="1:12" ht="14.25">
      <c r="A127" s="410"/>
      <c r="B127" s="551"/>
      <c r="C127" s="551"/>
      <c r="D127" s="551"/>
      <c r="E127" s="551"/>
      <c r="F127" s="551"/>
      <c r="G127" s="551"/>
      <c r="H127" s="551"/>
      <c r="I127" s="551"/>
      <c r="J127" s="551"/>
      <c r="K127" s="551"/>
      <c r="L127" s="456"/>
    </row>
    <row r="128" spans="1:12" ht="14.25">
      <c r="A128" s="410"/>
      <c r="B128" s="799" t="s">
        <v>607</v>
      </c>
      <c r="C128" s="799"/>
      <c r="D128" s="799"/>
      <c r="E128" s="799"/>
      <c r="F128" s="799"/>
      <c r="G128" s="799"/>
      <c r="H128" s="799"/>
      <c r="I128" s="799"/>
      <c r="J128" s="799"/>
      <c r="K128" s="799"/>
      <c r="L128" s="456"/>
    </row>
    <row r="129" spans="1:12" ht="14.25">
      <c r="A129" s="410"/>
      <c r="B129" s="546"/>
      <c r="C129" s="546"/>
      <c r="D129" s="546"/>
      <c r="E129" s="546"/>
      <c r="F129" s="546"/>
      <c r="G129" s="546"/>
      <c r="H129" s="546"/>
      <c r="I129" s="546"/>
      <c r="J129" s="546"/>
      <c r="K129" s="546"/>
      <c r="L129" s="456"/>
    </row>
    <row r="130" spans="1:12" ht="74.25" customHeight="1">
      <c r="A130" s="410"/>
      <c r="B130" s="804" t="s">
        <v>608</v>
      </c>
      <c r="C130" s="804"/>
      <c r="D130" s="804"/>
      <c r="E130" s="804"/>
      <c r="F130" s="804"/>
      <c r="G130" s="804"/>
      <c r="H130" s="804"/>
      <c r="I130" s="804"/>
      <c r="J130" s="804"/>
      <c r="K130" s="804"/>
      <c r="L130" s="456"/>
    </row>
    <row r="131" spans="1:12" ht="15" thickBot="1">
      <c r="A131" s="410"/>
      <c r="L131" s="410"/>
    </row>
    <row r="132" spans="1:12" ht="14.25">
      <c r="A132" s="410"/>
      <c r="B132" s="416" t="s">
        <v>561</v>
      </c>
      <c r="C132" s="417"/>
      <c r="D132" s="417"/>
      <c r="E132" s="417"/>
      <c r="F132" s="417"/>
      <c r="G132" s="417"/>
      <c r="H132" s="417"/>
      <c r="I132" s="417"/>
      <c r="J132" s="417"/>
      <c r="K132" s="418"/>
      <c r="L132" s="410"/>
    </row>
    <row r="133" spans="1:12" ht="14.25">
      <c r="A133" s="410"/>
      <c r="B133" s="428"/>
      <c r="C133" s="820" t="s">
        <v>609</v>
      </c>
      <c r="D133" s="820"/>
      <c r="E133" s="420"/>
      <c r="F133" s="547" t="s">
        <v>610</v>
      </c>
      <c r="G133" s="420"/>
      <c r="H133" s="820" t="s">
        <v>595</v>
      </c>
      <c r="I133" s="820"/>
      <c r="J133" s="420"/>
      <c r="K133" s="422"/>
      <c r="L133" s="410"/>
    </row>
    <row r="134" spans="1:12" ht="14.25">
      <c r="A134" s="410"/>
      <c r="B134" s="428" t="s">
        <v>588</v>
      </c>
      <c r="C134" s="805">
        <v>100000</v>
      </c>
      <c r="D134" s="805"/>
      <c r="E134" s="547" t="s">
        <v>21</v>
      </c>
      <c r="F134" s="547">
        <v>0.115</v>
      </c>
      <c r="G134" s="547" t="s">
        <v>565</v>
      </c>
      <c r="H134" s="821">
        <f>C134*F134</f>
        <v>11500</v>
      </c>
      <c r="I134" s="821"/>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822" t="s">
        <v>595</v>
      </c>
      <c r="D136" s="822"/>
      <c r="E136" s="438"/>
      <c r="F136" s="543" t="s">
        <v>611</v>
      </c>
      <c r="G136" s="543"/>
      <c r="H136" s="438"/>
      <c r="I136" s="438"/>
      <c r="J136" s="438" t="s">
        <v>612</v>
      </c>
      <c r="K136" s="439"/>
      <c r="L136" s="410"/>
    </row>
    <row r="137" spans="1:12" ht="14.25">
      <c r="A137" s="410"/>
      <c r="B137" s="428" t="s">
        <v>591</v>
      </c>
      <c r="C137" s="821">
        <f>H134</f>
        <v>11500</v>
      </c>
      <c r="D137" s="821"/>
      <c r="E137" s="547" t="s">
        <v>21</v>
      </c>
      <c r="F137" s="457">
        <v>52.869</v>
      </c>
      <c r="G137" s="547" t="s">
        <v>566</v>
      </c>
      <c r="H137" s="547">
        <v>1000</v>
      </c>
      <c r="I137" s="547" t="s">
        <v>565</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557</v>
      </c>
      <c r="C139" s="463"/>
      <c r="D139" s="463"/>
      <c r="E139" s="464"/>
      <c r="F139" s="465"/>
      <c r="G139" s="464"/>
      <c r="H139" s="464"/>
      <c r="I139" s="464"/>
      <c r="J139" s="466"/>
      <c r="K139" s="467"/>
      <c r="L139" s="410"/>
    </row>
    <row r="140" spans="1:12" ht="14.25">
      <c r="A140" s="410"/>
      <c r="B140" s="468" t="s">
        <v>613</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614</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823" t="s">
        <v>615</v>
      </c>
      <c r="C144" s="824"/>
      <c r="D144" s="824"/>
      <c r="E144" s="824"/>
      <c r="F144" s="824"/>
      <c r="G144" s="824"/>
      <c r="H144" s="824"/>
      <c r="I144" s="824"/>
      <c r="J144" s="824"/>
      <c r="K144" s="825"/>
      <c r="L144" s="410"/>
    </row>
    <row r="145" spans="1:12" ht="15" thickBot="1">
      <c r="A145" s="410"/>
      <c r="B145" s="428"/>
      <c r="C145" s="544"/>
      <c r="D145" s="544"/>
      <c r="E145" s="547"/>
      <c r="F145" s="474"/>
      <c r="G145" s="547"/>
      <c r="H145" s="547"/>
      <c r="I145" s="547"/>
      <c r="J145" s="458"/>
      <c r="K145" s="422"/>
      <c r="L145" s="410"/>
    </row>
    <row r="146" spans="1:12" ht="14.25">
      <c r="A146" s="410"/>
      <c r="B146" s="416" t="s">
        <v>561</v>
      </c>
      <c r="C146" s="475"/>
      <c r="D146" s="475"/>
      <c r="E146" s="476"/>
      <c r="F146" s="477"/>
      <c r="G146" s="476"/>
      <c r="H146" s="476"/>
      <c r="I146" s="476"/>
      <c r="J146" s="478"/>
      <c r="K146" s="418"/>
      <c r="L146" s="410"/>
    </row>
    <row r="147" spans="1:12" ht="14.25">
      <c r="A147" s="410"/>
      <c r="B147" s="428"/>
      <c r="C147" s="821" t="s">
        <v>616</v>
      </c>
      <c r="D147" s="821"/>
      <c r="E147" s="547"/>
      <c r="F147" s="474" t="s">
        <v>617</v>
      </c>
      <c r="G147" s="547"/>
      <c r="H147" s="547"/>
      <c r="I147" s="547"/>
      <c r="J147" s="826" t="s">
        <v>618</v>
      </c>
      <c r="K147" s="827"/>
      <c r="L147" s="410"/>
    </row>
    <row r="148" spans="1:12" ht="14.25">
      <c r="A148" s="410"/>
      <c r="B148" s="428"/>
      <c r="C148" s="828">
        <v>52.869</v>
      </c>
      <c r="D148" s="828"/>
      <c r="E148" s="547" t="s">
        <v>21</v>
      </c>
      <c r="F148" s="548">
        <v>312000000</v>
      </c>
      <c r="G148" s="479" t="s">
        <v>566</v>
      </c>
      <c r="H148" s="547">
        <v>1000</v>
      </c>
      <c r="I148" s="547" t="s">
        <v>565</v>
      </c>
      <c r="J148" s="826">
        <f>C148*(F148/1000)</f>
        <v>16495128</v>
      </c>
      <c r="K148" s="829"/>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619</v>
      </c>
    </row>
    <row r="3" ht="31.5">
      <c r="A3" s="482" t="s">
        <v>620</v>
      </c>
    </row>
    <row r="4" ht="15.75">
      <c r="A4" s="483" t="s">
        <v>621</v>
      </c>
    </row>
    <row r="7" ht="31.5">
      <c r="A7" s="482" t="s">
        <v>622</v>
      </c>
    </row>
    <row r="8" ht="15.75">
      <c r="A8" s="483" t="s">
        <v>623</v>
      </c>
    </row>
    <row r="11" ht="15.75">
      <c r="A11" s="484" t="s">
        <v>624</v>
      </c>
    </row>
    <row r="12" ht="15.75">
      <c r="A12" s="483" t="s">
        <v>625</v>
      </c>
    </row>
    <row r="15" ht="15.75">
      <c r="A15" s="484" t="s">
        <v>626</v>
      </c>
    </row>
    <row r="16" ht="15.75">
      <c r="A16" s="483" t="s">
        <v>627</v>
      </c>
    </row>
    <row r="19" ht="15.75">
      <c r="A19" s="484" t="s">
        <v>628</v>
      </c>
    </row>
    <row r="20" ht="15.75">
      <c r="A20" s="483" t="s">
        <v>629</v>
      </c>
    </row>
    <row r="23" ht="15.75">
      <c r="A23" s="484" t="s">
        <v>630</v>
      </c>
    </row>
    <row r="24" ht="15.75">
      <c r="A24" s="483" t="s">
        <v>631</v>
      </c>
    </row>
    <row r="27" ht="15.75">
      <c r="A27" s="484" t="s">
        <v>632</v>
      </c>
    </row>
    <row r="28" ht="15.75">
      <c r="A28" s="483" t="s">
        <v>633</v>
      </c>
    </row>
    <row r="31" ht="15.75">
      <c r="A31" s="484" t="s">
        <v>634</v>
      </c>
    </row>
    <row r="32" ht="15.75">
      <c r="A32" s="483" t="s">
        <v>635</v>
      </c>
    </row>
    <row r="35" ht="15.75">
      <c r="A35" s="484" t="s">
        <v>636</v>
      </c>
    </row>
    <row r="36" ht="15.75">
      <c r="A36" s="483" t="s">
        <v>637</v>
      </c>
    </row>
    <row r="39" ht="15.75">
      <c r="A39" s="484" t="s">
        <v>638</v>
      </c>
    </row>
    <row r="40" ht="15.75">
      <c r="A40" s="483"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373" t="s">
        <v>794</v>
      </c>
    </row>
    <row r="2" ht="15.75">
      <c r="A2" s="701" t="s">
        <v>793</v>
      </c>
    </row>
    <row r="4" ht="15.75">
      <c r="A4" s="373" t="s">
        <v>795</v>
      </c>
    </row>
    <row r="5" ht="15.75">
      <c r="A5" s="656" t="s">
        <v>766</v>
      </c>
    </row>
    <row r="7" ht="15.75">
      <c r="A7" s="373" t="s">
        <v>796</v>
      </c>
    </row>
    <row r="8" ht="15.75">
      <c r="A8" s="120" t="s">
        <v>765</v>
      </c>
    </row>
    <row r="10" ht="15.75">
      <c r="A10" s="373" t="s">
        <v>797</v>
      </c>
    </row>
    <row r="11" ht="15.75">
      <c r="A11" s="553" t="s">
        <v>763</v>
      </c>
    </row>
    <row r="13" ht="15.75">
      <c r="A13" s="373" t="s">
        <v>798</v>
      </c>
    </row>
    <row r="14" ht="15.75">
      <c r="A14" s="1" t="s">
        <v>762</v>
      </c>
    </row>
    <row r="16" ht="15.75">
      <c r="A16" s="373" t="s">
        <v>799</v>
      </c>
    </row>
    <row r="17" ht="15.75">
      <c r="A17" s="553" t="s">
        <v>691</v>
      </c>
    </row>
    <row r="18" ht="15.75">
      <c r="A18" s="553" t="s">
        <v>692</v>
      </c>
    </row>
    <row r="19" ht="15.75">
      <c r="A19" s="120" t="s">
        <v>693</v>
      </c>
    </row>
    <row r="20" ht="15.75">
      <c r="A20" s="120" t="s">
        <v>694</v>
      </c>
    </row>
    <row r="21" ht="15.75">
      <c r="A21" s="120" t="s">
        <v>695</v>
      </c>
    </row>
    <row r="22" ht="15.75">
      <c r="A22" s="120" t="s">
        <v>696</v>
      </c>
    </row>
    <row r="23" ht="15.75">
      <c r="A23" s="120" t="s">
        <v>697</v>
      </c>
    </row>
    <row r="24" ht="15.75">
      <c r="A24" s="120" t="s">
        <v>698</v>
      </c>
    </row>
    <row r="25" ht="15.75">
      <c r="A25" s="120" t="s">
        <v>699</v>
      </c>
    </row>
    <row r="26" ht="15.75">
      <c r="A26" s="120" t="s">
        <v>700</v>
      </c>
    </row>
    <row r="27" ht="47.25">
      <c r="A27" s="345" t="s">
        <v>701</v>
      </c>
    </row>
    <row r="28" ht="31.5">
      <c r="A28" s="345" t="s">
        <v>702</v>
      </c>
    </row>
    <row r="29" ht="15.75">
      <c r="A29" s="120" t="s">
        <v>703</v>
      </c>
    </row>
    <row r="30" ht="15.75">
      <c r="A30" s="120" t="s">
        <v>704</v>
      </c>
    </row>
    <row r="31" ht="15.75">
      <c r="A31" s="120" t="s">
        <v>705</v>
      </c>
    </row>
    <row r="32" ht="15.75">
      <c r="A32" s="120" t="s">
        <v>706</v>
      </c>
    </row>
    <row r="33" ht="15.75">
      <c r="A33" s="120" t="s">
        <v>707</v>
      </c>
    </row>
    <row r="34" ht="15.75">
      <c r="A34" s="120" t="s">
        <v>708</v>
      </c>
    </row>
    <row r="35" ht="15.75">
      <c r="A35" s="120" t="s">
        <v>709</v>
      </c>
    </row>
    <row r="36" ht="15.75">
      <c r="A36" s="120" t="s">
        <v>710</v>
      </c>
    </row>
    <row r="37" ht="15.75">
      <c r="A37" s="120" t="s">
        <v>711</v>
      </c>
    </row>
    <row r="38" ht="15.75">
      <c r="A38" s="120" t="s">
        <v>712</v>
      </c>
    </row>
    <row r="40" ht="15.75">
      <c r="A40" s="373" t="s">
        <v>800</v>
      </c>
    </row>
    <row r="41" ht="15.75">
      <c r="A41" s="1" t="s">
        <v>684</v>
      </c>
    </row>
    <row r="43" ht="15.75">
      <c r="A43" s="373" t="s">
        <v>801</v>
      </c>
    </row>
    <row r="44" ht="15.75">
      <c r="A44" s="534" t="s">
        <v>682</v>
      </c>
    </row>
    <row r="45" ht="15.75">
      <c r="A45" s="534" t="s">
        <v>683</v>
      </c>
    </row>
    <row r="47" ht="15.75">
      <c r="A47" s="373" t="s">
        <v>802</v>
      </c>
    </row>
    <row r="48" ht="15.75">
      <c r="A48" s="534" t="s">
        <v>651</v>
      </c>
    </row>
    <row r="49" ht="15.75">
      <c r="A49" s="534" t="s">
        <v>652</v>
      </c>
    </row>
    <row r="50" ht="31.5">
      <c r="A50" s="535" t="s">
        <v>653</v>
      </c>
    </row>
    <row r="51" ht="15.75">
      <c r="A51" s="534" t="s">
        <v>654</v>
      </c>
    </row>
    <row r="52" ht="15.75">
      <c r="A52" s="534" t="s">
        <v>655</v>
      </c>
    </row>
    <row r="53" ht="15.75">
      <c r="A53" s="534" t="s">
        <v>656</v>
      </c>
    </row>
    <row r="54" ht="15.75">
      <c r="A54" s="534" t="s">
        <v>657</v>
      </c>
    </row>
    <row r="55" ht="15.75">
      <c r="A55" s="534" t="s">
        <v>658</v>
      </c>
    </row>
    <row r="56" ht="15.75">
      <c r="A56" s="534" t="s">
        <v>659</v>
      </c>
    </row>
    <row r="57" ht="15.75">
      <c r="A57" s="534" t="s">
        <v>660</v>
      </c>
    </row>
    <row r="58" ht="15.75">
      <c r="A58" s="534" t="s">
        <v>661</v>
      </c>
    </row>
    <row r="59" ht="15.75">
      <c r="A59" s="534" t="s">
        <v>662</v>
      </c>
    </row>
    <row r="60" ht="15.75">
      <c r="A60" s="534" t="s">
        <v>663</v>
      </c>
    </row>
    <row r="61" ht="15.75">
      <c r="A61" s="534" t="s">
        <v>664</v>
      </c>
    </row>
    <row r="62" ht="15.75">
      <c r="A62" s="534" t="s">
        <v>665</v>
      </c>
    </row>
    <row r="63" ht="15.75">
      <c r="A63" s="534" t="s">
        <v>666</v>
      </c>
    </row>
    <row r="64" ht="15.75">
      <c r="A64" s="534" t="s">
        <v>667</v>
      </c>
    </row>
    <row r="65" ht="15.75">
      <c r="A65" s="534" t="s">
        <v>668</v>
      </c>
    </row>
    <row r="66" ht="15.75">
      <c r="A66" s="534" t="s">
        <v>669</v>
      </c>
    </row>
    <row r="67" ht="15.75">
      <c r="A67" s="534" t="s">
        <v>670</v>
      </c>
    </row>
    <row r="68" ht="15.75">
      <c r="A68" s="534" t="s">
        <v>671</v>
      </c>
    </row>
    <row r="69" ht="15.75">
      <c r="A69" s="534" t="s">
        <v>672</v>
      </c>
    </row>
    <row r="70" ht="15.75">
      <c r="A70" s="534" t="s">
        <v>673</v>
      </c>
    </row>
    <row r="71" ht="15.75">
      <c r="A71" s="534"/>
    </row>
    <row r="72" ht="15.75">
      <c r="A72" s="373" t="s">
        <v>803</v>
      </c>
    </row>
    <row r="73" ht="15.75">
      <c r="A73" s="120" t="s">
        <v>544</v>
      </c>
    </row>
    <row r="74" ht="15.75">
      <c r="A74" s="120" t="s">
        <v>542</v>
      </c>
    </row>
    <row r="75" ht="15.75">
      <c r="A75" s="120" t="s">
        <v>543</v>
      </c>
    </row>
    <row r="77" ht="15.75">
      <c r="A77" s="382" t="s">
        <v>804</v>
      </c>
    </row>
    <row r="78" ht="15.75">
      <c r="A78" s="120" t="s">
        <v>541</v>
      </c>
    </row>
    <row r="80" ht="15.75">
      <c r="A80" s="373" t="s">
        <v>805</v>
      </c>
    </row>
    <row r="81" ht="15.75">
      <c r="A81" s="374" t="s">
        <v>529</v>
      </c>
    </row>
    <row r="82" ht="15.75">
      <c r="A82" s="374" t="s">
        <v>530</v>
      </c>
    </row>
    <row r="83" ht="15.75">
      <c r="A83" s="374" t="s">
        <v>531</v>
      </c>
    </row>
    <row r="84" ht="15.75">
      <c r="A84" s="120" t="s">
        <v>532</v>
      </c>
    </row>
    <row r="86" ht="15.75">
      <c r="A86" s="343" t="s">
        <v>806</v>
      </c>
    </row>
    <row r="87" ht="15.75">
      <c r="A87" s="351" t="s">
        <v>297</v>
      </c>
    </row>
    <row r="88" ht="15.75">
      <c r="A88" s="351" t="s">
        <v>298</v>
      </c>
    </row>
    <row r="89" ht="15.75">
      <c r="A89" s="351" t="s">
        <v>299</v>
      </c>
    </row>
    <row r="90" ht="15.75">
      <c r="A90" s="351" t="s">
        <v>300</v>
      </c>
    </row>
    <row r="91" ht="15.75">
      <c r="A91" s="351" t="s">
        <v>301</v>
      </c>
    </row>
    <row r="92" ht="15.75">
      <c r="A92" s="351" t="s">
        <v>302</v>
      </c>
    </row>
    <row r="93" ht="15.75">
      <c r="A93" s="352" t="s">
        <v>304</v>
      </c>
    </row>
    <row r="95" ht="15.75">
      <c r="A95" s="343" t="s">
        <v>807</v>
      </c>
    </row>
    <row r="96" ht="15.75">
      <c r="A96" s="1" t="s">
        <v>266</v>
      </c>
    </row>
    <row r="97" ht="15.75">
      <c r="A97" s="1" t="s">
        <v>269</v>
      </c>
    </row>
    <row r="98" ht="15.75">
      <c r="A98" s="1" t="s">
        <v>271</v>
      </c>
    </row>
    <row r="99" ht="15.75">
      <c r="A99" s="1" t="s">
        <v>270</v>
      </c>
    </row>
    <row r="101" ht="15.75">
      <c r="A101" s="343" t="s">
        <v>808</v>
      </c>
    </row>
    <row r="102" ht="15.75">
      <c r="A102" s="1" t="s">
        <v>265</v>
      </c>
    </row>
    <row r="104" ht="15.75">
      <c r="A104" s="343" t="s">
        <v>261</v>
      </c>
    </row>
    <row r="105" ht="15.75">
      <c r="A105" s="1" t="s">
        <v>262</v>
      </c>
    </row>
    <row r="106" ht="15.75">
      <c r="A106" s="1" t="s">
        <v>263</v>
      </c>
    </row>
    <row r="107" ht="15.75">
      <c r="A107" s="1" t="s">
        <v>264</v>
      </c>
    </row>
    <row r="109" ht="15.75">
      <c r="A109" s="344" t="s">
        <v>257</v>
      </c>
    </row>
    <row r="110" ht="15.75">
      <c r="A110" s="1" t="s">
        <v>258</v>
      </c>
    </row>
    <row r="111" ht="15.75">
      <c r="A111" s="1" t="s">
        <v>259</v>
      </c>
    </row>
    <row r="113" ht="15.75">
      <c r="A113" s="344" t="s">
        <v>236</v>
      </c>
    </row>
    <row r="114" ht="15.75">
      <c r="A114" s="1" t="s">
        <v>220</v>
      </c>
    </row>
    <row r="115" ht="33" customHeight="1">
      <c r="A115" s="3" t="s">
        <v>221</v>
      </c>
    </row>
    <row r="116" ht="15.75">
      <c r="A116" s="1" t="s">
        <v>222</v>
      </c>
    </row>
    <row r="117" ht="15.75">
      <c r="A117" s="1" t="s">
        <v>223</v>
      </c>
    </row>
    <row r="118" ht="15.75">
      <c r="A118" s="1" t="s">
        <v>224</v>
      </c>
    </row>
    <row r="119" ht="15.75">
      <c r="A119" s="1" t="s">
        <v>225</v>
      </c>
    </row>
    <row r="120" ht="36" customHeight="1">
      <c r="A120" s="3" t="s">
        <v>226</v>
      </c>
    </row>
    <row r="121" ht="35.25" customHeight="1">
      <c r="A121" s="3" t="s">
        <v>227</v>
      </c>
    </row>
    <row r="122" ht="33" customHeight="1">
      <c r="A122" s="3" t="s">
        <v>228</v>
      </c>
    </row>
    <row r="123" ht="24" customHeight="1">
      <c r="A123" s="3" t="s">
        <v>229</v>
      </c>
    </row>
    <row r="124" ht="35.25" customHeight="1">
      <c r="A124" s="3" t="s">
        <v>230</v>
      </c>
    </row>
    <row r="125" ht="15.75">
      <c r="A125" s="1" t="s">
        <v>231</v>
      </c>
    </row>
    <row r="126" ht="15.75">
      <c r="A126" s="1" t="s">
        <v>232</v>
      </c>
    </row>
    <row r="127" ht="15.75">
      <c r="A127" s="1" t="s">
        <v>233</v>
      </c>
    </row>
    <row r="128" ht="15.75">
      <c r="A128" s="1" t="s">
        <v>234</v>
      </c>
    </row>
    <row r="129" ht="15.75">
      <c r="A129" s="1" t="s">
        <v>235</v>
      </c>
    </row>
    <row r="132" ht="15.75">
      <c r="A132" s="1" t="s">
        <v>161</v>
      </c>
    </row>
    <row r="133" ht="15.75">
      <c r="A133" s="1" t="s">
        <v>162</v>
      </c>
    </row>
    <row r="134" ht="15.75">
      <c r="A134" s="1" t="s">
        <v>163</v>
      </c>
    </row>
    <row r="135" ht="15.75">
      <c r="A135" s="1" t="s">
        <v>164</v>
      </c>
    </row>
    <row r="136" ht="15.75">
      <c r="A136" s="1" t="s">
        <v>165</v>
      </c>
    </row>
    <row r="137" ht="15.75">
      <c r="A137" s="1" t="s">
        <v>166</v>
      </c>
    </row>
    <row r="138" ht="15.75">
      <c r="A138" s="1" t="s">
        <v>167</v>
      </c>
    </row>
    <row r="139" ht="15.75">
      <c r="A139" s="1" t="s">
        <v>168</v>
      </c>
    </row>
    <row r="140" ht="15.75">
      <c r="A140" s="1" t="s">
        <v>169</v>
      </c>
    </row>
    <row r="141" ht="15.75">
      <c r="A141" s="1" t="s">
        <v>170</v>
      </c>
    </row>
    <row r="142" ht="15.75">
      <c r="A142" s="1" t="s">
        <v>171</v>
      </c>
    </row>
    <row r="143" ht="15.75">
      <c r="A143" s="1" t="s">
        <v>172</v>
      </c>
    </row>
    <row r="144" ht="15.75">
      <c r="A144" s="1" t="s">
        <v>173</v>
      </c>
    </row>
    <row r="145" ht="15.75">
      <c r="A145" s="1" t="s">
        <v>174</v>
      </c>
    </row>
    <row r="146" ht="15.75">
      <c r="A146" s="1" t="s">
        <v>175</v>
      </c>
    </row>
    <row r="147" ht="15.75">
      <c r="A147" s="1" t="s">
        <v>182</v>
      </c>
    </row>
    <row r="148" ht="15.75">
      <c r="A148" s="1" t="s">
        <v>189</v>
      </c>
    </row>
    <row r="149" ht="15.75">
      <c r="A149" s="1" t="s">
        <v>190</v>
      </c>
    </row>
    <row r="150" ht="15.75">
      <c r="A150" s="1" t="s">
        <v>204</v>
      </c>
    </row>
    <row r="151" ht="15.75">
      <c r="A151" s="1" t="s">
        <v>205</v>
      </c>
    </row>
    <row r="152" ht="15.75">
      <c r="A152" s="1" t="s">
        <v>206</v>
      </c>
    </row>
    <row r="153" ht="15.75">
      <c r="A153" s="1" t="s">
        <v>199</v>
      </c>
    </row>
    <row r="154" ht="15.75">
      <c r="A154" s="1" t="s">
        <v>200</v>
      </c>
    </row>
    <row r="155" ht="15.75">
      <c r="A155" s="1" t="s">
        <v>207</v>
      </c>
    </row>
    <row r="156" ht="15.75">
      <c r="A156" s="1" t="s">
        <v>208</v>
      </c>
    </row>
    <row r="157" ht="15.75">
      <c r="A157" s="1" t="s">
        <v>217</v>
      </c>
    </row>
    <row r="158" ht="15.75">
      <c r="A158" s="1" t="s">
        <v>218</v>
      </c>
    </row>
    <row r="159" ht="15.75">
      <c r="A159" s="1" t="s">
        <v>219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49">
      <selection activeCell="D8" sqref="D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PIEDMONT  CEMETERY #1</v>
      </c>
      <c r="B1" s="32"/>
      <c r="C1" s="32"/>
      <c r="D1" s="32"/>
      <c r="E1" s="11">
        <f>inputPrYr!D11</f>
        <v>2015</v>
      </c>
    </row>
    <row r="2" spans="1:5" ht="15">
      <c r="A2" s="32"/>
      <c r="B2" s="32"/>
      <c r="C2" s="32"/>
      <c r="D2" s="32"/>
      <c r="E2" s="32"/>
    </row>
    <row r="3" spans="1:5" ht="15">
      <c r="A3" s="713" t="s">
        <v>136</v>
      </c>
      <c r="B3" s="714"/>
      <c r="C3" s="714"/>
      <c r="D3" s="714"/>
      <c r="E3" s="714"/>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GREENWOOD</v>
      </c>
      <c r="B7" s="17"/>
      <c r="C7" s="17"/>
      <c r="D7" s="645">
        <v>1833405</v>
      </c>
      <c r="E7" s="21"/>
    </row>
    <row r="8" spans="1:5" ht="15.75">
      <c r="A8" s="24" t="str">
        <f>inputPrYr!$D$6</f>
        <v>ELK</v>
      </c>
      <c r="B8" s="17"/>
      <c r="C8" s="17"/>
      <c r="D8" s="646">
        <v>281191</v>
      </c>
      <c r="E8" s="21"/>
    </row>
    <row r="9" spans="1:5" ht="15.75">
      <c r="A9" s="24">
        <f>inputPrYr!$D$7</f>
        <v>0</v>
      </c>
      <c r="B9" s="17"/>
      <c r="C9" s="17"/>
      <c r="D9" s="646"/>
      <c r="E9" s="21"/>
    </row>
    <row r="10" spans="1:5" ht="15.75">
      <c r="A10" s="24">
        <f>inputPrYr!$D$8</f>
        <v>0</v>
      </c>
      <c r="B10" s="17"/>
      <c r="C10" s="17"/>
      <c r="D10" s="646"/>
      <c r="E10" s="21"/>
    </row>
    <row r="11" spans="1:5" ht="15.75">
      <c r="A11" s="24">
        <f>inputPrYr!$D$9</f>
        <v>0</v>
      </c>
      <c r="B11" s="17"/>
      <c r="C11" s="17"/>
      <c r="D11" s="646"/>
      <c r="E11" s="21"/>
    </row>
    <row r="12" spans="1:5" ht="16.5" thickBot="1">
      <c r="A12" s="24" t="str">
        <f>CONCATENATE("Total Assessed Valuation for ",inputPrYr!D11-1,"")</f>
        <v>Total Assessed Valuation for 2014</v>
      </c>
      <c r="B12" s="17"/>
      <c r="C12" s="17"/>
      <c r="D12" s="17"/>
      <c r="E12" s="51">
        <f>SUM(D7:D11)</f>
        <v>2114596</v>
      </c>
    </row>
    <row r="13" spans="1:5" ht="16.5" thickTop="1">
      <c r="A13" s="44" t="str">
        <f>CONCATENATE("New Improvements for ",inputPrYr!D11-1,":")</f>
        <v>New Improvements for 2014:</v>
      </c>
      <c r="B13" s="17"/>
      <c r="C13" s="17"/>
      <c r="D13" s="17"/>
      <c r="E13" s="42"/>
    </row>
    <row r="14" spans="1:5" ht="15.75">
      <c r="A14" s="24" t="str">
        <f>inputPrYr!$D$4</f>
        <v>GREENWOOD</v>
      </c>
      <c r="B14" s="17"/>
      <c r="C14" s="17"/>
      <c r="D14" s="647">
        <v>7810</v>
      </c>
      <c r="E14" s="11"/>
    </row>
    <row r="15" spans="1:5" ht="15.75">
      <c r="A15" s="24" t="str">
        <f>inputPrYr!$D$6</f>
        <v>ELK</v>
      </c>
      <c r="B15" s="17"/>
      <c r="C15" s="17"/>
      <c r="D15" s="647">
        <v>37</v>
      </c>
      <c r="E15" s="11"/>
    </row>
    <row r="16" spans="1:5" ht="15.75">
      <c r="A16" s="24">
        <f>inputPrYr!$D$7</f>
        <v>0</v>
      </c>
      <c r="B16" s="17"/>
      <c r="C16" s="17"/>
      <c r="D16" s="647"/>
      <c r="E16" s="11"/>
    </row>
    <row r="17" spans="1:5" ht="15.75">
      <c r="A17" s="24">
        <f>inputPrYr!$D$8</f>
        <v>0</v>
      </c>
      <c r="B17" s="17"/>
      <c r="C17" s="17"/>
      <c r="D17" s="647"/>
      <c r="E17" s="11"/>
    </row>
    <row r="18" spans="1:5" ht="15.75">
      <c r="A18" s="24">
        <f>inputPrYr!$D$9</f>
        <v>0</v>
      </c>
      <c r="B18" s="17"/>
      <c r="C18" s="17"/>
      <c r="D18" s="647"/>
      <c r="E18" s="17"/>
    </row>
    <row r="19" spans="1:5" ht="16.5" thickBot="1">
      <c r="A19" s="24" t="str">
        <f>CONCATENATE("Total New Improvements for ",inputPrYr!D11-1,"")</f>
        <v>Total New Improvements for 2014</v>
      </c>
      <c r="B19" s="17"/>
      <c r="C19" s="17"/>
      <c r="D19" s="17"/>
      <c r="E19" s="52">
        <f>SUM(D14:D18)</f>
        <v>7847</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GREENWOOD</v>
      </c>
      <c r="B21" s="17"/>
      <c r="C21" s="17"/>
      <c r="D21" s="647">
        <v>22648</v>
      </c>
      <c r="E21" s="11"/>
    </row>
    <row r="22" spans="1:5" ht="15.75">
      <c r="A22" s="24" t="str">
        <f>inputPrYr!$D$6</f>
        <v>ELK</v>
      </c>
      <c r="B22" s="17"/>
      <c r="C22" s="17"/>
      <c r="D22" s="648">
        <v>5738</v>
      </c>
      <c r="E22" s="11"/>
    </row>
    <row r="23" spans="1:5" ht="15.75">
      <c r="A23" s="24">
        <f>inputPrYr!$D$7</f>
        <v>0</v>
      </c>
      <c r="B23" s="17"/>
      <c r="C23" s="17"/>
      <c r="D23" s="648"/>
      <c r="E23" s="11"/>
    </row>
    <row r="24" spans="1:5" ht="15.75">
      <c r="A24" s="24">
        <f>inputPrYr!$D$8</f>
        <v>0</v>
      </c>
      <c r="B24" s="17"/>
      <c r="C24" s="17"/>
      <c r="D24" s="648"/>
      <c r="E24" s="11"/>
    </row>
    <row r="25" spans="1:5" ht="15.75">
      <c r="A25" s="24">
        <f>inputPrYr!$D$9</f>
        <v>0</v>
      </c>
      <c r="B25" s="17"/>
      <c r="C25" s="17"/>
      <c r="D25" s="648"/>
      <c r="E25" s="11"/>
    </row>
    <row r="26" spans="1:5" ht="16.5" thickBot="1">
      <c r="A26" s="24" t="str">
        <f>CONCATENATE("Total Personal Property - ",inputPrYr!D11-1,"")</f>
        <v>Total Personal Property - 2014</v>
      </c>
      <c r="B26" s="17"/>
      <c r="C26" s="17"/>
      <c r="D26" s="17"/>
      <c r="E26" s="52">
        <f>SUM(D21:D25)</f>
        <v>28386</v>
      </c>
    </row>
    <row r="27" spans="1:5" ht="16.5" thickTop="1">
      <c r="A27" s="44" t="str">
        <f>CONCATENATE("Property that has changed in use for ",inputPrYr!D11-1,":")</f>
        <v>Property that has changed in use for 2014:</v>
      </c>
      <c r="B27" s="17"/>
      <c r="C27" s="17"/>
      <c r="D27" s="17"/>
      <c r="E27" s="42"/>
    </row>
    <row r="28" spans="1:5" ht="15.75">
      <c r="A28" s="24" t="str">
        <f>inputPrYr!$D$4</f>
        <v>GREENWOOD</v>
      </c>
      <c r="B28" s="17"/>
      <c r="C28" s="17"/>
      <c r="D28" s="647">
        <v>189</v>
      </c>
      <c r="E28" s="11"/>
    </row>
    <row r="29" spans="1:5" ht="15.75">
      <c r="A29" s="24" t="str">
        <f>inputPrYr!$D$6</f>
        <v>ELK</v>
      </c>
      <c r="B29" s="17"/>
      <c r="C29" s="17"/>
      <c r="D29" s="648">
        <v>0</v>
      </c>
      <c r="E29" s="11"/>
    </row>
    <row r="30" spans="1:5" ht="15.75">
      <c r="A30" s="24">
        <f>inputPrYr!$D$7</f>
        <v>0</v>
      </c>
      <c r="B30" s="17"/>
      <c r="C30" s="17"/>
      <c r="D30" s="648"/>
      <c r="E30" s="11"/>
    </row>
    <row r="31" spans="1:5" ht="15.75">
      <c r="A31" s="24">
        <f>inputPrYr!$D$8</f>
        <v>0</v>
      </c>
      <c r="B31" s="17"/>
      <c r="C31" s="17"/>
      <c r="D31" s="648"/>
      <c r="E31" s="11"/>
    </row>
    <row r="32" spans="1:5" ht="15.75">
      <c r="A32" s="24">
        <f>inputPrYr!$D$9</f>
        <v>0</v>
      </c>
      <c r="B32" s="17"/>
      <c r="C32" s="17"/>
      <c r="D32" s="648"/>
      <c r="E32" s="11"/>
    </row>
    <row r="33" spans="1:5" ht="16.5" thickBot="1">
      <c r="A33" s="24" t="str">
        <f>CONCATENATE("Total Property that has changed in use for ",inputPrYr!D11-1,"")</f>
        <v>Total Property that has changed in use for 2014</v>
      </c>
      <c r="B33" s="17"/>
      <c r="C33" s="17"/>
      <c r="D33" s="17"/>
      <c r="E33" s="52">
        <f>SUM(D28:D32)</f>
        <v>189</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GREENWOOD</v>
      </c>
      <c r="B35" s="17"/>
      <c r="C35" s="17"/>
      <c r="D35" s="43">
        <v>23843</v>
      </c>
      <c r="E35" s="42"/>
    </row>
    <row r="36" spans="1:5" ht="15.75">
      <c r="A36" s="24" t="str">
        <f>inputPrYr!$D$6</f>
        <v>ELK</v>
      </c>
      <c r="B36" s="17"/>
      <c r="C36" s="17"/>
      <c r="D36" s="43">
        <v>3939</v>
      </c>
      <c r="E36" s="42"/>
    </row>
    <row r="37" spans="1:5" ht="15.75">
      <c r="A37" s="24">
        <f>inputPrYr!$D$7</f>
        <v>0</v>
      </c>
      <c r="B37" s="17"/>
      <c r="C37" s="17"/>
      <c r="D37" s="43"/>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27782</v>
      </c>
    </row>
    <row r="41" spans="1:5" ht="16.5" thickTop="1">
      <c r="A41" s="23"/>
      <c r="B41" s="11"/>
      <c r="C41" s="11"/>
      <c r="D41" s="11"/>
      <c r="E41" s="36"/>
    </row>
    <row r="42" spans="1:5" ht="15.75">
      <c r="A42" s="57" t="str">
        <f>CONCATENATE("Neighborhood Revitalization - ",E1,":")</f>
        <v>Neighborhood Revitalization - 2015:</v>
      </c>
      <c r="B42" s="11"/>
      <c r="C42" s="11"/>
      <c r="D42" s="43">
        <v>0</v>
      </c>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15" t="s">
        <v>19</v>
      </c>
      <c r="B45" s="716"/>
      <c r="C45" s="32"/>
      <c r="D45" s="38" t="s">
        <v>56</v>
      </c>
      <c r="E45" s="34"/>
    </row>
    <row r="46" spans="1:5" ht="15.75">
      <c r="A46" s="39" t="s">
        <v>5</v>
      </c>
      <c r="B46" s="14"/>
      <c r="C46" s="17"/>
      <c r="D46" s="649">
        <v>2.362</v>
      </c>
      <c r="E46" s="34"/>
    </row>
    <row r="47" spans="1:5" ht="15.75">
      <c r="A47" s="40" t="s">
        <v>260</v>
      </c>
      <c r="B47" s="41"/>
      <c r="C47" s="17"/>
      <c r="D47" s="649"/>
      <c r="E47" s="34"/>
    </row>
    <row r="48" spans="1:5" ht="15.75">
      <c r="A48" s="40">
        <f>inputPrYr!B27</f>
        <v>0</v>
      </c>
      <c r="B48" s="41"/>
      <c r="C48" s="17"/>
      <c r="D48" s="649"/>
      <c r="E48" s="34"/>
    </row>
    <row r="49" spans="1:5" ht="15.75">
      <c r="A49" s="40">
        <f>inputPrYr!B28</f>
        <v>0</v>
      </c>
      <c r="B49" s="41"/>
      <c r="C49" s="17"/>
      <c r="D49" s="649"/>
      <c r="E49" s="34"/>
    </row>
    <row r="50" spans="1:5" ht="15.75">
      <c r="A50" s="40"/>
      <c r="B50" s="41"/>
      <c r="C50" s="17"/>
      <c r="D50" s="649"/>
      <c r="E50" s="34"/>
    </row>
    <row r="51" spans="1:5" ht="15.75">
      <c r="A51" s="40"/>
      <c r="B51" s="41"/>
      <c r="C51" s="17"/>
      <c r="D51" s="649"/>
      <c r="E51" s="34"/>
    </row>
    <row r="52" spans="1:5" ht="15.75">
      <c r="A52" s="32"/>
      <c r="B52" s="14" t="s">
        <v>184</v>
      </c>
      <c r="C52" s="49"/>
      <c r="D52" s="53">
        <f>SUM(D46:D51)</f>
        <v>2.362</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GREENWOOD</v>
      </c>
      <c r="B55" s="32"/>
      <c r="C55" s="32"/>
      <c r="D55" s="43">
        <v>1788954</v>
      </c>
      <c r="E55" s="32"/>
    </row>
    <row r="56" spans="1:5" ht="15.75">
      <c r="A56" s="24" t="str">
        <f>inputPrYr!$D$6</f>
        <v>ELK</v>
      </c>
      <c r="B56" s="32"/>
      <c r="C56" s="32"/>
      <c r="D56" s="43">
        <v>325882</v>
      </c>
      <c r="E56" s="32"/>
    </row>
    <row r="57" spans="1:5" ht="15.75">
      <c r="A57" s="24">
        <f>inputPrYr!$D$7</f>
        <v>0</v>
      </c>
      <c r="B57" s="32"/>
      <c r="C57" s="32"/>
      <c r="D57" s="43"/>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2114836</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129</v>
      </c>
      <c r="B63" s="11"/>
      <c r="C63" s="11"/>
      <c r="D63" s="11"/>
      <c r="E63" s="34"/>
    </row>
    <row r="64" spans="1:5" ht="15.75">
      <c r="A64" s="24" t="str">
        <f>inputPrYr!$D$4</f>
        <v>GREENWOOD</v>
      </c>
      <c r="B64" s="11"/>
      <c r="C64" s="11"/>
      <c r="D64" s="645">
        <v>271</v>
      </c>
      <c r="E64" s="21"/>
    </row>
    <row r="65" spans="1:5" ht="15.75">
      <c r="A65" s="24" t="str">
        <f>inputPrYr!$D$6</f>
        <v>ELK</v>
      </c>
      <c r="B65" s="11"/>
      <c r="C65" s="11"/>
      <c r="D65" s="646">
        <v>52</v>
      </c>
      <c r="E65" s="21"/>
    </row>
    <row r="66" spans="1:5" ht="15.75">
      <c r="A66" s="24">
        <f>inputPrYr!$D$7</f>
        <v>0</v>
      </c>
      <c r="B66" s="11"/>
      <c r="C66" s="11"/>
      <c r="D66" s="646"/>
      <c r="E66" s="21"/>
    </row>
    <row r="67" spans="1:5" ht="15.75">
      <c r="A67" s="24">
        <f>inputPrYr!$D$8</f>
        <v>0</v>
      </c>
      <c r="B67" s="11"/>
      <c r="C67" s="11"/>
      <c r="D67" s="646"/>
      <c r="E67" s="21"/>
    </row>
    <row r="68" spans="1:5" ht="15.75">
      <c r="A68" s="24">
        <f>inputPrYr!$D$9</f>
        <v>0</v>
      </c>
      <c r="B68" s="11"/>
      <c r="C68" s="11"/>
      <c r="D68" s="646"/>
      <c r="E68" s="21"/>
    </row>
    <row r="69" spans="1:5" ht="16.5" thickBot="1">
      <c r="A69" s="13" t="s">
        <v>128</v>
      </c>
      <c r="B69" s="11"/>
      <c r="C69" s="11"/>
      <c r="D69" s="11"/>
      <c r="E69" s="48">
        <f>SUM(D64:D68)</f>
        <v>323</v>
      </c>
    </row>
    <row r="70" spans="1:5" ht="16.5" thickTop="1">
      <c r="A70" s="45" t="s">
        <v>130</v>
      </c>
      <c r="B70" s="11"/>
      <c r="C70" s="11"/>
      <c r="D70" s="11"/>
      <c r="E70" s="34"/>
    </row>
    <row r="71" spans="1:5" ht="15.75">
      <c r="A71" s="24" t="str">
        <f>inputPrYr!$D$4</f>
        <v>GREENWOOD</v>
      </c>
      <c r="B71" s="11"/>
      <c r="C71" s="11"/>
      <c r="D71" s="645">
        <v>1</v>
      </c>
      <c r="E71" s="21"/>
    </row>
    <row r="72" spans="1:5" ht="15.75">
      <c r="A72" s="24" t="str">
        <f>inputPrYr!$D$6</f>
        <v>ELK</v>
      </c>
      <c r="B72" s="11"/>
      <c r="C72" s="11"/>
      <c r="D72" s="645">
        <v>2</v>
      </c>
      <c r="E72" s="21"/>
    </row>
    <row r="73" spans="1:5" ht="15.75">
      <c r="A73" s="24">
        <f>inputPrYr!$D$7</f>
        <v>0</v>
      </c>
      <c r="B73" s="11"/>
      <c r="C73" s="11"/>
      <c r="D73" s="645"/>
      <c r="E73" s="21"/>
    </row>
    <row r="74" spans="1:5" ht="15.75">
      <c r="A74" s="24">
        <f>inputPrYr!$D$8</f>
        <v>0</v>
      </c>
      <c r="B74" s="11"/>
      <c r="C74" s="11"/>
      <c r="D74" s="645"/>
      <c r="E74" s="21"/>
    </row>
    <row r="75" spans="1:5" ht="15.75">
      <c r="A75" s="24">
        <f>inputPrYr!$D$9</f>
        <v>0</v>
      </c>
      <c r="B75" s="11"/>
      <c r="C75" s="11"/>
      <c r="D75" s="645"/>
      <c r="E75" s="22"/>
    </row>
    <row r="76" spans="1:5" ht="16.5" thickBot="1">
      <c r="A76" s="13" t="s">
        <v>127</v>
      </c>
      <c r="B76" s="11"/>
      <c r="C76" s="11"/>
      <c r="D76" s="11"/>
      <c r="E76" s="48">
        <f>SUM(D71:D75)</f>
        <v>3</v>
      </c>
    </row>
    <row r="77" spans="1:5" ht="16.5" thickTop="1">
      <c r="A77" s="45" t="s">
        <v>126</v>
      </c>
      <c r="B77" s="11"/>
      <c r="C77" s="11"/>
      <c r="D77" s="11"/>
      <c r="E77" s="34"/>
    </row>
    <row r="78" spans="1:5" ht="15.75">
      <c r="A78" s="24" t="str">
        <f>inputPrYr!$D$4</f>
        <v>GREENWOOD</v>
      </c>
      <c r="B78" s="11"/>
      <c r="C78" s="11"/>
      <c r="D78" s="645">
        <v>21</v>
      </c>
      <c r="E78" s="21"/>
    </row>
    <row r="79" spans="1:5" ht="15.75">
      <c r="A79" s="24" t="str">
        <f>inputPrYr!$D$6</f>
        <v>ELK</v>
      </c>
      <c r="B79" s="11"/>
      <c r="C79" s="11"/>
      <c r="D79" s="645">
        <v>20</v>
      </c>
      <c r="E79" s="21"/>
    </row>
    <row r="80" spans="1:5" ht="15.75">
      <c r="A80" s="24">
        <f>inputPrYr!$D$7</f>
        <v>0</v>
      </c>
      <c r="B80" s="11"/>
      <c r="C80" s="11"/>
      <c r="D80" s="645"/>
      <c r="E80" s="21"/>
    </row>
    <row r="81" spans="1:5" ht="15.75">
      <c r="A81" s="24">
        <f>inputPrYr!$D$8</f>
        <v>0</v>
      </c>
      <c r="B81" s="11"/>
      <c r="C81" s="11"/>
      <c r="D81" s="645"/>
      <c r="E81" s="21"/>
    </row>
    <row r="82" spans="1:5" ht="15.75">
      <c r="A82" s="24">
        <f>inputPrYr!$D$9</f>
        <v>0</v>
      </c>
      <c r="B82" s="11"/>
      <c r="C82" s="11"/>
      <c r="D82" s="645"/>
      <c r="E82" s="22"/>
    </row>
    <row r="83" spans="1:5" ht="16.5" thickBot="1">
      <c r="A83" s="13" t="s">
        <v>125</v>
      </c>
      <c r="B83" s="11"/>
      <c r="C83" s="11"/>
      <c r="D83" s="11"/>
      <c r="E83" s="48">
        <f>SUM(D78:D82)</f>
        <v>41</v>
      </c>
    </row>
    <row r="84" spans="1:5" ht="16.5" thickTop="1">
      <c r="A84" s="45" t="s">
        <v>151</v>
      </c>
      <c r="B84" s="11"/>
      <c r="C84" s="11"/>
      <c r="D84" s="43"/>
      <c r="E84" s="34"/>
    </row>
    <row r="85" spans="1:5" ht="15.75">
      <c r="A85" s="11"/>
      <c r="B85" s="11"/>
      <c r="C85" s="11"/>
      <c r="D85" s="11"/>
      <c r="E85" s="11"/>
    </row>
    <row r="86" spans="1:5" ht="15.75">
      <c r="A86" s="29" t="s">
        <v>192</v>
      </c>
      <c r="B86" s="31"/>
      <c r="C86" s="12"/>
      <c r="D86" s="11"/>
      <c r="E86" s="11"/>
    </row>
    <row r="87" spans="1:5" ht="15.75">
      <c r="A87" s="58" t="str">
        <f>CONCATENATE("Delinquency Rate for ",E1-3," Uncollected Taxes")</f>
        <v>Delinquency Rate for 2012 Uncollected Taxes</v>
      </c>
      <c r="B87" s="16"/>
      <c r="C87" s="15" t="s">
        <v>25</v>
      </c>
      <c r="D87" s="15" t="s">
        <v>25</v>
      </c>
      <c r="E87" s="35"/>
    </row>
    <row r="88" spans="1:5" ht="15.75">
      <c r="A88" s="59" t="str">
        <f>CONCATENATE("and ",E1-2," Ad Valorem Levied:")</f>
        <v>and 2013 Ad Valorem Levied:</v>
      </c>
      <c r="B88" s="19"/>
      <c r="C88" s="25" t="s">
        <v>193</v>
      </c>
      <c r="D88" s="25" t="s">
        <v>194</v>
      </c>
      <c r="E88" s="35"/>
    </row>
    <row r="89" spans="1:5" ht="15.75">
      <c r="A89" s="24" t="str">
        <f>inputPrYr!$D$4</f>
        <v>GREENWOOD</v>
      </c>
      <c r="B89" s="18"/>
      <c r="C89" s="67"/>
      <c r="D89" s="43"/>
      <c r="E89" s="35"/>
    </row>
    <row r="90" spans="1:5" ht="15.75">
      <c r="A90" s="24" t="str">
        <f>inputPrYr!$D$6</f>
        <v>ELK</v>
      </c>
      <c r="B90" s="18"/>
      <c r="C90" s="68"/>
      <c r="D90" s="69"/>
      <c r="E90" s="21"/>
    </row>
    <row r="91" spans="1:5" ht="15.75">
      <c r="A91" s="24">
        <f>inputPrYr!$D$7</f>
        <v>0</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8</v>
      </c>
      <c r="B94" s="18"/>
      <c r="C94" s="70">
        <f>SUM(C89:C93)</f>
        <v>0</v>
      </c>
      <c r="D94" s="70">
        <f>SUM(D89:D93)</f>
        <v>0</v>
      </c>
      <c r="E94" s="21"/>
    </row>
    <row r="95" spans="1:5" ht="17.25" thickBot="1" thickTop="1">
      <c r="A95" s="26" t="s">
        <v>131</v>
      </c>
      <c r="B95" s="14"/>
      <c r="C95" s="14"/>
      <c r="D95" s="19"/>
      <c r="E95" s="616">
        <f>IF(C94=0,0,C94/D94)</f>
        <v>0</v>
      </c>
    </row>
    <row r="96" spans="1:5" ht="16.5" thickTop="1">
      <c r="A96" s="556" t="s">
        <v>715</v>
      </c>
      <c r="B96" s="26"/>
      <c r="C96" s="17"/>
      <c r="D96" s="17"/>
      <c r="E96" s="615">
        <v>0</v>
      </c>
    </row>
    <row r="97" spans="1:5" ht="15.75">
      <c r="A97" s="46" t="s">
        <v>179</v>
      </c>
      <c r="B97" s="47"/>
      <c r="C97" s="47"/>
      <c r="D97" s="47"/>
      <c r="E97" s="47"/>
    </row>
    <row r="98" spans="1:5" ht="15">
      <c r="A98" s="61"/>
      <c r="B98" s="61"/>
      <c r="C98" s="61"/>
      <c r="D98" s="61"/>
      <c r="E98" s="61"/>
    </row>
    <row r="99" spans="1:5" ht="15.75">
      <c r="A99" s="717" t="str">
        <f>CONCATENATE("From the ",E1-2," Budget Certificate Page")</f>
        <v>From the 2013 Budget Certificate Page</v>
      </c>
      <c r="B99" s="718"/>
      <c r="C99" s="61"/>
      <c r="D99" s="61"/>
      <c r="E99" s="61"/>
    </row>
    <row r="100" spans="1:5" ht="15.75">
      <c r="A100" s="62"/>
      <c r="B100" s="62" t="str">
        <f>CONCATENATE("",E1-2," Expenditure Amounts")</f>
        <v>2013 Expenditure Amounts</v>
      </c>
      <c r="C100" s="719" t="str">
        <f>CONCATENATE("Note: If the ",E1-2," budget was amended, then the")</f>
        <v>Note: If the 2013 budget was amended, then the</v>
      </c>
      <c r="D100" s="720"/>
      <c r="E100" s="720"/>
    </row>
    <row r="101" spans="1:5" ht="15.75">
      <c r="A101" s="63" t="s">
        <v>195</v>
      </c>
      <c r="B101" s="63" t="s">
        <v>196</v>
      </c>
      <c r="C101" s="60" t="s">
        <v>197</v>
      </c>
      <c r="D101" s="64"/>
      <c r="E101" s="64"/>
    </row>
    <row r="102" spans="1:5" ht="15.75">
      <c r="A102" s="65" t="str">
        <f>inputPrYr!B24</f>
        <v>General</v>
      </c>
      <c r="B102" s="43">
        <v>37540</v>
      </c>
      <c r="C102" s="60" t="s">
        <v>198</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5" sqref="C5"/>
    </sheetView>
  </sheetViews>
  <sheetFormatPr defaultColWidth="8.796875" defaultRowHeight="15"/>
  <cols>
    <col min="1" max="1" width="13.796875" style="0" customWidth="1"/>
    <col min="2" max="2" width="16.09765625" style="0" customWidth="1"/>
  </cols>
  <sheetData>
    <row r="1" ht="15">
      <c r="J1" s="617" t="s">
        <v>727</v>
      </c>
    </row>
    <row r="2" spans="1:10" ht="54" customHeight="1">
      <c r="A2" s="721" t="s">
        <v>307</v>
      </c>
      <c r="B2" s="722"/>
      <c r="C2" s="722"/>
      <c r="D2" s="722"/>
      <c r="E2" s="722"/>
      <c r="F2" s="722"/>
      <c r="J2" s="617" t="s">
        <v>728</v>
      </c>
    </row>
    <row r="3" spans="1:10" ht="15" customHeight="1">
      <c r="A3" s="604" t="s">
        <v>725</v>
      </c>
      <c r="B3" s="650" t="s">
        <v>819</v>
      </c>
      <c r="C3" s="605"/>
      <c r="D3" s="605"/>
      <c r="E3" s="605"/>
      <c r="F3" s="605"/>
      <c r="J3" s="617" t="s">
        <v>729</v>
      </c>
    </row>
    <row r="4" spans="1:10" ht="15" customHeight="1">
      <c r="A4" s="604"/>
      <c r="B4" s="605"/>
      <c r="C4" s="605"/>
      <c r="D4" s="605"/>
      <c r="E4" s="605"/>
      <c r="F4" s="605"/>
      <c r="J4" s="617" t="s">
        <v>730</v>
      </c>
    </row>
    <row r="5" spans="1:10" ht="15" customHeight="1">
      <c r="A5" s="1" t="s">
        <v>726</v>
      </c>
      <c r="B5" s="650" t="s">
        <v>813</v>
      </c>
      <c r="J5" s="617" t="s">
        <v>731</v>
      </c>
    </row>
    <row r="6" spans="1:10" ht="15.75">
      <c r="A6" s="353"/>
      <c r="B6" s="353"/>
      <c r="C6" s="353"/>
      <c r="D6" s="354"/>
      <c r="E6" s="353"/>
      <c r="F6" s="353"/>
      <c r="J6" s="617" t="s">
        <v>732</v>
      </c>
    </row>
    <row r="7" spans="1:10" ht="15.75">
      <c r="A7" s="355" t="s">
        <v>308</v>
      </c>
      <c r="B7" s="650" t="s">
        <v>829</v>
      </c>
      <c r="C7" s="356"/>
      <c r="D7" s="355" t="s">
        <v>724</v>
      </c>
      <c r="E7" s="353"/>
      <c r="F7" s="353"/>
      <c r="J7" s="617" t="s">
        <v>733</v>
      </c>
    </row>
    <row r="8" spans="1:10" ht="15.75">
      <c r="A8" s="355"/>
      <c r="B8" s="357"/>
      <c r="C8" s="358"/>
      <c r="D8" s="618" t="str">
        <f>IF(B7="","",CONCATENATE("Latest date for notice to be published in your newspaper: ",I18," ",I22,", ",I23))</f>
        <v>Latest date for notice to be published in your newspaper: August 8, 2014</v>
      </c>
      <c r="E8" s="353"/>
      <c r="F8" s="353"/>
      <c r="J8" s="617" t="s">
        <v>734</v>
      </c>
    </row>
    <row r="9" spans="1:10" ht="15.75">
      <c r="A9" s="355" t="s">
        <v>309</v>
      </c>
      <c r="B9" s="650" t="s">
        <v>830</v>
      </c>
      <c r="C9" s="359"/>
      <c r="D9" s="355"/>
      <c r="E9" s="353"/>
      <c r="F9" s="353"/>
      <c r="J9" s="617" t="s">
        <v>735</v>
      </c>
    </row>
    <row r="10" spans="1:10" ht="15.75">
      <c r="A10" s="355"/>
      <c r="B10" s="355"/>
      <c r="C10" s="355"/>
      <c r="D10" s="355"/>
      <c r="E10" s="353"/>
      <c r="F10" s="353"/>
      <c r="J10" s="617" t="s">
        <v>736</v>
      </c>
    </row>
    <row r="11" spans="1:10" ht="15.75">
      <c r="A11" s="355" t="s">
        <v>310</v>
      </c>
      <c r="B11" s="651" t="s">
        <v>828</v>
      </c>
      <c r="C11" s="652"/>
      <c r="D11" s="652"/>
      <c r="E11" s="653"/>
      <c r="F11" s="353"/>
      <c r="J11" s="617" t="s">
        <v>737</v>
      </c>
    </row>
    <row r="12" spans="1:10" ht="15.75">
      <c r="A12" s="355"/>
      <c r="B12" s="355"/>
      <c r="C12" s="355"/>
      <c r="D12" s="355"/>
      <c r="E12" s="353"/>
      <c r="F12" s="353"/>
      <c r="J12" s="617" t="s">
        <v>738</v>
      </c>
    </row>
    <row r="13" spans="1:6" ht="15.75">
      <c r="A13" s="355"/>
      <c r="B13" s="355"/>
      <c r="C13" s="355"/>
      <c r="D13" s="355"/>
      <c r="E13" s="353"/>
      <c r="F13" s="353"/>
    </row>
    <row r="14" spans="1:6" ht="15.75">
      <c r="A14" s="355" t="s">
        <v>311</v>
      </c>
      <c r="B14" s="651" t="s">
        <v>828</v>
      </c>
      <c r="C14" s="652"/>
      <c r="D14" s="652"/>
      <c r="E14" s="653"/>
      <c r="F14" s="353"/>
    </row>
    <row r="17" spans="1:6" ht="15.75">
      <c r="A17" s="723" t="s">
        <v>312</v>
      </c>
      <c r="B17" s="723"/>
      <c r="C17" s="355"/>
      <c r="D17" s="355"/>
      <c r="E17" s="355"/>
      <c r="F17" s="353"/>
    </row>
    <row r="18" spans="1:9" ht="15.75">
      <c r="A18" s="355"/>
      <c r="B18" s="355"/>
      <c r="C18" s="355"/>
      <c r="D18" s="355"/>
      <c r="E18" s="355"/>
      <c r="F18" s="353"/>
      <c r="I18" s="617" t="str">
        <f ca="1">IF(B7="","",INDIRECT(I19))</f>
        <v>August</v>
      </c>
    </row>
    <row r="19" spans="1:9" ht="15.75">
      <c r="A19" s="355" t="s">
        <v>308</v>
      </c>
      <c r="B19" s="357" t="s">
        <v>313</v>
      </c>
      <c r="C19" s="355"/>
      <c r="D19" s="355"/>
      <c r="E19" s="355"/>
      <c r="I19" s="619" t="str">
        <f>IF(B7="","",CONCATENATE("J",I21))</f>
        <v>J8</v>
      </c>
    </row>
    <row r="20" spans="1:9" ht="15.75">
      <c r="A20" s="355"/>
      <c r="B20" s="355"/>
      <c r="C20" s="355"/>
      <c r="D20" s="355"/>
      <c r="E20" s="355"/>
      <c r="I20" s="620">
        <f>B7-10</f>
        <v>41859</v>
      </c>
    </row>
    <row r="21" spans="1:9" ht="15.75">
      <c r="A21" s="355" t="s">
        <v>309</v>
      </c>
      <c r="B21" s="355" t="s">
        <v>314</v>
      </c>
      <c r="C21" s="355"/>
      <c r="D21" s="355"/>
      <c r="E21" s="355"/>
      <c r="I21" s="621">
        <f>IF(B7="","",MONTH(I20))</f>
        <v>8</v>
      </c>
    </row>
    <row r="22" spans="1:9" ht="15.75">
      <c r="A22" s="355"/>
      <c r="B22" s="355"/>
      <c r="C22" s="355"/>
      <c r="D22" s="355"/>
      <c r="E22" s="355"/>
      <c r="I22" s="622">
        <f>IF(B7="","",DAY(I20))</f>
        <v>8</v>
      </c>
    </row>
    <row r="23" spans="1:9" ht="15.75">
      <c r="A23" s="355" t="s">
        <v>310</v>
      </c>
      <c r="B23" s="355" t="s">
        <v>315</v>
      </c>
      <c r="C23" s="355"/>
      <c r="D23" s="355"/>
      <c r="E23" s="355"/>
      <c r="I23" s="623">
        <f>IF(D7="","",YEAR(I20))</f>
        <v>2014</v>
      </c>
    </row>
    <row r="24" spans="1:5" ht="15.75">
      <c r="A24" s="355"/>
      <c r="B24" s="355"/>
      <c r="C24" s="355"/>
      <c r="D24" s="355"/>
      <c r="E24" s="355"/>
    </row>
    <row r="25" spans="1:5" ht="15.75">
      <c r="A25" s="355" t="s">
        <v>311</v>
      </c>
      <c r="B25" s="355" t="s">
        <v>316</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3">
      <selection activeCell="E42" sqref="E42"/>
    </sheetView>
  </sheetViews>
  <sheetFormatPr defaultColWidth="8.7968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725" t="s">
        <v>72</v>
      </c>
      <c r="B2" s="725"/>
      <c r="C2" s="725"/>
      <c r="D2" s="725"/>
      <c r="E2" s="725"/>
      <c r="F2" s="725"/>
      <c r="G2" s="725"/>
    </row>
    <row r="3" spans="1:7" ht="15.75">
      <c r="A3" s="74"/>
      <c r="B3" s="74"/>
      <c r="C3" s="74"/>
      <c r="D3" s="74"/>
      <c r="E3" s="74"/>
      <c r="F3" s="74"/>
      <c r="G3" s="82">
        <f>inputPrYr!D11</f>
        <v>2015</v>
      </c>
    </row>
    <row r="4" spans="1:7" ht="15.75">
      <c r="A4" s="728" t="str">
        <f>CONCATENATE("To the Clerk of ",inputPrYr!D4,", State of Kansas")</f>
        <v>To the Clerk of GREENWOOD, State of Kansas</v>
      </c>
      <c r="B4" s="728"/>
      <c r="C4" s="728"/>
      <c r="D4" s="728"/>
      <c r="E4" s="728"/>
      <c r="F4" s="728"/>
      <c r="G4" s="728"/>
    </row>
    <row r="5" spans="1:7" ht="15.75">
      <c r="A5" s="122" t="s">
        <v>152</v>
      </c>
      <c r="B5" s="82"/>
      <c r="C5" s="82"/>
      <c r="D5" s="82"/>
      <c r="E5" s="82"/>
      <c r="F5" s="82"/>
      <c r="G5" s="82"/>
    </row>
    <row r="6" spans="1:7" ht="15.75">
      <c r="A6" s="707" t="str">
        <f>inputPrYr!D3</f>
        <v>PIEDMONT  CEMETERY #1</v>
      </c>
      <c r="B6" s="707"/>
      <c r="C6" s="707"/>
      <c r="D6" s="707"/>
      <c r="E6" s="707"/>
      <c r="F6" s="707"/>
      <c r="G6" s="707"/>
    </row>
    <row r="7" spans="1:7" ht="15.75">
      <c r="A7" s="122" t="s">
        <v>9</v>
      </c>
      <c r="B7" s="82"/>
      <c r="C7" s="82"/>
      <c r="D7" s="82"/>
      <c r="E7" s="82"/>
      <c r="F7" s="82"/>
      <c r="G7" s="82"/>
    </row>
    <row r="8" spans="1:7" ht="15.75">
      <c r="A8" s="122" t="s">
        <v>10</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29" t="str">
        <f>CONCATENATE("",G3," Adopted Budget")</f>
        <v>2015 Adopted Budget</v>
      </c>
      <c r="F12" s="730"/>
      <c r="G12" s="731"/>
    </row>
    <row r="13" spans="1:8" ht="15.75">
      <c r="A13" s="73"/>
      <c r="B13" s="74"/>
      <c r="C13" s="74"/>
      <c r="D13" s="99"/>
      <c r="E13" s="179" t="s">
        <v>11</v>
      </c>
      <c r="F13" s="726" t="str">
        <f>CONCATENATE("Amount of  ",G3-1," Ad Valorem Tax")</f>
        <v>Amount of  2014 Ad Valorem Tax</v>
      </c>
      <c r="G13" s="180" t="s">
        <v>12</v>
      </c>
      <c r="H13" s="181"/>
    </row>
    <row r="14" spans="1:7" ht="15.75">
      <c r="A14" s="74"/>
      <c r="B14" s="74"/>
      <c r="C14" s="74"/>
      <c r="D14" s="182" t="s">
        <v>13</v>
      </c>
      <c r="E14" s="128" t="s">
        <v>196</v>
      </c>
      <c r="F14" s="727"/>
      <c r="G14" s="180" t="s">
        <v>14</v>
      </c>
    </row>
    <row r="15" spans="1:7" ht="15.75">
      <c r="A15" s="75" t="s">
        <v>15</v>
      </c>
      <c r="B15" s="74"/>
      <c r="C15" s="74"/>
      <c r="D15" s="128" t="s">
        <v>16</v>
      </c>
      <c r="E15" s="128" t="s">
        <v>545</v>
      </c>
      <c r="F15" s="727"/>
      <c r="G15" s="180" t="s">
        <v>18</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124</v>
      </c>
      <c r="B18" s="154"/>
      <c r="C18" s="154"/>
      <c r="D18" s="131">
        <v>3</v>
      </c>
      <c r="E18" s="187"/>
      <c r="F18" s="187"/>
      <c r="G18" s="190"/>
    </row>
    <row r="19" spans="1:7" ht="15.75">
      <c r="A19" s="189" t="s">
        <v>121</v>
      </c>
      <c r="B19" s="154"/>
      <c r="C19" s="154"/>
      <c r="D19" s="131">
        <v>4</v>
      </c>
      <c r="E19" s="187"/>
      <c r="F19" s="187"/>
      <c r="G19" s="190"/>
    </row>
    <row r="20" spans="1:7" ht="15.75">
      <c r="A20" s="185" t="s">
        <v>120</v>
      </c>
      <c r="B20" s="154"/>
      <c r="C20" s="154"/>
      <c r="D20" s="131">
        <v>5</v>
      </c>
      <c r="E20" s="187"/>
      <c r="F20" s="187"/>
      <c r="G20" s="190"/>
    </row>
    <row r="21" spans="1:7" ht="15.75">
      <c r="A21" s="539" t="s">
        <v>19</v>
      </c>
      <c r="B21" s="191"/>
      <c r="C21" s="540" t="s">
        <v>20</v>
      </c>
      <c r="D21" s="186"/>
      <c r="E21" s="192"/>
      <c r="F21" s="99"/>
      <c r="G21" s="103"/>
    </row>
    <row r="22" spans="1:7" ht="15.75">
      <c r="A22" s="193" t="s">
        <v>5</v>
      </c>
      <c r="B22" s="191"/>
      <c r="C22" s="194">
        <f>inputPrYr!C24</f>
        <v>0</v>
      </c>
      <c r="D22" s="167">
        <v>6</v>
      </c>
      <c r="E22" s="195">
        <f>IF('gen 6'!$E$61&lt;&gt;0,'gen 6'!$E$61,"  ")</f>
        <v>43150</v>
      </c>
      <c r="F22" s="195">
        <f>IF('gen 6'!$E$68&lt;&gt;0,'gen 6'!$E$68,"  ")</f>
        <v>4978</v>
      </c>
      <c r="G22" s="625" t="str">
        <f>IF(AND('gen 6'!E68=0,$F$39&gt;=0)," ",IF(AND(F22&gt;0,$F$39=0)," ",IF(AND(F22&gt;0,$F$39&gt;0),ROUND(F22/$F$39*1000,3))))</f>
        <v> </v>
      </c>
    </row>
    <row r="23" spans="1:7" ht="15.75">
      <c r="A23" s="193" t="s">
        <v>260</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117</v>
      </c>
      <c r="B29" s="197"/>
      <c r="C29" s="191"/>
      <c r="D29" s="204" t="s">
        <v>21</v>
      </c>
      <c r="E29" s="205">
        <f>SUM(E22:E27)</f>
        <v>43150</v>
      </c>
      <c r="F29" s="143">
        <f>SUM(F22:F27)</f>
        <v>4978</v>
      </c>
      <c r="G29" s="628">
        <f>IF(SUM(G22:G27)=0,"",SUM(G22:G27))</f>
      </c>
    </row>
    <row r="30" spans="1:7" ht="16.5" thickTop="1">
      <c r="A30" s="193" t="s">
        <v>180</v>
      </c>
      <c r="B30" s="197"/>
      <c r="C30" s="191"/>
      <c r="D30" s="206">
        <f>summ!E42</f>
        <v>0</v>
      </c>
      <c r="E30" s="679" t="s">
        <v>786</v>
      </c>
      <c r="F30" s="207" t="str">
        <f>IF(F29&gt;1000,IF(F29&gt;'computation 2'!J41,"Yes","No"),"No")</f>
        <v>No</v>
      </c>
      <c r="G30" s="74"/>
    </row>
    <row r="31" spans="1:7" ht="15.75">
      <c r="A31" s="678" t="s">
        <v>201</v>
      </c>
      <c r="B31" s="200"/>
      <c r="C31" s="659"/>
      <c r="D31" s="206">
        <f>IF(Nhood!C35&gt;0,Nhood!C35,"")</f>
      </c>
      <c r="E31" s="74"/>
      <c r="F31" s="74"/>
      <c r="G31" s="73" t="s">
        <v>22</v>
      </c>
    </row>
    <row r="32" spans="1:7" ht="15.75">
      <c r="A32" s="677"/>
      <c r="B32" s="200"/>
      <c r="C32" s="200"/>
      <c r="D32" s="676"/>
      <c r="E32" s="675"/>
      <c r="F32" s="208"/>
      <c r="G32" s="73"/>
    </row>
    <row r="33" spans="1:7" ht="15.75">
      <c r="A33" s="73" t="s">
        <v>22</v>
      </c>
      <c r="B33" s="73" t="s">
        <v>22</v>
      </c>
      <c r="C33" s="73" t="s">
        <v>22</v>
      </c>
      <c r="D33" s="209" t="s">
        <v>132</v>
      </c>
      <c r="E33" s="99"/>
      <c r="F33" s="734" t="s">
        <v>119</v>
      </c>
      <c r="G33" s="731"/>
    </row>
    <row r="34" spans="1:7" ht="15.75">
      <c r="A34" s="74" t="s">
        <v>305</v>
      </c>
      <c r="B34" s="74"/>
      <c r="C34" s="73" t="s">
        <v>22</v>
      </c>
      <c r="D34" s="193" t="str">
        <f>inputPrYr!D4</f>
        <v>GREENWOOD</v>
      </c>
      <c r="E34" s="197"/>
      <c r="F34" s="735"/>
      <c r="G34" s="736"/>
    </row>
    <row r="35" spans="1:7" ht="15.75">
      <c r="A35" s="210" t="s">
        <v>814</v>
      </c>
      <c r="B35" s="210"/>
      <c r="C35" s="73" t="s">
        <v>22</v>
      </c>
      <c r="D35" s="193" t="str">
        <f>inputPrYr!D6</f>
        <v>ELK</v>
      </c>
      <c r="E35" s="197"/>
      <c r="F35" s="735"/>
      <c r="G35" s="736"/>
    </row>
    <row r="36" spans="1:7" ht="15.75">
      <c r="A36" s="211" t="s">
        <v>815</v>
      </c>
      <c r="B36" s="211"/>
      <c r="C36" s="73" t="s">
        <v>22</v>
      </c>
      <c r="D36" s="193">
        <f>inputPrYr!D7</f>
        <v>0</v>
      </c>
      <c r="E36" s="197"/>
      <c r="F36" s="735"/>
      <c r="G36" s="736"/>
    </row>
    <row r="37" spans="1:7" ht="15.75">
      <c r="A37" s="76" t="s">
        <v>306</v>
      </c>
      <c r="B37" s="187"/>
      <c r="C37" s="73" t="s">
        <v>22</v>
      </c>
      <c r="D37" s="193">
        <f>inputPrYr!D8</f>
        <v>0</v>
      </c>
      <c r="E37" s="197"/>
      <c r="F37" s="735"/>
      <c r="G37" s="736"/>
    </row>
    <row r="38" spans="1:7" ht="15.75">
      <c r="A38" s="210" t="s">
        <v>816</v>
      </c>
      <c r="B38" s="210"/>
      <c r="C38" s="73" t="s">
        <v>22</v>
      </c>
      <c r="D38" s="193">
        <f>inputPrYr!D9</f>
        <v>0</v>
      </c>
      <c r="E38" s="197"/>
      <c r="F38" s="735"/>
      <c r="G38" s="736"/>
    </row>
    <row r="39" spans="1:7" ht="15.75">
      <c r="A39" s="211" t="s">
        <v>817</v>
      </c>
      <c r="B39" s="211"/>
      <c r="C39" s="73" t="s">
        <v>22</v>
      </c>
      <c r="D39" s="193" t="s">
        <v>133</v>
      </c>
      <c r="E39" s="197"/>
      <c r="F39" s="737">
        <f>SUM(F34:F38)</f>
        <v>0</v>
      </c>
      <c r="G39" s="738"/>
    </row>
    <row r="40" spans="1:7" ht="15.75">
      <c r="A40" s="211"/>
      <c r="B40" s="211"/>
      <c r="C40" s="73" t="s">
        <v>22</v>
      </c>
      <c r="D40" s="73" t="s">
        <v>22</v>
      </c>
      <c r="E40" s="79"/>
      <c r="F40" s="734" t="str">
        <f>CONCATENATE("November 1, ",G3-1," Valuation")</f>
        <v>November 1, 2014 Valuation</v>
      </c>
      <c r="G40" s="736"/>
    </row>
    <row r="41" spans="1:7" ht="15.75">
      <c r="A41" s="73" t="s">
        <v>739</v>
      </c>
      <c r="B41" s="73" t="s">
        <v>22</v>
      </c>
      <c r="C41" s="73"/>
      <c r="D41" s="73"/>
      <c r="E41" s="74"/>
      <c r="F41" s="74"/>
      <c r="G41" s="74"/>
    </row>
    <row r="42" spans="1:7" ht="15.75">
      <c r="A42" s="624" t="s">
        <v>818</v>
      </c>
      <c r="B42" s="210"/>
      <c r="C42" s="79"/>
      <c r="D42" s="79" t="s">
        <v>740</v>
      </c>
      <c r="E42" s="633"/>
      <c r="F42" s="541"/>
      <c r="G42" s="541"/>
    </row>
    <row r="43" spans="1:7" ht="15.75">
      <c r="A43" s="73" t="s">
        <v>22</v>
      </c>
      <c r="B43" s="73" t="s">
        <v>22</v>
      </c>
      <c r="C43" s="73"/>
      <c r="D43" s="74"/>
      <c r="E43" s="74"/>
      <c r="F43" s="112"/>
      <c r="G43" s="112"/>
    </row>
    <row r="44" spans="1:7" ht="15.75">
      <c r="A44" s="73" t="s">
        <v>22</v>
      </c>
      <c r="B44" s="73" t="s">
        <v>22</v>
      </c>
      <c r="C44" s="79"/>
      <c r="D44" s="79" t="s">
        <v>740</v>
      </c>
      <c r="E44" s="79"/>
      <c r="F44" s="541"/>
      <c r="G44" s="541"/>
    </row>
    <row r="45" spans="1:7" ht="15.75">
      <c r="A45" s="73" t="s">
        <v>22</v>
      </c>
      <c r="B45" s="542" t="s">
        <v>22</v>
      </c>
      <c r="C45" s="79"/>
      <c r="D45" s="79"/>
      <c r="E45" s="79"/>
      <c r="F45" s="541"/>
      <c r="G45" s="541"/>
    </row>
    <row r="46" spans="1:7" ht="15.75">
      <c r="A46" s="73" t="s">
        <v>22</v>
      </c>
      <c r="B46" s="73" t="s">
        <v>22</v>
      </c>
      <c r="C46" s="79"/>
      <c r="D46" s="79" t="s">
        <v>740</v>
      </c>
      <c r="E46" s="79"/>
      <c r="F46" s="541"/>
      <c r="G46" s="541"/>
    </row>
    <row r="47" spans="1:7" ht="15.75">
      <c r="A47" s="73" t="s">
        <v>22</v>
      </c>
      <c r="B47" s="73" t="s">
        <v>22</v>
      </c>
      <c r="C47" s="79"/>
      <c r="D47" s="79"/>
      <c r="E47" s="79"/>
      <c r="F47" s="633"/>
      <c r="G47" s="633"/>
    </row>
    <row r="48" spans="1:7" ht="15.75">
      <c r="A48" s="73" t="s">
        <v>153</v>
      </c>
      <c r="B48" s="79"/>
      <c r="C48" s="73">
        <f>G3-1</f>
        <v>2014</v>
      </c>
      <c r="D48" s="79" t="s">
        <v>740</v>
      </c>
      <c r="E48" s="79"/>
      <c r="F48" s="541"/>
      <c r="G48" s="541"/>
    </row>
    <row r="49" spans="1:7" ht="15.75">
      <c r="A49" s="73" t="s">
        <v>22</v>
      </c>
      <c r="B49" s="73" t="s">
        <v>22</v>
      </c>
      <c r="C49" s="73" t="s">
        <v>22</v>
      </c>
      <c r="D49" s="74"/>
      <c r="E49" s="74"/>
      <c r="F49" s="82"/>
      <c r="G49" s="82"/>
    </row>
    <row r="50" spans="1:7" ht="15.75">
      <c r="A50" s="739"/>
      <c r="B50" s="740"/>
      <c r="C50" s="74"/>
      <c r="D50" s="79" t="s">
        <v>740</v>
      </c>
      <c r="E50" s="79"/>
      <c r="F50" s="79"/>
      <c r="G50" s="79"/>
    </row>
    <row r="51" spans="1:7" ht="15.75">
      <c r="A51" s="82" t="s">
        <v>24</v>
      </c>
      <c r="B51" s="82"/>
      <c r="C51" s="74"/>
      <c r="D51" s="732" t="s">
        <v>23</v>
      </c>
      <c r="E51" s="733"/>
      <c r="F51" s="733"/>
      <c r="G51" s="733"/>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724"/>
    </row>
    <row r="55" spans="1:7" ht="15.75">
      <c r="A55" s="72"/>
      <c r="B55" s="72"/>
      <c r="C55" s="72"/>
      <c r="D55" s="72"/>
      <c r="E55" s="72"/>
      <c r="F55" s="72"/>
      <c r="G55" s="724"/>
    </row>
    <row r="56" spans="1:7" ht="15.75">
      <c r="A56" s="72"/>
      <c r="B56" s="72"/>
      <c r="C56" s="72"/>
      <c r="D56" s="72"/>
      <c r="E56" s="72"/>
      <c r="F56" s="72"/>
      <c r="G56" s="724"/>
    </row>
    <row r="57" spans="1:7" ht="15.75">
      <c r="A57" s="72"/>
      <c r="B57" s="72"/>
      <c r="C57" s="72"/>
      <c r="D57" s="72"/>
      <c r="E57" s="72"/>
      <c r="F57" s="72"/>
      <c r="G57" s="724"/>
    </row>
    <row r="58" spans="1:7" ht="15.75">
      <c r="A58" s="72"/>
      <c r="B58" s="72"/>
      <c r="C58" s="72"/>
      <c r="D58" s="212"/>
      <c r="E58" s="72"/>
      <c r="F58" s="72"/>
      <c r="G58" s="724"/>
    </row>
    <row r="59" ht="15.75">
      <c r="G59" s="724"/>
    </row>
    <row r="60" ht="15.75">
      <c r="G60" s="724"/>
    </row>
    <row r="61" ht="15.75">
      <c r="G61" s="724"/>
    </row>
    <row r="62" ht="15.75">
      <c r="G62" s="724"/>
    </row>
    <row r="63" ht="15.75">
      <c r="G63" s="724"/>
    </row>
    <row r="64" ht="15.75">
      <c r="G64" s="724"/>
    </row>
    <row r="65" ht="15.75">
      <c r="G65" s="724"/>
    </row>
    <row r="66" ht="15.75">
      <c r="G66" s="724"/>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7" sqref="X77"/>
    </sheetView>
  </sheetViews>
  <sheetFormatPr defaultColWidth="8.7968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PIEDMONT  CEMETERY #1</v>
      </c>
      <c r="D1" s="74"/>
      <c r="E1" s="74"/>
      <c r="F1" s="74"/>
      <c r="G1" s="74"/>
      <c r="H1" s="74"/>
      <c r="I1" s="74"/>
      <c r="J1" s="74">
        <f>inputPrYr!D11</f>
        <v>2015</v>
      </c>
    </row>
    <row r="2" spans="1:10" ht="15.75" customHeight="1">
      <c r="A2" s="74"/>
      <c r="B2" s="74"/>
      <c r="C2" s="74" t="str">
        <f>inputPrYr!D4</f>
        <v>GREENWOOD</v>
      </c>
      <c r="D2" s="74"/>
      <c r="E2" s="74"/>
      <c r="F2" s="74"/>
      <c r="G2" s="74"/>
      <c r="H2" s="74"/>
      <c r="I2" s="74"/>
      <c r="J2" s="74"/>
    </row>
    <row r="3" spans="1:10" ht="15.75">
      <c r="A3" s="741" t="str">
        <f>CONCATENATE("Computation to Determine Limit for ",J1,"")</f>
        <v>Computation to Determine Limit for 2015</v>
      </c>
      <c r="B3" s="725"/>
      <c r="C3" s="725"/>
      <c r="D3" s="725"/>
      <c r="E3" s="725"/>
      <c r="F3" s="725"/>
      <c r="G3" s="725"/>
      <c r="H3" s="725"/>
      <c r="I3" s="725"/>
      <c r="J3" s="725"/>
    </row>
    <row r="4" spans="1:10" ht="15.75">
      <c r="A4" s="74"/>
      <c r="B4" s="74"/>
      <c r="C4" s="74"/>
      <c r="D4" s="74"/>
      <c r="E4" s="725"/>
      <c r="F4" s="725"/>
      <c r="G4" s="725"/>
      <c r="H4" s="159"/>
      <c r="I4" s="74"/>
      <c r="J4" s="214" t="s">
        <v>83</v>
      </c>
    </row>
    <row r="5" spans="1:10" ht="15.75">
      <c r="A5" s="215" t="s">
        <v>84</v>
      </c>
      <c r="B5" s="74" t="str">
        <f>CONCATENATE("Total tax levy amount in ",J1-1," budget")</f>
        <v>Total tax levy amount in 2014 budget</v>
      </c>
      <c r="C5" s="74"/>
      <c r="D5" s="74"/>
      <c r="E5" s="96"/>
      <c r="F5" s="96"/>
      <c r="G5" s="96"/>
      <c r="H5" s="216" t="s">
        <v>85</v>
      </c>
      <c r="I5" s="96" t="s">
        <v>86</v>
      </c>
      <c r="J5" s="378">
        <f>inputPrYr!E29</f>
        <v>4996</v>
      </c>
    </row>
    <row r="6" spans="1:10" ht="15.75">
      <c r="A6" s="215" t="s">
        <v>87</v>
      </c>
      <c r="B6" s="74" t="str">
        <f>CONCATENATE("Debt service levy in ",J1-1," budget")</f>
        <v>Debt service levy in 2014 budget</v>
      </c>
      <c r="C6" s="74"/>
      <c r="D6" s="74"/>
      <c r="E6" s="96"/>
      <c r="F6" s="96"/>
      <c r="G6" s="96"/>
      <c r="H6" s="216" t="s">
        <v>88</v>
      </c>
      <c r="I6" s="96" t="s">
        <v>86</v>
      </c>
      <c r="J6" s="379">
        <f>inputPrYr!E25</f>
        <v>0</v>
      </c>
    </row>
    <row r="7" spans="1:10" ht="15.75">
      <c r="A7" s="215" t="s">
        <v>106</v>
      </c>
      <c r="B7" s="74" t="s">
        <v>778</v>
      </c>
      <c r="C7" s="74"/>
      <c r="D7" s="74"/>
      <c r="E7" s="96"/>
      <c r="F7" s="96"/>
      <c r="G7" s="96"/>
      <c r="H7" s="96"/>
      <c r="I7" s="96" t="s">
        <v>86</v>
      </c>
      <c r="J7" s="217">
        <f>J5-J6</f>
        <v>4996</v>
      </c>
    </row>
    <row r="8" spans="1:10" ht="15.75">
      <c r="A8" s="74"/>
      <c r="B8" s="74"/>
      <c r="C8" s="74"/>
      <c r="D8" s="74"/>
      <c r="E8" s="96"/>
      <c r="F8" s="96"/>
      <c r="G8" s="96"/>
      <c r="H8" s="96"/>
      <c r="I8" s="96"/>
      <c r="J8" s="96"/>
    </row>
    <row r="9" spans="1:10" ht="15.75">
      <c r="A9" s="725" t="str">
        <f>CONCATENATE("",J1-1," Valuation Information for Valuation Adjustments")</f>
        <v>2014 Valuation Information for Valuation Adjustments</v>
      </c>
      <c r="B9" s="744"/>
      <c r="C9" s="744"/>
      <c r="D9" s="744"/>
      <c r="E9" s="744"/>
      <c r="F9" s="744"/>
      <c r="G9" s="744"/>
      <c r="H9" s="744"/>
      <c r="I9" s="744"/>
      <c r="J9" s="744"/>
    </row>
    <row r="10" spans="1:10" ht="15.75">
      <c r="A10" s="74"/>
      <c r="B10" s="74"/>
      <c r="C10" s="74"/>
      <c r="D10" s="74"/>
      <c r="E10" s="96"/>
      <c r="F10" s="96"/>
      <c r="G10" s="96"/>
      <c r="H10" s="96"/>
      <c r="I10" s="96"/>
      <c r="J10" s="96"/>
    </row>
    <row r="11" spans="1:10" ht="15.75">
      <c r="A11" s="215" t="s">
        <v>89</v>
      </c>
      <c r="B11" s="74" t="str">
        <f>CONCATENATE("New improvements for ",J1-1,":")</f>
        <v>New improvements for 2014:</v>
      </c>
      <c r="C11" s="74"/>
      <c r="D11" s="74"/>
      <c r="E11" s="216"/>
      <c r="F11" s="216" t="s">
        <v>85</v>
      </c>
      <c r="G11" s="660">
        <f>inputOth!E19</f>
        <v>7847</v>
      </c>
      <c r="H11" s="658"/>
      <c r="I11" s="96"/>
      <c r="J11" s="96"/>
    </row>
    <row r="12" spans="1:10" ht="15.75">
      <c r="A12" s="215"/>
      <c r="B12" s="215"/>
      <c r="C12" s="74"/>
      <c r="D12" s="74"/>
      <c r="E12" s="216"/>
      <c r="F12" s="216"/>
      <c r="G12" s="658"/>
      <c r="H12" s="658"/>
      <c r="I12" s="96"/>
      <c r="J12" s="96"/>
    </row>
    <row r="13" spans="1:10" ht="15.75">
      <c r="A13" s="215" t="s">
        <v>90</v>
      </c>
      <c r="B13" s="74" t="str">
        <f>CONCATENATE("Increase in personal property for ",J1-1,":")</f>
        <v>Increase in personal property for 2014:</v>
      </c>
      <c r="C13" s="74"/>
      <c r="D13" s="74"/>
      <c r="E13" s="216"/>
      <c r="F13" s="216"/>
      <c r="G13" s="658"/>
      <c r="H13" s="658"/>
      <c r="I13" s="96"/>
      <c r="J13" s="96"/>
    </row>
    <row r="14" spans="1:10" ht="15.75">
      <c r="A14" s="74"/>
      <c r="B14" s="74" t="s">
        <v>91</v>
      </c>
      <c r="C14" s="74" t="str">
        <f>CONCATENATE("Personal property ",J1-1,"")</f>
        <v>Personal property 2014</v>
      </c>
      <c r="D14" s="215" t="s">
        <v>85</v>
      </c>
      <c r="E14" s="660">
        <f>inputOth!E26</f>
        <v>28386</v>
      </c>
      <c r="F14" s="216"/>
      <c r="G14" s="96"/>
      <c r="H14" s="96"/>
      <c r="I14" s="658"/>
      <c r="J14" s="96"/>
    </row>
    <row r="15" spans="1:10" ht="15.75">
      <c r="A15" s="215"/>
      <c r="B15" s="74" t="s">
        <v>92</v>
      </c>
      <c r="C15" s="74" t="str">
        <f>CONCATENATE("Personal property ",J1-2,"")</f>
        <v>Personal property 2013</v>
      </c>
      <c r="D15" s="215" t="s">
        <v>88</v>
      </c>
      <c r="E15" s="217">
        <f>inputOth!E40</f>
        <v>27782</v>
      </c>
      <c r="F15" s="216"/>
      <c r="G15" s="658"/>
      <c r="H15" s="658"/>
      <c r="I15" s="96"/>
      <c r="J15" s="96"/>
    </row>
    <row r="16" spans="1:10" ht="15.75">
      <c r="A16" s="215"/>
      <c r="B16" s="74" t="s">
        <v>93</v>
      </c>
      <c r="C16" s="74" t="s">
        <v>783</v>
      </c>
      <c r="D16" s="74"/>
      <c r="E16" s="96"/>
      <c r="F16" s="96" t="s">
        <v>85</v>
      </c>
      <c r="G16" s="660">
        <f>IF(E14&gt;E15,E14-E15,0)</f>
        <v>604</v>
      </c>
      <c r="H16" s="658"/>
      <c r="I16" s="96"/>
      <c r="J16" s="96"/>
    </row>
    <row r="17" spans="1:10" ht="15.75">
      <c r="A17" s="215"/>
      <c r="B17" s="215"/>
      <c r="C17" s="74"/>
      <c r="D17" s="74"/>
      <c r="E17" s="96"/>
      <c r="F17" s="96"/>
      <c r="G17" s="658" t="s">
        <v>101</v>
      </c>
      <c r="H17" s="658"/>
      <c r="I17" s="96"/>
      <c r="J17" s="96"/>
    </row>
    <row r="18" spans="1:10" ht="15.75">
      <c r="A18" s="215" t="s">
        <v>94</v>
      </c>
      <c r="B18" s="74" t="str">
        <f>CONCATENATE("Valuation of property that has changed in use during ",J1-1,":")</f>
        <v>Valuation of property that has changed in use during 2014:</v>
      </c>
      <c r="C18" s="74"/>
      <c r="D18" s="215"/>
      <c r="E18" s="96"/>
      <c r="F18" s="96"/>
      <c r="G18" s="96">
        <f>inputOth!E33</f>
        <v>189</v>
      </c>
      <c r="H18" s="96"/>
      <c r="I18" s="96"/>
      <c r="J18" s="96"/>
    </row>
    <row r="19" spans="1:10" ht="15.75">
      <c r="A19" s="74" t="s">
        <v>11</v>
      </c>
      <c r="B19" s="74"/>
      <c r="C19" s="74"/>
      <c r="D19" s="74"/>
      <c r="E19" s="658"/>
      <c r="F19" s="96"/>
      <c r="G19" s="661"/>
      <c r="H19" s="658"/>
      <c r="I19" s="96"/>
      <c r="J19" s="96"/>
    </row>
    <row r="20" spans="1:10" ht="15.75">
      <c r="A20" s="215" t="s">
        <v>95</v>
      </c>
      <c r="B20" s="74" t="s">
        <v>779</v>
      </c>
      <c r="C20" s="74"/>
      <c r="D20" s="215"/>
      <c r="E20" s="96"/>
      <c r="F20" s="96"/>
      <c r="G20" s="660">
        <f>G11+G16+G18</f>
        <v>8640</v>
      </c>
      <c r="H20" s="658"/>
      <c r="I20" s="96"/>
      <c r="J20" s="96"/>
    </row>
    <row r="21" spans="1:10" ht="15.75">
      <c r="A21" s="215"/>
      <c r="B21" s="215"/>
      <c r="C21" s="74"/>
      <c r="D21" s="74"/>
      <c r="E21" s="96"/>
      <c r="F21" s="96"/>
      <c r="G21" s="658"/>
      <c r="H21" s="658"/>
      <c r="I21" s="96"/>
      <c r="J21" s="96"/>
    </row>
    <row r="22" spans="1:10" ht="15.75">
      <c r="A22" s="215" t="s">
        <v>96</v>
      </c>
      <c r="B22" s="74" t="str">
        <f>CONCATENATE("Total estimated valuation July, 1,",J1-1,"")</f>
        <v>Total estimated valuation July, 1,2014</v>
      </c>
      <c r="C22" s="74"/>
      <c r="D22" s="74"/>
      <c r="E22" s="660">
        <f>inputOth!E12</f>
        <v>2114596</v>
      </c>
      <c r="F22" s="96"/>
      <c r="G22" s="96"/>
      <c r="H22" s="96"/>
      <c r="I22" s="216"/>
      <c r="J22" s="96"/>
    </row>
    <row r="23" spans="1:10" ht="15.75">
      <c r="A23" s="215"/>
      <c r="B23" s="215"/>
      <c r="C23" s="74"/>
      <c r="D23" s="74"/>
      <c r="E23" s="658"/>
      <c r="F23" s="96"/>
      <c r="G23" s="96"/>
      <c r="H23" s="96"/>
      <c r="I23" s="216"/>
      <c r="J23" s="96"/>
    </row>
    <row r="24" spans="1:10" ht="15.75">
      <c r="A24" s="215" t="s">
        <v>97</v>
      </c>
      <c r="B24" s="74" t="s">
        <v>780</v>
      </c>
      <c r="C24" s="74"/>
      <c r="D24" s="74"/>
      <c r="E24" s="96"/>
      <c r="F24" s="96"/>
      <c r="G24" s="660">
        <f>E22-G20</f>
        <v>2105956</v>
      </c>
      <c r="H24" s="658"/>
      <c r="I24" s="216"/>
      <c r="J24" s="96"/>
    </row>
    <row r="25" spans="1:10" ht="15.75">
      <c r="A25" s="215"/>
      <c r="B25" s="215"/>
      <c r="C25" s="74"/>
      <c r="D25" s="74"/>
      <c r="E25" s="96"/>
      <c r="F25" s="96"/>
      <c r="G25" s="661"/>
      <c r="H25" s="658"/>
      <c r="I25" s="216"/>
      <c r="J25" s="96"/>
    </row>
    <row r="26" spans="1:10" ht="15.75">
      <c r="A26" s="215" t="s">
        <v>98</v>
      </c>
      <c r="B26" s="74" t="s">
        <v>781</v>
      </c>
      <c r="C26" s="74"/>
      <c r="D26" s="74"/>
      <c r="E26" s="74"/>
      <c r="F26" s="74"/>
      <c r="G26" s="662">
        <f>IF(G20&gt;0,G20/G24,0)</f>
        <v>0.004102649817944914</v>
      </c>
      <c r="H26" s="490"/>
      <c r="I26" s="74"/>
      <c r="J26" s="74"/>
    </row>
    <row r="27" spans="1:10" ht="15.75">
      <c r="A27" s="215"/>
      <c r="B27" s="215"/>
      <c r="C27" s="74"/>
      <c r="D27" s="74"/>
      <c r="E27" s="74"/>
      <c r="F27" s="74"/>
      <c r="G27" s="490"/>
      <c r="H27" s="490"/>
      <c r="I27" s="74"/>
      <c r="J27" s="74"/>
    </row>
    <row r="28" spans="1:10" ht="15.75">
      <c r="A28" s="215" t="s">
        <v>99</v>
      </c>
      <c r="B28" s="74" t="s">
        <v>782</v>
      </c>
      <c r="C28" s="74"/>
      <c r="D28" s="74"/>
      <c r="E28" s="74"/>
      <c r="F28" s="74"/>
      <c r="G28" s="490"/>
      <c r="H28" s="218" t="s">
        <v>85</v>
      </c>
      <c r="I28" s="74" t="s">
        <v>86</v>
      </c>
      <c r="J28" s="660">
        <f>ROUND(G26*J7,0)</f>
        <v>20</v>
      </c>
    </row>
    <row r="29" spans="1:10" ht="15.75">
      <c r="A29" s="215"/>
      <c r="B29" s="215"/>
      <c r="C29" s="74"/>
      <c r="D29" s="74"/>
      <c r="E29" s="74"/>
      <c r="F29" s="74"/>
      <c r="G29" s="490"/>
      <c r="H29" s="218"/>
      <c r="I29" s="74"/>
      <c r="J29" s="658"/>
    </row>
    <row r="30" spans="1:10" ht="16.5" thickBot="1">
      <c r="A30" s="215" t="s">
        <v>100</v>
      </c>
      <c r="B30" s="74" t="str">
        <f>CONCATENATE(J1," budget tax levy, excluding debt service, prior to CPI adjustment (3 plus 11)")</f>
        <v>2015 budget tax levy, excluding debt service, prior to CPI adjustment (3 plus 11)</v>
      </c>
      <c r="C30" s="74"/>
      <c r="D30" s="74"/>
      <c r="E30" s="74"/>
      <c r="F30" s="74"/>
      <c r="G30" s="74"/>
      <c r="H30" s="74"/>
      <c r="I30" s="74" t="s">
        <v>86</v>
      </c>
      <c r="J30" s="663">
        <f>J7+J28</f>
        <v>5016</v>
      </c>
    </row>
    <row r="31" spans="1:10" ht="16.5" thickTop="1">
      <c r="A31" s="215"/>
      <c r="B31" s="74"/>
      <c r="C31" s="74"/>
      <c r="D31" s="74"/>
      <c r="E31" s="74"/>
      <c r="F31" s="74"/>
      <c r="G31" s="74"/>
      <c r="H31" s="74"/>
      <c r="I31" s="74"/>
      <c r="J31" s="74"/>
    </row>
    <row r="32" spans="1:10" ht="15.75">
      <c r="A32" s="215" t="s">
        <v>107</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108</v>
      </c>
      <c r="B34" s="74" t="str">
        <f>CONCATENATE(J1," budget tax levy, including debt service, prior to CPI adjustment (12 plus 13)")</f>
        <v>2015 budget tax levy, including debt service, prior to CPI adjustment (12 plus 13)</v>
      </c>
      <c r="C34" s="74"/>
      <c r="D34" s="74"/>
      <c r="E34" s="74"/>
      <c r="F34" s="74"/>
      <c r="G34" s="74"/>
      <c r="H34" s="74"/>
      <c r="I34" s="74"/>
      <c r="J34" s="663">
        <f>J30+J32</f>
        <v>5016</v>
      </c>
    </row>
    <row r="35" spans="1:10" ht="16.5" thickTop="1">
      <c r="A35" s="669"/>
      <c r="B35" s="668"/>
      <c r="C35" s="668"/>
      <c r="D35" s="668"/>
      <c r="E35" s="668"/>
      <c r="F35" s="668"/>
      <c r="G35" s="668"/>
      <c r="H35" s="668"/>
      <c r="I35" s="668"/>
      <c r="J35" s="666"/>
    </row>
    <row r="36" spans="1:10" ht="15.75">
      <c r="A36" s="671" t="s">
        <v>771</v>
      </c>
      <c r="B36" s="668" t="str">
        <f>CONCATENATE("Consumer Price Index for all urban consumers for calendar year ",J1-2)</f>
        <v>Consumer Price Index for all urban consumers for calendar year 2013</v>
      </c>
      <c r="C36" s="668"/>
      <c r="D36" s="668"/>
      <c r="E36" s="668"/>
      <c r="F36" s="668"/>
      <c r="G36" s="668"/>
      <c r="H36" s="668"/>
      <c r="I36" s="668"/>
      <c r="J36" s="672">
        <v>0.015</v>
      </c>
    </row>
    <row r="37" spans="1:10" ht="15.75">
      <c r="A37" s="671"/>
      <c r="B37" s="668"/>
      <c r="C37" s="668"/>
      <c r="D37" s="668"/>
      <c r="E37" s="668"/>
      <c r="F37" s="668"/>
      <c r="G37" s="668"/>
      <c r="H37" s="668"/>
      <c r="I37" s="668"/>
      <c r="J37" s="673"/>
    </row>
    <row r="38" spans="1:10" ht="15.75">
      <c r="A38" s="671" t="s">
        <v>772</v>
      </c>
      <c r="B38" s="668" t="s">
        <v>784</v>
      </c>
      <c r="C38" s="668"/>
      <c r="D38" s="668"/>
      <c r="E38" s="668"/>
      <c r="F38" s="668"/>
      <c r="G38" s="668"/>
      <c r="H38" s="668"/>
      <c r="I38" s="667" t="s">
        <v>86</v>
      </c>
      <c r="J38" s="665">
        <f>J7*J36</f>
        <v>74.94</v>
      </c>
    </row>
    <row r="39" spans="1:10" ht="15.75">
      <c r="A39" s="669"/>
      <c r="B39" s="668"/>
      <c r="C39" s="668"/>
      <c r="D39" s="668"/>
      <c r="E39" s="668"/>
      <c r="F39" s="668"/>
      <c r="G39" s="668"/>
      <c r="H39" s="668"/>
      <c r="I39" s="668"/>
      <c r="J39" s="666"/>
    </row>
    <row r="40" spans="1:10" ht="15.75">
      <c r="A40" s="669" t="s">
        <v>773</v>
      </c>
      <c r="B40" s="668" t="str">
        <f>CONCATENATE("Maximum levy for budget year ",J1,", including debt service, not requiring 'notice of vote publication.'")</f>
        <v>Maximum levy for budget year 2015, including debt service, not requiring 'notice of vote publication.'</v>
      </c>
      <c r="C40" s="668"/>
      <c r="D40" s="668"/>
      <c r="E40" s="668"/>
      <c r="F40" s="668"/>
      <c r="G40" s="668"/>
      <c r="H40" s="668"/>
      <c r="I40" s="668"/>
      <c r="J40" s="664"/>
    </row>
    <row r="41" spans="1:10" ht="19.5" thickBot="1">
      <c r="A41" s="657"/>
      <c r="B41" s="667" t="s">
        <v>785</v>
      </c>
      <c r="C41" s="657"/>
      <c r="D41" s="657"/>
      <c r="E41" s="657"/>
      <c r="F41" s="657"/>
      <c r="G41" s="657"/>
      <c r="H41" s="657"/>
      <c r="I41" s="667" t="s">
        <v>86</v>
      </c>
      <c r="J41" s="670">
        <f>J34+J39</f>
        <v>5016</v>
      </c>
    </row>
    <row r="42" spans="1:10" ht="19.5" thickTop="1">
      <c r="A42" s="657"/>
      <c r="B42" s="674"/>
      <c r="C42" s="657"/>
      <c r="D42" s="657"/>
      <c r="E42" s="657"/>
      <c r="F42" s="657"/>
      <c r="G42" s="657"/>
      <c r="H42" s="657"/>
      <c r="I42" s="667"/>
      <c r="J42" s="666"/>
    </row>
    <row r="43" spans="1:10" ht="18.75">
      <c r="A43" s="657"/>
      <c r="B43" s="674"/>
      <c r="C43" s="657"/>
      <c r="D43" s="657"/>
      <c r="E43" s="657"/>
      <c r="F43" s="657"/>
      <c r="G43" s="657"/>
      <c r="H43" s="657"/>
      <c r="I43" s="667"/>
      <c r="J43" s="666"/>
    </row>
    <row r="44" spans="1:10" ht="18.75">
      <c r="A44" s="743" t="str">
        <f>CONCATENATE("If the ",J1," adopted budget includes a total property tax levy exceeding the dollar amount in line 17")</f>
        <v>If the 2015 adopted budget includes a total property tax levy exceeding the dollar amount in line 17</v>
      </c>
      <c r="B44" s="743"/>
      <c r="C44" s="743"/>
      <c r="D44" s="743"/>
      <c r="E44" s="743"/>
      <c r="F44" s="743"/>
      <c r="G44" s="743"/>
      <c r="H44" s="743"/>
      <c r="I44" s="743"/>
      <c r="J44" s="743"/>
    </row>
    <row r="45" spans="1:10" ht="18.75">
      <c r="A45" s="743" t="s">
        <v>774</v>
      </c>
      <c r="B45" s="743"/>
      <c r="C45" s="743"/>
      <c r="D45" s="743"/>
      <c r="E45" s="743"/>
      <c r="F45" s="743"/>
      <c r="G45" s="743"/>
      <c r="H45" s="743"/>
      <c r="I45" s="743"/>
      <c r="J45" s="743"/>
    </row>
    <row r="46" spans="1:10" ht="15.75">
      <c r="A46" s="742" t="s">
        <v>775</v>
      </c>
      <c r="B46" s="742"/>
      <c r="C46" s="742"/>
      <c r="D46" s="742"/>
      <c r="E46" s="742"/>
      <c r="F46" s="742"/>
      <c r="G46" s="742"/>
      <c r="H46" s="742"/>
      <c r="I46" s="742"/>
      <c r="J46" s="742"/>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PIEDMONT  CEMETERY #1</v>
      </c>
      <c r="C1" s="74"/>
      <c r="D1" s="74"/>
      <c r="E1" s="74"/>
      <c r="F1" s="74"/>
      <c r="G1" s="74"/>
      <c r="H1" s="74"/>
      <c r="I1" s="219"/>
      <c r="J1" s="74"/>
    </row>
    <row r="2" spans="1:10" ht="15.75">
      <c r="A2" s="74"/>
      <c r="B2" s="74" t="str">
        <f>inputPrYr!D4</f>
        <v>GREENWOOD</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47" t="s">
        <v>716</v>
      </c>
      <c r="C6" s="747"/>
      <c r="D6" s="747"/>
      <c r="E6" s="747"/>
      <c r="F6" s="747"/>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45" t="str">
        <f>CONCATENATE("",J2-1,"                    Budgeted Funds")</f>
        <v>2014                    Budgeted Funds</v>
      </c>
      <c r="C9" s="726" t="str">
        <f>CONCATENATE("Tax Levy Amount in ",J2-2," Budget")</f>
        <v>Tax Levy Amount in 2013 Budget</v>
      </c>
      <c r="D9" s="729" t="str">
        <f>CONCATENATE("Allocation for Year ",J2,"")</f>
        <v>Allocation for Year 2015</v>
      </c>
      <c r="E9" s="748"/>
      <c r="F9" s="736"/>
      <c r="G9" s="74"/>
      <c r="H9" s="74"/>
      <c r="I9" s="74"/>
      <c r="J9" s="74"/>
    </row>
    <row r="10" spans="1:10" ht="15.75">
      <c r="A10" s="74"/>
      <c r="B10" s="746"/>
      <c r="C10" s="746"/>
      <c r="D10" s="131" t="s">
        <v>38</v>
      </c>
      <c r="E10" s="131" t="s">
        <v>39</v>
      </c>
      <c r="F10" s="186" t="s">
        <v>80</v>
      </c>
      <c r="G10" s="74"/>
      <c r="H10" s="74"/>
      <c r="I10" s="74"/>
      <c r="J10" s="74"/>
    </row>
    <row r="11" spans="1:10" ht="15.75">
      <c r="A11" s="74"/>
      <c r="B11" s="106" t="str">
        <f>inputPrYr!B24</f>
        <v>General</v>
      </c>
      <c r="C11" s="133">
        <f>inputPrYr!E24</f>
        <v>4996</v>
      </c>
      <c r="D11" s="133">
        <f>IF(E17=0,0,E17-D12-D13-D14)</f>
        <v>323</v>
      </c>
      <c r="E11" s="133">
        <f>IF(E19=0,0,E19-E12-E13-E14)</f>
        <v>3</v>
      </c>
      <c r="F11" s="133">
        <f>IF(E21=0,0,E21-F12-F13-F14)</f>
        <v>41</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8</v>
      </c>
      <c r="C15" s="141">
        <f>SUM(C11:C14)</f>
        <v>4996</v>
      </c>
      <c r="D15" s="141">
        <f>SUM(D11:D14)</f>
        <v>323</v>
      </c>
      <c r="E15" s="141">
        <f>SUM(E11:E14)</f>
        <v>3</v>
      </c>
      <c r="F15" s="141">
        <f>SUM(F11:F14)</f>
        <v>41</v>
      </c>
      <c r="G15" s="74"/>
      <c r="H15" s="74"/>
      <c r="I15" s="74"/>
      <c r="J15" s="74"/>
    </row>
    <row r="16" spans="1:10" ht="16.5" thickTop="1">
      <c r="A16" s="74"/>
      <c r="B16" s="74"/>
      <c r="C16" s="74"/>
      <c r="D16" s="74"/>
      <c r="E16" s="74"/>
      <c r="F16" s="74"/>
      <c r="G16" s="74"/>
      <c r="H16" s="74"/>
      <c r="I16" s="74"/>
      <c r="J16" s="74"/>
    </row>
    <row r="17" spans="1:10" ht="15.75">
      <c r="A17" s="74"/>
      <c r="B17" s="73" t="s">
        <v>40</v>
      </c>
      <c r="C17" s="74"/>
      <c r="D17" s="74"/>
      <c r="E17" s="221">
        <f>inputOth!E69</f>
        <v>323</v>
      </c>
      <c r="F17" s="74"/>
      <c r="G17" s="74"/>
      <c r="H17" s="74"/>
      <c r="I17" s="74"/>
      <c r="J17" s="74"/>
    </row>
    <row r="18" spans="1:10" ht="15.75">
      <c r="A18" s="74"/>
      <c r="B18" s="74"/>
      <c r="C18" s="74"/>
      <c r="D18" s="145"/>
      <c r="E18" s="145"/>
      <c r="F18" s="74"/>
      <c r="G18" s="74"/>
      <c r="H18" s="74"/>
      <c r="I18" s="74"/>
      <c r="J18" s="74"/>
    </row>
    <row r="19" spans="1:10" ht="15.75">
      <c r="A19" s="74"/>
      <c r="B19" s="73" t="s">
        <v>41</v>
      </c>
      <c r="C19" s="74"/>
      <c r="D19" s="145"/>
      <c r="E19" s="221">
        <f>inputOth!E76</f>
        <v>3</v>
      </c>
      <c r="F19" s="74"/>
      <c r="G19" s="74"/>
      <c r="H19" s="74"/>
      <c r="I19" s="74"/>
      <c r="J19" s="74"/>
    </row>
    <row r="20" spans="1:10" ht="15.75">
      <c r="A20" s="74"/>
      <c r="B20" s="74"/>
      <c r="C20" s="74"/>
      <c r="D20" s="74"/>
      <c r="E20" s="74"/>
      <c r="F20" s="74"/>
      <c r="G20" s="74"/>
      <c r="H20" s="74"/>
      <c r="I20" s="74"/>
      <c r="J20" s="74"/>
    </row>
    <row r="21" spans="1:10" ht="15.75">
      <c r="A21" s="74"/>
      <c r="B21" s="73" t="s">
        <v>81</v>
      </c>
      <c r="C21" s="74"/>
      <c r="D21" s="74"/>
      <c r="E21" s="221">
        <f>inputOth!E83</f>
        <v>41</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42</v>
      </c>
      <c r="C24" s="222">
        <f>IF(C15=0,0,E17/C15)</f>
        <v>0.06465172137710168</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43</v>
      </c>
      <c r="D26" s="224">
        <f>IF(C15=0,0,E19/C15)</f>
        <v>0.0006004803843074459</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82</v>
      </c>
      <c r="E28" s="224">
        <f>IF(C15=0,0,E21/C15)</f>
        <v>0.008206565252201762</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G22" sqref="G22"/>
    </sheetView>
  </sheetViews>
  <sheetFormatPr defaultColWidth="8.7968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PIEDMONT  CEMETERY #1</v>
      </c>
      <c r="B2" s="227"/>
      <c r="C2" s="74"/>
      <c r="D2" s="74"/>
      <c r="E2" s="219"/>
      <c r="F2" s="74"/>
    </row>
    <row r="3" spans="1:6" ht="15.75">
      <c r="A3" s="227" t="str">
        <f>inputPrYr!D4</f>
        <v>GREENWOOD</v>
      </c>
      <c r="B3" s="227"/>
      <c r="C3" s="74"/>
      <c r="D3" s="74"/>
      <c r="E3" s="219"/>
      <c r="F3" s="74"/>
    </row>
    <row r="4" spans="1:6" ht="15.75">
      <c r="A4" s="145"/>
      <c r="B4" s="74"/>
      <c r="C4" s="74"/>
      <c r="D4" s="74"/>
      <c r="E4" s="219"/>
      <c r="F4" s="74"/>
    </row>
    <row r="5" spans="1:6" ht="15" customHeight="1">
      <c r="A5" s="725" t="s">
        <v>121</v>
      </c>
      <c r="B5" s="725"/>
      <c r="C5" s="725"/>
      <c r="D5" s="725"/>
      <c r="E5" s="725"/>
      <c r="F5" s="725"/>
    </row>
    <row r="6" spans="1:6" ht="14.25" customHeight="1">
      <c r="A6" s="159"/>
      <c r="B6" s="228"/>
      <c r="C6" s="228"/>
      <c r="D6" s="228"/>
      <c r="E6" s="228"/>
      <c r="F6" s="228"/>
    </row>
    <row r="7" spans="1:6" ht="17.25" customHeight="1">
      <c r="A7" s="229" t="s">
        <v>17</v>
      </c>
      <c r="B7" s="229" t="s">
        <v>538</v>
      </c>
      <c r="C7" s="229" t="s">
        <v>44</v>
      </c>
      <c r="D7" s="229" t="s">
        <v>122</v>
      </c>
      <c r="E7" s="229" t="s">
        <v>123</v>
      </c>
      <c r="F7" s="229" t="s">
        <v>144</v>
      </c>
    </row>
    <row r="8" spans="1:6" ht="17.25" customHeight="1">
      <c r="A8" s="230" t="s">
        <v>539</v>
      </c>
      <c r="B8" s="230" t="s">
        <v>540</v>
      </c>
      <c r="C8" s="230" t="s">
        <v>145</v>
      </c>
      <c r="D8" s="230" t="s">
        <v>145</v>
      </c>
      <c r="E8" s="230" t="s">
        <v>145</v>
      </c>
      <c r="F8" s="230" t="s">
        <v>146</v>
      </c>
    </row>
    <row r="9" spans="1:6" s="233" customFormat="1" ht="18" customHeight="1">
      <c r="A9" s="231" t="s">
        <v>147</v>
      </c>
      <c r="B9" s="231" t="s">
        <v>148</v>
      </c>
      <c r="C9" s="232">
        <f>F1-2</f>
        <v>2013</v>
      </c>
      <c r="D9" s="232">
        <f>F1-1</f>
        <v>2014</v>
      </c>
      <c r="E9" s="232">
        <f>F1</f>
        <v>2015</v>
      </c>
      <c r="F9" s="231" t="s">
        <v>149</v>
      </c>
    </row>
    <row r="10" spans="1:6" ht="15" customHeight="1">
      <c r="A10" s="234"/>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117</v>
      </c>
      <c r="C24" s="239">
        <f>SUM(C10:C23)</f>
        <v>0</v>
      </c>
      <c r="D24" s="239">
        <f>SUM(D10:D23)</f>
        <v>0</v>
      </c>
      <c r="E24" s="239">
        <f>SUM(E10:E23)</f>
        <v>0</v>
      </c>
      <c r="F24" s="240"/>
      <c r="G24" s="158"/>
    </row>
    <row r="25" spans="1:7" ht="15.75">
      <c r="A25" s="89"/>
      <c r="B25" s="241" t="s">
        <v>536</v>
      </c>
      <c r="C25" s="242"/>
      <c r="D25" s="243"/>
      <c r="E25" s="243"/>
      <c r="F25" s="240"/>
      <c r="G25" s="158"/>
    </row>
    <row r="26" spans="1:7" ht="15.75">
      <c r="A26" s="89"/>
      <c r="B26" s="238" t="s">
        <v>150</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537</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58" customWidth="1"/>
    <col min="2" max="16384" width="8.8984375" style="158" customWidth="1"/>
  </cols>
  <sheetData>
    <row r="1" ht="18.75">
      <c r="A1" s="338" t="s">
        <v>286</v>
      </c>
    </row>
    <row r="2" ht="15.75">
      <c r="A2" s="120"/>
    </row>
    <row r="3" ht="47.25">
      <c r="A3" s="339" t="s">
        <v>287</v>
      </c>
    </row>
    <row r="4" ht="15.75">
      <c r="A4" s="340"/>
    </row>
    <row r="5" ht="15.75">
      <c r="A5" s="120"/>
    </row>
    <row r="6" ht="63">
      <c r="A6" s="339" t="s">
        <v>288</v>
      </c>
    </row>
    <row r="7" ht="15.75">
      <c r="A7" s="340"/>
    </row>
    <row r="8" ht="15.75">
      <c r="A8" s="120"/>
    </row>
    <row r="9" ht="47.25">
      <c r="A9" s="339" t="s">
        <v>289</v>
      </c>
    </row>
    <row r="10" ht="15.75">
      <c r="A10" s="340"/>
    </row>
    <row r="11" ht="15.75">
      <c r="A11" s="340"/>
    </row>
    <row r="12" ht="31.5">
      <c r="A12" s="339" t="s">
        <v>290</v>
      </c>
    </row>
    <row r="13" ht="15.75">
      <c r="A13" s="120"/>
    </row>
    <row r="14" ht="15.75">
      <c r="A14" s="120"/>
    </row>
    <row r="15" ht="47.25">
      <c r="A15" s="339" t="s">
        <v>291</v>
      </c>
    </row>
    <row r="16" ht="15.75">
      <c r="A16" s="120"/>
    </row>
    <row r="17" ht="15.75">
      <c r="A17" s="120"/>
    </row>
    <row r="18" ht="63">
      <c r="A18" s="407" t="s">
        <v>548</v>
      </c>
    </row>
    <row r="19" ht="15.75">
      <c r="A19" s="120"/>
    </row>
    <row r="20" ht="15.75">
      <c r="A20" s="120"/>
    </row>
    <row r="21" ht="63">
      <c r="A21" s="408" t="s">
        <v>292</v>
      </c>
    </row>
    <row r="22" ht="15.75">
      <c r="A22" s="340"/>
    </row>
    <row r="23" ht="15.75">
      <c r="A23" s="120"/>
    </row>
    <row r="24" ht="63">
      <c r="A24" s="339" t="s">
        <v>293</v>
      </c>
    </row>
    <row r="25" ht="47.25">
      <c r="A25" s="341" t="s">
        <v>294</v>
      </c>
    </row>
    <row r="26" ht="15.75">
      <c r="A26" s="340"/>
    </row>
    <row r="27" ht="15.75">
      <c r="A27" s="120"/>
    </row>
    <row r="28" ht="63">
      <c r="A28" s="407" t="s">
        <v>549</v>
      </c>
    </row>
    <row r="29" ht="15.75">
      <c r="A29" s="120"/>
    </row>
    <row r="30" ht="15.75">
      <c r="A30" s="120"/>
    </row>
    <row r="31" ht="78.75">
      <c r="A31" s="407" t="s">
        <v>550</v>
      </c>
    </row>
    <row r="32" ht="15.75">
      <c r="A32" s="120"/>
    </row>
    <row r="33" ht="15.75">
      <c r="A33" s="120"/>
    </row>
    <row r="34" ht="47.25">
      <c r="A34" s="409" t="s">
        <v>551</v>
      </c>
    </row>
    <row r="35" ht="15.75">
      <c r="A35" s="120"/>
    </row>
    <row r="36" ht="15.75">
      <c r="A36" s="120"/>
    </row>
    <row r="37" ht="78.75">
      <c r="A37" s="339" t="s">
        <v>295</v>
      </c>
    </row>
    <row r="38" ht="15.75">
      <c r="A38" s="340"/>
    </row>
    <row r="39" ht="15.75">
      <c r="A39" s="340"/>
    </row>
    <row r="40" ht="47.25">
      <c r="A40" s="408" t="s">
        <v>296</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2014-07-24T15:28:15Z</cp:lastPrinted>
  <dcterms:created xsi:type="dcterms:W3CDTF">1999-08-06T13:59:57Z</dcterms:created>
  <dcterms:modified xsi:type="dcterms:W3CDTF">2014-07-24T15:34:48Z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