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4" activeTab="5"/>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DebtService" sheetId="15" r:id="rId15"/>
    <sheet name="road" sheetId="16" r:id="rId16"/>
    <sheet name="road-detail" sheetId="17" r:id="rId17"/>
    <sheet name="levy page10" sheetId="18" r:id="rId18"/>
    <sheet name="levy page11" sheetId="19" r:id="rId19"/>
    <sheet name="levy page12" sheetId="20" r:id="rId20"/>
    <sheet name="levy page13" sheetId="21" r:id="rId21"/>
    <sheet name="levy page14" sheetId="22" r:id="rId22"/>
    <sheet name="levy page15" sheetId="23" r:id="rId23"/>
    <sheet name="levy page19" sheetId="24" r:id="rId24"/>
    <sheet name="no levy page 16" sheetId="25" r:id="rId25"/>
    <sheet name="no levy page17" sheetId="26" r:id="rId26"/>
    <sheet name="no levy page18" sheetId="27" r:id="rId27"/>
    <sheet name="no levy page19" sheetId="28" r:id="rId28"/>
    <sheet name="no levy page20" sheetId="29" r:id="rId29"/>
    <sheet name="no levy page 21" sheetId="30" r:id="rId30"/>
    <sheet name="no levy page22" sheetId="31" r:id="rId31"/>
    <sheet name="NonBud" sheetId="32" r:id="rId32"/>
    <sheet name="NonBud (2)" sheetId="33" r:id="rId33"/>
    <sheet name="NonBudFunds" sheetId="34" r:id="rId34"/>
    <sheet name="summ" sheetId="35" r:id="rId35"/>
    <sheet name="summ2" sheetId="36" r:id="rId36"/>
    <sheet name="Nhood" sheetId="37" r:id="rId37"/>
    <sheet name="Resolution" sheetId="38" r:id="rId38"/>
    <sheet name="Tab A" sheetId="39" r:id="rId39"/>
    <sheet name="Tab B" sheetId="40" r:id="rId40"/>
    <sheet name="Tab C" sheetId="41" r:id="rId41"/>
    <sheet name="Tab D" sheetId="42" r:id="rId42"/>
    <sheet name="Tab E" sheetId="43" r:id="rId43"/>
    <sheet name="Mill Rate Computation" sheetId="44" r:id="rId44"/>
    <sheet name="Helpful Links" sheetId="45" r:id="rId45"/>
    <sheet name="legend" sheetId="46" r:id="rId46"/>
  </sheets>
  <definedNames>
    <definedName name="_xlnm.Print_Area" localSheetId="14">'DebtService'!$B$1:$E$59</definedName>
    <definedName name="_xlnm.Print_Area" localSheetId="1">'inputPrYr'!$A$1:$F$96</definedName>
    <definedName name="_xlnm.Print_Area" localSheetId="0">'instructions'!$A$1:$A$108</definedName>
    <definedName name="_xlnm.Print_Area" localSheetId="17">'levy page10'!$A$1:$E$86</definedName>
    <definedName name="_xlnm.Print_Area" localSheetId="18">'levy page11'!$A$1:$E$94</definedName>
    <definedName name="_xlnm.Print_Area" localSheetId="19">'levy page12'!$A$1:$E$86</definedName>
    <definedName name="_xlnm.Print_Area" localSheetId="20">'levy page13'!$A$1:$E$86</definedName>
    <definedName name="_xlnm.Print_Area" localSheetId="21">'levy page14'!$A$1:$E$86</definedName>
    <definedName name="_xlnm.Print_Area" localSheetId="22">'levy page15'!$A$1:$E$86</definedName>
    <definedName name="_xlnm.Print_Area" localSheetId="23">'levy page19'!$A$1:$E$86</definedName>
    <definedName name="_xlnm.Print_Area" localSheetId="15">'road'!$B$1:$E$120</definedName>
    <definedName name="_xlnm.Print_Area" localSheetId="34">'summ'!$A$1:$H$68</definedName>
  </definedNames>
  <calcPr fullCalcOnLoad="1"/>
</workbook>
</file>

<file path=xl/sharedStrings.xml><?xml version="1.0" encoding="utf-8"?>
<sst xmlns="http://schemas.openxmlformats.org/spreadsheetml/2006/main" count="2460" uniqueCount="1090">
  <si>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</si>
  <si>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</si>
  <si>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</si>
  <si>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</si>
  <si>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</si>
  <si>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</si>
  <si>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</si>
  <si>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</si>
  <si>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2. Instructions tab, changed #3 for adding name of official for Budget Summary page</t>
  </si>
  <si>
    <t>3. Instructions tab, added #3b for new max published date on 'inputBudSum' tab</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</si>
  <si>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</si>
  <si>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</si>
  <si>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</si>
  <si>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 xml:space="preserve">3. The 'inputBudSum' tab is used to place information on the Budget Summary. On this tab you will need to key in the following information: Name of Person presenting the budget, date the budget hearing will be held, time of the hearing, location of the budget hearing, and a place whereas the taxpayers can obtain a copy of the budget.  </t>
  </si>
  <si>
    <t xml:space="preserve">Allocation of Vehicle Taxes </t>
  </si>
  <si>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</si>
  <si>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</si>
  <si>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</si>
  <si>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</si>
  <si>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</si>
  <si>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</si>
  <si>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</si>
  <si>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</si>
  <si>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</si>
  <si>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</si>
  <si>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</si>
  <si>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</si>
  <si>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</si>
  <si>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</si>
  <si>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</si>
  <si>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</si>
  <si>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</si>
  <si>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</si>
  <si>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</si>
  <si>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</si>
  <si>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r>
      <t xml:space="preserve">1b.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</si>
  <si>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#1b for adjusting ad valorem taxes</t>
  </si>
  <si>
    <t xml:space="preserve">4b.  If someone other than a municipal employee assists in preparing the budget, please enter the person's or firm's name, address in the area provided, and email address. </t>
  </si>
  <si>
    <t>4. Instructions tab, included in #4b allowing for email address</t>
  </si>
  <si>
    <t>5. Instructions tab, changed #6 to remove slider column and computations</t>
  </si>
  <si>
    <t>6. Instructions tab, changed #11b to reflect all tax levy pages with 'Projected Carryover' table</t>
  </si>
  <si>
    <t>7. Instructions tab, changed #11c to reflect all tax levy pages with 'Desired Carryover' and warning about delinquency rate</t>
  </si>
  <si>
    <t>8. Instructions tab, added #11d for last year mill rate, proposed total mill rate, and last year total mill rate</t>
  </si>
  <si>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</si>
  <si>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</si>
  <si>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 xml:space="preserve">10e.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</si>
  <si>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</si>
  <si>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</si>
  <si>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</si>
  <si>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</si>
  <si>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</si>
  <si>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</si>
  <si>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</si>
  <si>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Is a resolution required?</t>
  </si>
  <si>
    <t>The following were changed to this spreadsheet on 10/9/12</t>
  </si>
  <si>
    <t>1.  Added "resolution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</si>
  <si>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</si>
  <si>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</si>
  <si>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</si>
  <si>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</si>
  <si>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County Clerk                     (Dept #2)</t>
  </si>
  <si>
    <t>County Treasurer               (Dept #3)</t>
  </si>
  <si>
    <t>Register of Deeds              (Dept #4)</t>
  </si>
  <si>
    <t xml:space="preserve">County Commissioners         (Dept #1)    </t>
  </si>
  <si>
    <t>District Court                     (Dept #5)</t>
  </si>
  <si>
    <t xml:space="preserve">Building Maintenance         (Dept #7)         </t>
  </si>
  <si>
    <t>County Coroner                (Dept #6)</t>
  </si>
  <si>
    <t>County Auditor                 (Dept #8)</t>
  </si>
  <si>
    <t>Law Enforcement - Sheriff   (Dept #10)</t>
  </si>
  <si>
    <t>Compliance Officer            (Dept #9)</t>
  </si>
  <si>
    <t>County Attorney                 (Dept #11)</t>
  </si>
  <si>
    <t>Emergency Preparedness    (Dept #12)</t>
  </si>
  <si>
    <t>GIS                                    (Dept #13)</t>
  </si>
  <si>
    <t>Soil Conservation               (Dept #14)</t>
  </si>
  <si>
    <t>4-H Awards                      (Dept #15)</t>
  </si>
  <si>
    <t>Appropriations</t>
  </si>
  <si>
    <t>Juvenile Detention              (Dept #16)</t>
  </si>
  <si>
    <t>County Appraiser          (Dept #17)</t>
  </si>
  <si>
    <t>Computer Department          (Dept #21)</t>
  </si>
  <si>
    <t>Department of Corrections     (Dept #20)</t>
  </si>
  <si>
    <t>Indirect Election                 (Dept #23)</t>
  </si>
  <si>
    <t>County Building                    (Dept #22)</t>
  </si>
  <si>
    <t>Direct Election                   (Dept #24)</t>
  </si>
  <si>
    <t>Fair Board                         (Dept #25)</t>
  </si>
  <si>
    <t>Fair Building                      (Dept #26)</t>
  </si>
  <si>
    <t>Historical Collection         (Dept #27)</t>
  </si>
  <si>
    <t>Household Solid Waste     (Dept #29)</t>
  </si>
  <si>
    <t>Environmental Health          (Dept #31)</t>
  </si>
  <si>
    <t>County General Operating    (Dept #32)</t>
  </si>
  <si>
    <t>County General Capital Outlay   (Dept #33)</t>
  </si>
  <si>
    <t>Human Resources             (Dept #35)</t>
  </si>
  <si>
    <t>Cessna Inducement Payment  (Dept #39)</t>
  </si>
  <si>
    <t>Auto Tag Payroll                 (Dept #40)</t>
  </si>
  <si>
    <t>Special Funds                    Dept #38)</t>
  </si>
  <si>
    <t>Inmate Housing                  (Dept #32)</t>
  </si>
  <si>
    <t>Mail Room                      (Dept #42)</t>
  </si>
  <si>
    <t>Neighborhood Revitalization   (Dept #32)</t>
  </si>
  <si>
    <t xml:space="preserve">  Refunds</t>
  </si>
  <si>
    <t>Reimbursements</t>
  </si>
  <si>
    <t>Revenue Excise Tax</t>
  </si>
  <si>
    <t>Revenue in Lieu</t>
  </si>
  <si>
    <t>State Grant-Flood Control</t>
  </si>
  <si>
    <t>Special Funds</t>
  </si>
  <si>
    <t xml:space="preserve">  Transfer to Machinery</t>
  </si>
  <si>
    <t xml:space="preserve">  Transfer to Special Highway</t>
  </si>
  <si>
    <t>County Health</t>
  </si>
  <si>
    <t>79-146</t>
  </si>
  <si>
    <t>Special Bridge</t>
  </si>
  <si>
    <t>68-1135</t>
  </si>
  <si>
    <t>19-4007</t>
  </si>
  <si>
    <t>Council on Aging</t>
  </si>
  <si>
    <t>12-1680</t>
  </si>
  <si>
    <t>12-16-120</t>
  </si>
  <si>
    <t>Noxious Weed</t>
  </si>
  <si>
    <t>02-1318</t>
  </si>
  <si>
    <t>.Ambulance Services</t>
  </si>
  <si>
    <t>65-6113</t>
  </si>
  <si>
    <t>19-4102</t>
  </si>
  <si>
    <t>Special Liability</t>
  </si>
  <si>
    <t>75-6110</t>
  </si>
  <si>
    <t>No Fund Warr-B&amp;I</t>
  </si>
  <si>
    <t>79-2938</t>
  </si>
  <si>
    <t>Waste Disposal</t>
  </si>
  <si>
    <t>Tourism &amp; Convention</t>
  </si>
  <si>
    <t>Sp Law Enforcement</t>
  </si>
  <si>
    <t>Sp Parks &amp; Rec</t>
  </si>
  <si>
    <t>Sp Alcohol Program</t>
  </si>
  <si>
    <t>Sp Assmts-Co Wide</t>
  </si>
  <si>
    <t>Emergency 911</t>
  </si>
  <si>
    <t>VIN Fees</t>
  </si>
  <si>
    <t>Noxious Weed Cap. Outlay</t>
  </si>
  <si>
    <t>Risk Management Fund</t>
  </si>
  <si>
    <t>Sewer District #1 Maint</t>
  </si>
  <si>
    <t>Sewer District #2 Maint</t>
  </si>
  <si>
    <t>Sewer District #4 - B&amp;I</t>
  </si>
  <si>
    <t>Sewer District #5 - B&amp;I</t>
  </si>
  <si>
    <t>Rural Fire District No. 1</t>
  </si>
  <si>
    <t xml:space="preserve">  General</t>
  </si>
  <si>
    <t xml:space="preserve">  Employee Benefits</t>
  </si>
  <si>
    <t xml:space="preserve">  Sp. Equipment - Rural Fire</t>
  </si>
  <si>
    <t xml:space="preserve">  </t>
  </si>
  <si>
    <t xml:space="preserve">         TOTAL</t>
  </si>
  <si>
    <t>Cemetery Districts:</t>
  </si>
  <si>
    <t>19-2701</t>
  </si>
  <si>
    <t>19-2701a</t>
  </si>
  <si>
    <t>19-3610</t>
  </si>
  <si>
    <t>19-16102</t>
  </si>
  <si>
    <t xml:space="preserve">  Fawn Creek #1</t>
  </si>
  <si>
    <t>17-330</t>
  </si>
  <si>
    <t xml:space="preserve">  Harrisonville #3</t>
  </si>
  <si>
    <t xml:space="preserve">  Havana #4</t>
  </si>
  <si>
    <t xml:space="preserve">  Jefferson #5</t>
  </si>
  <si>
    <t xml:space="preserve">  Robbins #7</t>
  </si>
  <si>
    <t xml:space="preserve">  Springhill #9</t>
  </si>
  <si>
    <t xml:space="preserve">  Sycamore #10</t>
  </si>
  <si>
    <t xml:space="preserve">  Oak Hill #11</t>
  </si>
  <si>
    <t xml:space="preserve">  Rutland #12</t>
  </si>
  <si>
    <t xml:space="preserve">  Liberty #13</t>
  </si>
  <si>
    <t xml:space="preserve">  Cherokee #14</t>
  </si>
  <si>
    <t xml:space="preserve">  Cherry #15</t>
  </si>
  <si>
    <t xml:space="preserve">  White #17</t>
  </si>
  <si>
    <t xml:space="preserve">  West Cherry #18</t>
  </si>
  <si>
    <t xml:space="preserve">  Blackjack #19</t>
  </si>
  <si>
    <t>Patient Fees</t>
  </si>
  <si>
    <t>Federal &amp; State Grants</t>
  </si>
  <si>
    <t>Excise Tax</t>
  </si>
  <si>
    <t>Personal Services</t>
  </si>
  <si>
    <t>Contractual</t>
  </si>
  <si>
    <t>Commodities</t>
  </si>
  <si>
    <t>Capital Outlay</t>
  </si>
  <si>
    <t>Rental Excise</t>
  </si>
  <si>
    <t>Revenue In Lieu</t>
  </si>
  <si>
    <t>Rental Excise Tax</t>
  </si>
  <si>
    <t>Other Income &amp; Reimbursements</t>
  </si>
  <si>
    <t>Social Security &amp; Medicare</t>
  </si>
  <si>
    <t>Employee Retirement</t>
  </si>
  <si>
    <t>Workman's Compensation</t>
  </si>
  <si>
    <t>Unemployment Compensation</t>
  </si>
  <si>
    <t>Health Insurance</t>
  </si>
  <si>
    <t>Chemical Sales</t>
  </si>
  <si>
    <t>Revenue in lieu</t>
  </si>
  <si>
    <t>Transfer to Risk Management Fund</t>
  </si>
  <si>
    <t>(KSA 12-2615)</t>
  </si>
  <si>
    <t>Charlotte Scott Schmidt</t>
  </si>
  <si>
    <t>August 11, 2014</t>
  </si>
  <si>
    <t>9:30 AM</t>
  </si>
  <si>
    <t>Montgomery County Clerk's Office</t>
  </si>
  <si>
    <t>Montgomery County Commission Meeting Room</t>
  </si>
  <si>
    <t>Sewer District No. 2</t>
  </si>
  <si>
    <t>CDBG</t>
  </si>
  <si>
    <t>Motorgraders</t>
  </si>
  <si>
    <t>Sheriff's Vehicles</t>
  </si>
  <si>
    <t>Detention Control System</t>
  </si>
  <si>
    <t>Sheriff's Car Video Cameras</t>
  </si>
  <si>
    <t>Vehicle Retail Excise Tax</t>
  </si>
  <si>
    <t>Interest of Fees on Taxes</t>
  </si>
  <si>
    <t>Court Fees</t>
  </si>
  <si>
    <t>County Officer Fees</t>
  </si>
  <si>
    <t>Mortgage Registeration Fees</t>
  </si>
  <si>
    <t>Inmate Commissary</t>
  </si>
  <si>
    <t>Inmate Telephone Commission</t>
  </si>
  <si>
    <t>Inmate Housing</t>
  </si>
  <si>
    <t>Environmental Fees</t>
  </si>
  <si>
    <t>Sales Tax Collection</t>
  </si>
  <si>
    <t>Auto Tag Payroll - Reimbursements</t>
  </si>
  <si>
    <t>Inmate Medical Co-Pay</t>
  </si>
  <si>
    <t>Transfer from Special Assmt Co-Wide</t>
  </si>
  <si>
    <t>Zoning Permits</t>
  </si>
  <si>
    <t>Transfer in - Meth Fund</t>
  </si>
  <si>
    <t>Transfer in - Reg. of Deeds Technology</t>
  </si>
  <si>
    <t>State Grant -Emergency Preparedness</t>
  </si>
  <si>
    <t>Local Sales Tax</t>
  </si>
  <si>
    <t>Flood Control - Federal Grant</t>
  </si>
  <si>
    <t>Fees</t>
  </si>
  <si>
    <t>Guest Tax</t>
  </si>
  <si>
    <t>Liquor Tax</t>
  </si>
  <si>
    <t>Transfer to General Fund</t>
  </si>
  <si>
    <t>Emergency Services</t>
  </si>
  <si>
    <t>Transfer from No Fund Warrants (B&amp;I)</t>
  </si>
  <si>
    <t>Reimbursement</t>
  </si>
  <si>
    <t>Special Hwy Improvement</t>
  </si>
  <si>
    <t>Special Machinery</t>
  </si>
  <si>
    <t>Community Corrections</t>
  </si>
  <si>
    <t>GIS Tech Fund</t>
  </si>
  <si>
    <t>Tech Fund-Reg. of Deeds</t>
  </si>
  <si>
    <t>Grants</t>
  </si>
  <si>
    <t>Miscellaneous Fees</t>
  </si>
  <si>
    <t>Transfer to General</t>
  </si>
  <si>
    <t>Sewer District No. 1</t>
  </si>
  <si>
    <t>Sewer District No. 4</t>
  </si>
  <si>
    <t>Sewer District No. 5</t>
  </si>
  <si>
    <t>Delinquent Assessment</t>
  </si>
  <si>
    <t>Paid to Maintenance Fund</t>
  </si>
  <si>
    <t>Concealed Permit Fees</t>
  </si>
  <si>
    <t>Special Equipment Reserve</t>
  </si>
  <si>
    <t>Special Assessments</t>
  </si>
  <si>
    <t>General Fund</t>
  </si>
  <si>
    <t>Reg of Deeds Tech Fund</t>
  </si>
  <si>
    <t>68-141g</t>
  </si>
  <si>
    <t>79-2958</t>
  </si>
  <si>
    <t>28-115a</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</si>
  <si>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</si>
  <si>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</si>
  <si>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</si>
  <si>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</si>
  <si>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</si>
  <si>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</si>
  <si>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</si>
  <si>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</si>
  <si>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</si>
  <si>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</si>
  <si>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</si>
  <si>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</si>
  <si>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</si>
  <si>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</si>
  <si>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</si>
  <si>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</si>
  <si>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</si>
  <si>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</si>
  <si>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</si>
  <si>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</si>
  <si>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</si>
  <si>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</si>
  <si>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</si>
  <si>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</si>
  <si>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</si>
  <si>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</si>
  <si>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</si>
  <si>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</si>
  <si>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</si>
  <si>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</si>
  <si>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</si>
  <si>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</si>
  <si>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</si>
  <si>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</si>
  <si>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</si>
  <si>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</si>
  <si>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</si>
  <si>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</si>
  <si>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</si>
  <si>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</si>
  <si>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</si>
  <si>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</si>
  <si>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</si>
  <si>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</si>
  <si>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</si>
  <si>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</si>
  <si>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</si>
  <si>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</si>
  <si>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</si>
  <si>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</si>
  <si>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</si>
  <si>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</si>
  <si>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</si>
  <si>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</si>
  <si>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</si>
  <si>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</si>
  <si>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</si>
  <si>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</si>
  <si>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</si>
  <si>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</si>
  <si>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</si>
  <si>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</si>
  <si>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</si>
  <si>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</si>
  <si>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</si>
  <si>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</si>
  <si>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</si>
  <si>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</si>
  <si>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</si>
  <si>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</si>
  <si>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</si>
  <si>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</si>
  <si>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</si>
  <si>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</si>
  <si>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</si>
  <si>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</si>
  <si>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</si>
  <si>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</si>
  <si>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</si>
  <si>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</si>
  <si>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</si>
  <si>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</si>
  <si>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</si>
  <si>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</si>
  <si>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</si>
  <si>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</si>
  <si>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</si>
  <si>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</si>
  <si>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</si>
  <si>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</si>
  <si>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</si>
  <si>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</si>
  <si>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</si>
  <si>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</si>
  <si>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</si>
  <si>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</si>
  <si>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</si>
  <si>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</si>
  <si>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</si>
  <si>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</si>
  <si>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</si>
  <si>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</si>
  <si>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</si>
  <si>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</si>
  <si>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</si>
  <si>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</si>
  <si>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</si>
  <si>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</si>
  <si>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</si>
  <si>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</si>
  <si>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</si>
  <si>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</si>
  <si>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</si>
  <si>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</si>
  <si>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</si>
  <si>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</si>
  <si>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</si>
  <si>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</si>
  <si>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</si>
  <si>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</si>
  <si>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</si>
  <si>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</si>
  <si>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</si>
  <si>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</si>
  <si>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</si>
  <si>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</si>
  <si>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</si>
  <si>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</si>
  <si>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</si>
  <si>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</si>
  <si>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</si>
  <si>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</si>
  <si>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</si>
  <si>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</si>
  <si>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</si>
  <si>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</si>
  <si>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</si>
  <si>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</si>
  <si>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</si>
  <si>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</si>
  <si>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</si>
  <si>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</si>
  <si>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</si>
  <si>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</si>
  <si>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</si>
  <si>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</si>
  <si>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</si>
  <si>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</si>
  <si>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</si>
  <si>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</si>
  <si>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</si>
  <si>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</si>
  <si>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</si>
  <si>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</si>
  <si>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</si>
  <si>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</si>
  <si>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</si>
  <si>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</si>
  <si>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 &amp; bridge</t>
  </si>
  <si>
    <t xml:space="preserve">and noxious weed funds may split contractual services between the two </t>
  </si>
  <si>
    <t xml:space="preserve">funds.  If one of those funds is in trouble, you might be able to </t>
  </si>
  <si>
    <t>order to eliminate the violation (be sure, though, that the</t>
  </si>
  <si>
    <t xml:space="preserve">allocate a little more in contractual services to the healthy fund in </t>
  </si>
  <si>
    <t>order to eliminate the potential violation (be sure, though, that</t>
  </si>
  <si>
    <t xml:space="preserve">funds.  If one of those funds is in trouble you might be able to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</si>
  <si>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</si>
  <si>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</si>
  <si>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</si>
  <si>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4c. The Certificate(2) (cert2) and Budget Summary (summ2) are used when the County Clerk has special districts that are to be submitted along with the County's budget.</t>
  </si>
  <si>
    <t>5. The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</si>
  <si>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</si>
  <si>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5b. Print the Resolution page (resolution) if the max levy is exceeded.  Complete the printed resolution and ensure to attached it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</si>
  <si>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</si>
  <si>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</si>
  <si>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least period the item will be owned by the county.  Principal Balance Due for the actual year is linked to the Budget Summary page. </t>
    </r>
    <r>
      <rPr>
        <b/>
        <sz val="12"/>
        <rFont val="Times New Roman"/>
        <family val="1"/>
      </rPr>
      <t>If the county does not have any leases, then on the first line enter 'none'.</t>
    </r>
  </si>
  <si>
    <t>10.  The spreadsheet has individual fund sheets for General Fund (general), General Fund Detail (gen-detail), Debt Service (DebtService), Road &amp; Bridge (road), Road &amp; Bridge Detail (road-detail), 22 levy pages (levy page10 and levy page20), 10 no levy fund pages (nolevypage21 to nolevypage25), and 1non-budgeted tab which allows for 5 non-budgeted funds.  Only complete the fund pages needed.  When the fund pages are completed, the totals will be shown on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</si>
  <si>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</si>
  <si>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</si>
  <si>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11c. </t>
    </r>
    <r>
      <rPr>
        <b/>
        <sz val="12"/>
        <rFont val="Times New Roman"/>
        <family val="1"/>
      </rPr>
      <t>Note: If you do not have Neighborhood Revitalization, these steps are not done.</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</si>
  <si>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</si>
  <si>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</si>
  <si>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</si>
  <si>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</si>
  <si>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 xml:space="preserve">Submitting the Budget </t>
  </si>
  <si>
    <t>4. Bud Summary delete a space and combine sentences 'Detail…' and 'and will' for where budget infor located at</t>
  </si>
  <si>
    <t>answering objections of taxpayers relating to the proposed use of all funds and the amount of ad valorem tax.</t>
  </si>
  <si>
    <t xml:space="preserve">Enter the following information from the sources shown.  This information will be entered on the budget forms  </t>
  </si>
  <si>
    <t>in the appropriate locations.  If any of the numbers are wrong, change them on this input sheet.</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</si>
  <si>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</si>
  <si>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</si>
  <si>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</si>
  <si>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</si>
  <si>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</si>
  <si>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</si>
  <si>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Expenditure</t>
  </si>
  <si>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</si>
  <si>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</si>
  <si>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</si>
  <si>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</si>
  <si>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</si>
  <si>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</si>
  <si>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</si>
  <si>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</si>
  <si>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</si>
  <si>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</si>
  <si>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</si>
  <si>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</si>
  <si>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</si>
  <si>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</si>
  <si>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</si>
  <si>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Rec</t>
  </si>
  <si>
    <t>Does miscellaneous exceed 10% of Total Exp</t>
  </si>
  <si>
    <t>Non-Appropriated Balance</t>
  </si>
  <si>
    <t>Total Expenditure/Non-Appr Balance</t>
  </si>
  <si>
    <t>Delinquent Comp Rate:</t>
  </si>
  <si>
    <t>Road &amp; Bridge Fund</t>
  </si>
  <si>
    <t xml:space="preserve">General Fund </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</si>
  <si>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</si>
  <si>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</si>
  <si>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</si>
  <si>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t>Desired Carryover Amount:</t>
  </si>
  <si>
    <t>Estimated Mill Rate Impact:</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</si>
  <si>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</si>
  <si>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</si>
  <si>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</si>
  <si>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</si>
  <si>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</si>
  <si>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</si>
  <si>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</si>
  <si>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</si>
  <si>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</si>
  <si>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</si>
  <si>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</si>
  <si>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</si>
  <si>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</si>
  <si>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</si>
  <si>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</si>
  <si>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</si>
  <si>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</si>
  <si>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</si>
  <si>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</si>
  <si>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</si>
  <si>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</si>
  <si>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</si>
  <si>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</si>
  <si>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</si>
  <si>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</si>
  <si>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</si>
  <si>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</si>
  <si>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</si>
  <si>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</si>
  <si>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</si>
  <si>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</si>
  <si>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</si>
  <si>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</si>
  <si>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</si>
  <si>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</si>
  <si>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</si>
  <si>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</si>
  <si>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</si>
  <si>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</si>
  <si>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</si>
  <si>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</si>
  <si>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</si>
  <si>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</si>
  <si>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</si>
  <si>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</si>
  <si>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</si>
  <si>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</si>
  <si>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</si>
  <si>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</si>
  <si>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</si>
  <si>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</si>
  <si>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</si>
  <si>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</si>
  <si>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</si>
  <si>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</si>
  <si>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</si>
  <si>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</si>
  <si>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</si>
  <si>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</si>
  <si>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</si>
  <si>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</si>
  <si>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</si>
  <si>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</si>
  <si>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</si>
  <si>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</si>
  <si>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</si>
  <si>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</si>
  <si>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</si>
  <si>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</si>
  <si>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</si>
  <si>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</si>
  <si>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</si>
  <si>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</si>
  <si>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</si>
  <si>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</si>
  <si>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The following were changed to this spreadsheet on 9/16/10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</si>
  <si>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t>
    </r>
  </si>
  <si>
    <t xml:space="preserve">2.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</si>
  <si>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</si>
  <si>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</si>
  <si>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</si>
  <si>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</si>
  <si>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</si>
  <si>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</si>
  <si>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</si>
  <si>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</si>
  <si>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</si>
  <si>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</si>
  <si>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</si>
  <si>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</si>
  <si>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</si>
  <si>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</si>
  <si>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</si>
  <si>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</si>
  <si>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</si>
  <si>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</si>
  <si>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</si>
  <si>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</si>
  <si>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</si>
  <si>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</si>
  <si>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</si>
  <si>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</si>
  <si>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Page No. 7f</t>
  </si>
  <si>
    <t>Page No. 7e</t>
  </si>
  <si>
    <t>Page No. 7d</t>
  </si>
  <si>
    <t>Page No. 7c</t>
  </si>
  <si>
    <t>Page No.7b</t>
  </si>
  <si>
    <t>The estimated value of one mill would be:</t>
  </si>
  <si>
    <t>Change in Ad Valorem Tax Revenue:</t>
  </si>
  <si>
    <t>What Mill Rate Would Be Desired?</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</si>
  <si>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</si>
  <si>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</si>
  <si>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</si>
  <si>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</si>
  <si>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</si>
  <si>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</si>
  <si>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</si>
  <si>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</si>
  <si>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</si>
  <si>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</si>
  <si>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</si>
  <si>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t>The following were changed to this spreadsheet on 5/27/11</t>
  </si>
  <si>
    <t>1. Cert Tab change all tax levy reference for ad valorem tax column</t>
  </si>
  <si>
    <t>The following were changed to this spreadsheet on 8/8/11</t>
  </si>
  <si>
    <t>1. Corrected reference made to cell D20 on Summary Page</t>
  </si>
  <si>
    <t>Email:</t>
  </si>
  <si>
    <t>_______________________________  _______________________________</t>
  </si>
  <si>
    <t xml:space="preserve">Allocation of Motor, Recreational, 16/20M Vehicle Taxes </t>
  </si>
  <si>
    <t xml:space="preserve"> Debt</t>
  </si>
  <si>
    <t xml:space="preserve">Type </t>
  </si>
  <si>
    <t xml:space="preserve"> Purchased</t>
  </si>
  <si>
    <t>Items</t>
  </si>
  <si>
    <t xml:space="preserve">Prior Year </t>
  </si>
  <si>
    <t xml:space="preserve">Current Year </t>
  </si>
  <si>
    <t xml:space="preserve">Proposed Budget </t>
  </si>
  <si>
    <t>Expenditures Must Be Changed by:</t>
  </si>
  <si>
    <t>Mill Rate Comparison</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</si>
  <si>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</si>
  <si>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</si>
  <si>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</si>
  <si>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</si>
  <si>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</si>
  <si>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</si>
  <si>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11/22/11</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</si>
  <si>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</si>
  <si>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</si>
  <si>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</si>
  <si>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</si>
  <si>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</si>
  <si>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</si>
  <si>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</si>
  <si>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</si>
  <si>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</si>
  <si>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</si>
  <si>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</si>
  <si>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</si>
  <si>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</si>
  <si>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</si>
  <si>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t>Delinquency % used in this budget will be shown on all fund pages with a tax levy**</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</si>
  <si>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</si>
  <si>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</si>
  <si>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9. Changed the Budget Summary Heading to include Actual/Estimate/Proposed with the budget year.</t>
  </si>
  <si>
    <t>10. Changed the delinquency rate formula for all levy funds.</t>
  </si>
  <si>
    <t>11. Changed the Certificate page so the county name flows instead of having unneeded spaces.</t>
  </si>
  <si>
    <t>12. Using the actual ad valorem rates from the Clerk's information versus from the Certificate page.</t>
  </si>
  <si>
    <t>13. Delinquency rate for actual for 3 decimal and note that rate can be up to 5% over the actual rate.</t>
  </si>
  <si>
    <t>14. Computation to Determine Limit changed the note on bottom to include publish ordinance and attach the published ordinance to the budget.</t>
  </si>
  <si>
    <t>15. Add total section for Schedule of Transfers and linked the total to the Budget Summary page.</t>
  </si>
  <si>
    <t>16. Added column to show when debt retired on the Indebtedness page.</t>
  </si>
  <si>
    <t>17. Certificate (2) added (2) after Certificate at top of page, removed the certification at the top, and added column for Nov 1 valuation.</t>
  </si>
  <si>
    <t>20. Budget Summary changed the sentence "will meet…" so the year automatically changes.</t>
  </si>
  <si>
    <t>21. Added one non-budgeted pages.</t>
  </si>
  <si>
    <t>22. On the Budget Summary page (2) added column for July1 valuation and computation to compute mil rates.</t>
  </si>
  <si>
    <t>23. Added note on General and Road Detail page to ensure amounts agree with Subtotals on General and Road.</t>
  </si>
  <si>
    <t>24. Added to instructions about non-appropriated balance limited to 5%.</t>
  </si>
  <si>
    <t xml:space="preserve">General Instructions </t>
  </si>
  <si>
    <t>To print the spreadsheets, you can either print one sheet at a time or all of the sheets at once.</t>
  </si>
  <si>
    <t>Computer Spreadsheet Preparation</t>
  </si>
  <si>
    <t>Input sheet for County budget form</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</si>
  <si>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</si>
  <si>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</si>
  <si>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</si>
  <si>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</si>
  <si>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</si>
  <si>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</si>
  <si>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</si>
  <si>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</si>
  <si>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</si>
  <si>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</si>
  <si>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</si>
  <si>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</si>
  <si>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</si>
  <si>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</si>
  <si>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</si>
  <si>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</si>
  <si>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</si>
  <si>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</si>
  <si>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</si>
  <si>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</si>
  <si>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</si>
  <si>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</si>
  <si>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</si>
  <si>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</si>
  <si>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</si>
  <si>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</si>
  <si>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</si>
  <si>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</si>
  <si>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</si>
  <si>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</si>
  <si>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</si>
  <si>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</si>
  <si>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</si>
  <si>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</si>
  <si>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</si>
  <si>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</si>
  <si>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</si>
  <si>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</si>
  <si>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</si>
  <si>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</si>
  <si>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</si>
  <si>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</si>
  <si>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</si>
  <si>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</si>
  <si>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</si>
  <si>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</si>
  <si>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</si>
  <si>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</si>
  <si>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</si>
  <si>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</si>
  <si>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</si>
  <si>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</si>
  <si>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Debt Service</t>
  </si>
  <si>
    <t>Economic Development</t>
  </si>
  <si>
    <t>Employee Benefits</t>
  </si>
  <si>
    <t>Mental Retardation</t>
  </si>
  <si>
    <t>Road &amp; Bridge</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</si>
  <si>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</si>
  <si>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</si>
  <si>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</si>
  <si>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</si>
  <si>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</si>
  <si>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</si>
  <si>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</si>
  <si>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</si>
  <si>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</si>
  <si>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</si>
  <si>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</si>
  <si>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</si>
  <si>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</si>
  <si>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</si>
  <si>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</si>
  <si>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</si>
  <si>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</si>
  <si>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</si>
  <si>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Other District Funds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</si>
  <si>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</si>
  <si>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</si>
  <si>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</si>
  <si>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</si>
  <si>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</si>
  <si>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</si>
  <si>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</si>
  <si>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</si>
  <si>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</si>
  <si>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</si>
  <si>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</si>
  <si>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</si>
  <si>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</si>
  <si>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</si>
  <si>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</si>
  <si>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</si>
  <si>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</si>
  <si>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</si>
  <si>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</si>
  <si>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</si>
  <si>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</si>
  <si>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</si>
  <si>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</si>
  <si>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</si>
  <si>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</si>
  <si>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</si>
  <si>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</si>
  <si>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</si>
  <si>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</si>
  <si>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</si>
  <si>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</si>
  <si>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</si>
  <si>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</si>
  <si>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</si>
  <si>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</si>
  <si>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</si>
  <si>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</si>
  <si>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</si>
  <si>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</si>
  <si>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</si>
  <si>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</si>
  <si>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</si>
  <si>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</si>
  <si>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</si>
  <si>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</si>
  <si>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</si>
  <si>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</si>
  <si>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</si>
  <si>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</si>
  <si>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</si>
  <si>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</si>
  <si>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</si>
  <si>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</si>
  <si>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</si>
  <si>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</si>
  <si>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</si>
  <si>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</si>
  <si>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</si>
  <si>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</si>
  <si>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</si>
  <si>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</si>
  <si>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</si>
  <si>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</si>
  <si>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</si>
  <si>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</si>
  <si>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</si>
  <si>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</si>
  <si>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</si>
  <si>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</si>
  <si>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</si>
  <si>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</si>
  <si>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</si>
  <si>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</si>
  <si>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</si>
  <si>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</si>
  <si>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</si>
  <si>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</si>
  <si>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</si>
  <si>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</si>
  <si>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</si>
  <si>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</si>
  <si>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RESOLUTION NO.__________________</t>
  </si>
  <si>
    <t>___________________________________.</t>
  </si>
  <si>
    <t>(Attach a signed copy to the budget)</t>
  </si>
  <si>
    <t>COUNTY RESOLUTION</t>
  </si>
  <si>
    <t>BOARD OF COUNTY COMMISSIONERS</t>
  </si>
  <si>
    <t>ATTEST:</t>
  </si>
  <si>
    <t>________________________________.</t>
  </si>
  <si>
    <t>, County Clerk</t>
  </si>
  <si>
    <t>Whereas, budgeting, taxing and service level decisions for all county services are the responsibility of the board of county commissioners; and</t>
  </si>
  <si>
    <t>Whereas, the cost of provision of these services continues to increase; and</t>
  </si>
  <si>
    <t>Current</t>
  </si>
  <si>
    <t>Proposed</t>
  </si>
  <si>
    <t xml:space="preserve">Authorized by </t>
  </si>
  <si>
    <t xml:space="preserve">                                                                         16/20M Vehicle Factor</t>
  </si>
  <si>
    <t xml:space="preserve">                                        Recreational Vehicle Factor</t>
  </si>
  <si>
    <t>Page No. 7</t>
  </si>
  <si>
    <t>Page No. 7a</t>
  </si>
  <si>
    <t>Total - Page 7b</t>
  </si>
  <si>
    <t>Total - Page 7c</t>
  </si>
  <si>
    <t>Total - Page 7d</t>
  </si>
  <si>
    <t>Total - Page 7e</t>
  </si>
  <si>
    <t>Total  - Page 7f</t>
  </si>
  <si>
    <t>Total - Page7b</t>
  </si>
  <si>
    <t>When the page numbers are changed on the fund pages, the Certificate page will also be changed.</t>
  </si>
  <si>
    <t>Address:</t>
  </si>
  <si>
    <t>County Clerk's Use Only</t>
  </si>
  <si>
    <t>County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</si>
  <si>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</si>
  <si>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Enter County Name followed by 'County'</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</si>
  <si>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</si>
  <si>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</si>
  <si>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Enter year being budgeted (YYYY)</t>
  </si>
  <si>
    <t>Information comes from the Certificate, Page No. 1</t>
  </si>
  <si>
    <t>10-113</t>
  </si>
  <si>
    <t>Other (non-tax) fund names:</t>
  </si>
  <si>
    <t xml:space="preserve"> Expenditures</t>
  </si>
  <si>
    <t>From:</t>
  </si>
  <si>
    <t xml:space="preserve">  To:</t>
  </si>
  <si>
    <t>Amount for</t>
  </si>
  <si>
    <t>Transfers</t>
  </si>
  <si>
    <t>Adjusted Totals</t>
  </si>
  <si>
    <t>We, the undersigned, officers of</t>
  </si>
  <si>
    <t>resolution to exceed this limit and attach a copy of the adopted resolution to this budget.</t>
  </si>
  <si>
    <t>In Lieu of Tax (IRB)</t>
  </si>
  <si>
    <t>Neighborhood Revitalization</t>
  </si>
  <si>
    <t>LAVTR</t>
  </si>
  <si>
    <t>City and County Revenue Sharing</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</si>
  <si>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</si>
  <si>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</si>
  <si>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Beginning Amount</t>
  </si>
  <si>
    <t xml:space="preserve">of </t>
  </si>
  <si>
    <t>Retirement</t>
  </si>
  <si>
    <t xml:space="preserve">Total Other </t>
  </si>
  <si>
    <t>Valuation</t>
  </si>
  <si>
    <t>Fund Names for all funds with a tax levy:</t>
  </si>
  <si>
    <t>Special City &amp; County Highway</t>
  </si>
  <si>
    <t>County Equalization</t>
  </si>
  <si>
    <t>Expenditures from detail page:</t>
  </si>
  <si>
    <t>Other Expenditures:</t>
  </si>
  <si>
    <t>Outstanding Indebtness, January 1:</t>
  </si>
  <si>
    <t xml:space="preserve">  G.O. Bonds</t>
  </si>
  <si>
    <t xml:space="preserve">  Revenue Bonds</t>
  </si>
  <si>
    <t xml:space="preserve">  Other</t>
  </si>
  <si>
    <t xml:space="preserve">  Lease Purchase Principal</t>
  </si>
  <si>
    <t>(1) Fund Name:</t>
  </si>
  <si>
    <t>(2) Fund Name:</t>
  </si>
  <si>
    <t>(3) Fund Name:</t>
  </si>
  <si>
    <t>(4) Fund Name:</t>
  </si>
  <si>
    <t>(5) Fund Name:</t>
  </si>
  <si>
    <t xml:space="preserve">Unencumbered </t>
  </si>
  <si>
    <t>Cash Balance Dec 31</t>
  </si>
  <si>
    <t>Non-Budgeted Funds</t>
  </si>
  <si>
    <t>Non-Budgeted Funds:</t>
  </si>
  <si>
    <t xml:space="preserve">  Subtotal </t>
  </si>
  <si>
    <r>
      <t>**</t>
    </r>
    <r>
      <rPr>
        <sz val="12"/>
        <rFont val="Times New Roman"/>
        <family val="1"/>
      </rPr>
      <t xml:space="preserve">Note:  The Detail Total Expenditures should match to the General Subtotal.  </t>
    </r>
  </si>
  <si>
    <r>
      <t>Total Expenditures</t>
    </r>
    <r>
      <rPr>
        <sz val="12"/>
        <color indexed="10"/>
        <rFont val="Times New Roman"/>
        <family val="1"/>
      </rPr>
      <t>**</t>
    </r>
  </si>
  <si>
    <t xml:space="preserve">  Total Detail Page**</t>
  </si>
  <si>
    <t>November 1st</t>
  </si>
  <si>
    <t>Other Country</t>
  </si>
  <si>
    <t>Special District Funds</t>
  </si>
  <si>
    <t>CERTIFICATE (2)</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</si>
  <si>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</si>
  <si>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</si>
  <si>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</si>
  <si>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</si>
  <si>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All dollar amounts should be rounded to whole dollars (do not record cents).</t>
  </si>
  <si>
    <t>The blue areas indicated where the information comes from to complete the section input.</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</si>
  <si>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</si>
  <si>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</si>
  <si>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Hard coded the Bond &amp; Interest, and Road &amp; Bridge on Certificate and Summary pages. </t>
  </si>
  <si>
    <t xml:space="preserve">7. Now have the indebtedness prior year added to the input page and link with the budget summary page. </t>
  </si>
  <si>
    <t>Budget Summary</t>
  </si>
  <si>
    <t>Attest: _____________________,</t>
  </si>
  <si>
    <t xml:space="preserve">NON-BUDGETED FUNDS </t>
  </si>
  <si>
    <t>Resolution</t>
  </si>
  <si>
    <t>Is a Resolution required?</t>
  </si>
  <si>
    <t>**</t>
  </si>
  <si>
    <r>
      <t xml:space="preserve"> </t>
    </r>
    <r>
      <rPr>
        <b/>
        <sz val="12"/>
        <rFont val="Times New Roman"/>
        <family val="1"/>
      </rPr>
      <t xml:space="preserve"> Subtotal</t>
    </r>
  </si>
  <si>
    <t>**Note:  Total Detail Page totals should be equal to Road Subtotal.</t>
  </si>
  <si>
    <t>**Note: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</si>
  <si>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</si>
  <si>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</si>
  <si>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</si>
  <si>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 xml:space="preserve">27. Added Slider to the Vehicle Allocation table and linked to the fund pages. </t>
  </si>
  <si>
    <t>xxxxxxxxxxxxxxxxxxxx</t>
  </si>
  <si>
    <t>Funds</t>
  </si>
  <si>
    <t xml:space="preserve">expenditure amounts should reflect the amended </t>
  </si>
  <si>
    <t>expenditure amounts.</t>
  </si>
  <si>
    <t>28. Added to all budgeted fund pages the budget authority for the actual year, budget violation, and cash violation.</t>
  </si>
  <si>
    <t>29. Added instruction on the addition for item 28.</t>
  </si>
  <si>
    <t xml:space="preserve">Tax Levy Rate </t>
  </si>
  <si>
    <t>Neighborhood Revitalization Rebate</t>
  </si>
  <si>
    <t>Miscellaneous</t>
  </si>
  <si>
    <t>Does miscellaneous exceed 10% of Total Expenditure</t>
  </si>
  <si>
    <t>Does miscellaneous exceed 10% of Total Receipts</t>
  </si>
  <si>
    <t>8. Added Neighborhood Revitalization, LAVTR, City and County Revenue Sharing, and Slider to the input page and to the General Fund page. Also added the NR to all tax levy fund pages.</t>
  </si>
  <si>
    <t xml:space="preserve">Ad Valorem Tax </t>
  </si>
  <si>
    <t>30. Added 'miscellaneous' category to the receipt/expenditure for all fund pages and set error message.</t>
  </si>
  <si>
    <t>31. Added to the instruction about correct the error message for the miscellaneous.</t>
  </si>
  <si>
    <t xml:space="preserve">The worksheets are named (see the tab) in each budget workbook.  We will identify the worksheet by referencing the tab in parentheses (i.e. General Fund reference would be 'general'). </t>
  </si>
  <si>
    <t>Budget Summary - Other</t>
  </si>
  <si>
    <t>32. Change cert2 and put page number 1a.</t>
  </si>
  <si>
    <t>FUND PAGE - ROAD &amp; BRIDGE DETAIL</t>
  </si>
  <si>
    <t>Red areas are for notes or indicate a problem area that will need possible corrective action taken.</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</si>
  <si>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</si>
  <si>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Administration</t>
  </si>
  <si>
    <t>Rock</t>
  </si>
  <si>
    <t>Sealing</t>
  </si>
  <si>
    <t>Pavement</t>
  </si>
  <si>
    <t>All of the county's budgets should be submitted to Municipal Services by December 1.</t>
  </si>
  <si>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</si>
  <si>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</si>
  <si>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</si>
  <si>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</si>
  <si>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</si>
  <si>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</si>
  <si>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</si>
  <si>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</si>
  <si>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</si>
  <si>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</si>
  <si>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</si>
  <si>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</si>
  <si>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</si>
  <si>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</si>
  <si>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</si>
  <si>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9/03/08</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</si>
  <si>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</si>
  <si>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7b. Added instruction line 9c to explain more about the debt service fund page can included for debts.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</si>
  <si>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</si>
  <si>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</si>
  <si>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9h to 9j for additional edits for budget authority.</t>
  </si>
  <si>
    <t>Cash Balance Jan 1</t>
  </si>
  <si>
    <t>34. Added 'excluding oil, gas, and mobile homes' to lines 7 and 9 on Clerks budget info on tab inputoth.</t>
  </si>
  <si>
    <t>***If you are merely leasing/renting with no intent to purchase, do not list--such transactions are not lease-purchases.</t>
  </si>
  <si>
    <t>33. Expanded on the preparation of budget note 11 for instructions for the Notice of Budget Hearing.</t>
  </si>
  <si>
    <t>The following were changed to this spreadsheet on 5/08/2008</t>
  </si>
  <si>
    <t>1. Change Transfers tab footer from 'Page No. 5' to read 'Page No. 4'.</t>
  </si>
  <si>
    <t>2. Change Non-Budgeted Funds form from 'Only the actual budget year shown' to read 'Only the actual budget year for YYYY is to be shown'.</t>
  </si>
  <si>
    <t>3. Legend #33 change from 'note 10' to read 'note 11'.</t>
  </si>
  <si>
    <t>4. Changed revision date on the pages.</t>
  </si>
  <si>
    <t>The following were changed to this spreadsheet on 7/01/08</t>
  </si>
  <si>
    <t>2. Changed the formula for unencumbered cash balances for nonbud to show a negative balance.</t>
  </si>
  <si>
    <t>3. Added box under unencumbered cash balance for nonbud to reflect a negative ending cash balance.</t>
  </si>
  <si>
    <t>The Budget Summary Page</t>
  </si>
  <si>
    <t>Commissioners will be published in the (newspaper). Interested persons can also address questions concerning the budget to (office) by calling (number) between the hours of ____a.m. to ____p.m., Monday through Friday, excluding holidays.</t>
  </si>
  <si>
    <t xml:space="preserve">County.xls spreadsheet has General Fund, Debt Service, Road &amp; Bridge, 22 levy fund pages, 10 no levy fund pages, and 5 non-budgeted funds. </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</si>
  <si>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</si>
  <si>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Note:  All amounts are to be entered in as whole numbers only.</t>
  </si>
  <si>
    <t>1. Added instructions to 9d for the nonbud tab explaining about negative cash balance.</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</si>
  <si>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</si>
  <si>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</si>
  <si>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The following were changed to this spreadsheet on 2/23/09</t>
  </si>
  <si>
    <t>2. Input other tab line 26 changed from Budget Summary to Budget Certificate.</t>
  </si>
  <si>
    <t>1. Instruction under Submitting Budgets added 79-2926 requires electronic filing of the budget.</t>
  </si>
  <si>
    <t>The following were changed to this spreadsheet on 6/04/09</t>
  </si>
  <si>
    <t>1. Corrected all fund names as had wrong linked reference.</t>
  </si>
  <si>
    <t>Transfers - Counties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</si>
  <si>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</si>
  <si>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</si>
  <si>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9/23/09</t>
  </si>
  <si>
    <t>1. InputPrYr tab added cell A13 'If amended….'</t>
  </si>
  <si>
    <t>2. Gen tab added year in cell G58</t>
  </si>
  <si>
    <t>3. Road tab added year in cell G60</t>
  </si>
  <si>
    <t>4. No levypage24 in cell C61 added conditional statement</t>
  </si>
  <si>
    <t>5. Added tab TransfersStatutes</t>
  </si>
  <si>
    <t>4. Changed foot note to reflect the changes made on 7/1/08 to the above tabs.</t>
  </si>
  <si>
    <t>25. Added warning "Exceeds 5%" on all fund pages for the non-appropriated balance.</t>
  </si>
  <si>
    <t>26. Add Neighborhood Revitalization link to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</si>
  <si>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</si>
  <si>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</si>
  <si>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</si>
  <si>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</si>
  <si>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</si>
  <si>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</si>
  <si>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</si>
  <si>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</si>
  <si>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</si>
  <si>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</si>
  <si>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</si>
  <si>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</si>
  <si>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</si>
  <si>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</si>
  <si>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</si>
  <si>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</si>
  <si>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</si>
  <si>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</si>
  <si>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</si>
  <si>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</si>
  <si>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</si>
  <si>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 xml:space="preserve">K.S.A. 79-2926 requires budgets be submitted by electronic means. </t>
  </si>
  <si>
    <t>6. Added tab NonBudFunds</t>
  </si>
  <si>
    <t>7. Added Tabs A to E for possible violations</t>
  </si>
  <si>
    <t>8. Instructions tab changed 9g to j for changes for possible violations on fund pages</t>
  </si>
  <si>
    <t>9. Deleted on all fund pages the 'Yes' and 'No' and replace with see tab for possible violations</t>
  </si>
  <si>
    <t>10. Instructions tab added line 6b to inform about TransferStatutes tab</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</si>
  <si>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</si>
  <si>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</si>
  <si>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</si>
  <si>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</si>
  <si>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</si>
  <si>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</si>
  <si>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</si>
  <si>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</si>
  <si>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</si>
  <si>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</si>
  <si>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</si>
  <si>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</si>
  <si>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</si>
  <si>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</si>
  <si>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</si>
  <si>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</si>
  <si>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11. NonBud tab changed the Net valuation to July 1</t>
  </si>
  <si>
    <t>12.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</si>
  <si>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</si>
  <si>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</si>
  <si>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</si>
  <si>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</si>
  <si>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</si>
  <si>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</si>
  <si>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</si>
  <si>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</si>
  <si>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</si>
  <si>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</si>
  <si>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</si>
  <si>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</si>
  <si>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</si>
  <si>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</si>
  <si>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</si>
  <si>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</si>
  <si>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</si>
  <si>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</si>
  <si>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</si>
  <si>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</si>
  <si>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</si>
  <si>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</si>
  <si>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</si>
  <si>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</si>
  <si>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</si>
  <si>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</si>
  <si>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</si>
  <si>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</si>
  <si>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</si>
  <si>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</si>
  <si>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</si>
  <si>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</si>
  <si>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</si>
  <si>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</si>
  <si>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</si>
  <si>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</si>
  <si>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</si>
  <si>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</si>
  <si>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</si>
  <si>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</si>
  <si>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</si>
  <si>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</si>
  <si>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</si>
  <si>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</si>
  <si>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</si>
  <si>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</si>
  <si>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</si>
  <si>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</si>
  <si>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</si>
  <si>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</si>
  <si>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</si>
  <si>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</si>
  <si>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</si>
  <si>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</si>
  <si>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</si>
  <si>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25a</t>
  </si>
  <si>
    <t>19-3612c</t>
  </si>
  <si>
    <t xml:space="preserve">         TOTAL MCRF#1</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</si>
</sst>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409]dddd\,\ mmmm\ dd\,\ yyyy"/>
    <numFmt numFmtId="188" formatCode="m/d/yy;@"/>
    <numFmt numFmtId="189" formatCode="&quot;$&quot;#,##0"/>
    <numFmt numFmtId="190" formatCode="&quot;$&quot;#,##0.00"/>
    <numFmt numFmtId="191" formatCode="#,###"/>
    <numFmt numFmtId="192" formatCode="0.0%"/>
    <numFmt numFmtId="193" formatCode="#,##0.000_);[Red]\(#,##0.000\)"/>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8"/>
      <name val="Courier"/>
      <family val="3"/>
    </font>
    <font>
      <sz val="10"/>
      <name val="Times New Roman"/>
      <family val="1"/>
    </font>
    <font>
      <b/>
      <u val="single"/>
      <sz val="12"/>
      <name val="Times New Roman"/>
      <family val="1"/>
    </font>
    <font>
      <sz val="11"/>
      <name val="Courier"/>
      <family val="3"/>
    </font>
    <font>
      <sz val="11"/>
      <name val="Courier New"/>
      <family val="3"/>
    </font>
    <font>
      <sz val="8"/>
      <name val="Times New Roman"/>
      <family val="1"/>
    </font>
    <font>
      <sz val="12"/>
      <color indexed="10"/>
      <name val="Times New Roman"/>
      <family val="1"/>
    </font>
    <font>
      <b/>
      <sz val="8"/>
      <name val="Times New Roman"/>
      <family val="1"/>
    </font>
    <font>
      <sz val="12"/>
      <color indexed="10"/>
      <name val="Courier"/>
      <family val="3"/>
    </font>
    <font>
      <b/>
      <u val="single"/>
      <sz val="12"/>
      <color indexed="10"/>
      <name val="Times New Roman"/>
      <family val="1"/>
    </font>
    <font>
      <b/>
      <sz val="12"/>
      <color indexed="10"/>
      <name val="Times New Roman"/>
      <family val="1"/>
    </font>
    <font>
      <i/>
      <sz val="12"/>
      <name val="Times New Roman"/>
      <family val="1"/>
    </font>
    <font>
      <sz val="8"/>
      <color indexed="10"/>
      <name val="Times New Roman"/>
      <family val="1"/>
    </font>
    <font>
      <b/>
      <u val="single"/>
      <sz val="12"/>
      <name val="Courier"/>
      <family val="3"/>
    </font>
    <font>
      <sz val="14"/>
      <name val="Courier"/>
      <family val="3"/>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u val="single"/>
      <sz val="12"/>
      <color indexed="10"/>
      <name val="Times New Roman"/>
      <family val="1"/>
    </font>
    <font>
      <b/>
      <u val="single"/>
      <sz val="10"/>
      <name val="Times New Roman"/>
      <family val="1"/>
    </font>
    <font>
      <b/>
      <u val="single"/>
      <sz val="10"/>
      <name val="Courier"/>
      <family val="3"/>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color indexed="10"/>
      <name val="Times New Roman"/>
      <family val="1"/>
    </font>
    <font>
      <sz val="10"/>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mbria"/>
      <family val="1"/>
    </font>
    <font>
      <sz val="12"/>
      <color indexed="9"/>
      <name val="Courier"/>
      <family val="3"/>
    </font>
    <font>
      <sz val="8"/>
      <color indexed="9"/>
      <name val="Times New Roman"/>
      <family val="1"/>
    </font>
    <font>
      <sz val="12"/>
      <color indexed="9"/>
      <name val="Times New Roman"/>
      <family val="1"/>
    </font>
    <font>
      <sz val="12"/>
      <color indexed="9"/>
      <name val="Courier New"/>
      <family val="3"/>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thin"/>
      <right style="thin"/>
      <top style="thin"/>
      <bottom style="medium"/>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4"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4" borderId="0" applyNumberFormat="0" applyBorder="0" applyAlignment="0" applyProtection="0"/>
    <xf numFmtId="0" fontId="74" fillId="7"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0" borderId="0" applyNumberFormat="0" applyBorder="0" applyAlignment="0" applyProtection="0"/>
    <xf numFmtId="0" fontId="74" fillId="7" borderId="0" applyNumberFormat="0" applyBorder="0" applyAlignment="0" applyProtection="0"/>
    <xf numFmtId="0" fontId="74" fillId="3" borderId="0" applyNumberFormat="0" applyBorder="0" applyAlignment="0" applyProtection="0"/>
    <xf numFmtId="0" fontId="74" fillId="13"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5" fillId="17" borderId="0" applyNumberFormat="0" applyBorder="0" applyAlignment="0" applyProtection="0"/>
    <xf numFmtId="0" fontId="65" fillId="18" borderId="1" applyNumberFormat="0" applyAlignment="0" applyProtection="0"/>
    <xf numFmtId="0" fontId="7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9" fillId="0" borderId="0" applyNumberFormat="0" applyFill="0" applyBorder="0" applyAlignment="0" applyProtection="0"/>
    <xf numFmtId="0" fontId="78" fillId="7"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9" fillId="9" borderId="1" applyNumberFormat="0" applyAlignment="0" applyProtection="0"/>
    <xf numFmtId="0" fontId="54" fillId="0" borderId="6" applyNumberFormat="0" applyFill="0" applyAlignment="0" applyProtection="0"/>
    <xf numFmtId="0" fontId="70" fillId="20"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21" borderId="7" applyNumberFormat="0" applyFont="0" applyAlignment="0" applyProtection="0"/>
    <xf numFmtId="0" fontId="80" fillId="18"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8">
    <xf numFmtId="0" fontId="0" fillId="0" borderId="0" xfId="0" applyAlignment="1">
      <alignment/>
    </xf>
    <xf numFmtId="0" fontId="4" fillId="0" borderId="0" xfId="0" applyFont="1" applyAlignment="1">
      <alignment/>
    </xf>
    <xf numFmtId="3" fontId="4" fillId="22" borderId="10" xfId="0" applyNumberFormat="1" applyFont="1" applyFill="1" applyBorder="1" applyAlignment="1" applyProtection="1">
      <alignment/>
      <protection locked="0"/>
    </xf>
    <xf numFmtId="0" fontId="4" fillId="22" borderId="11" xfId="0" applyFont="1" applyFill="1" applyBorder="1" applyAlignment="1" applyProtection="1">
      <alignment horizontal="left"/>
      <protection locked="0"/>
    </xf>
    <xf numFmtId="37" fontId="4" fillId="4" borderId="11" xfId="0" applyNumberFormat="1" applyFont="1" applyFill="1" applyBorder="1" applyAlignment="1" applyProtection="1">
      <alignment horizontal="left"/>
      <protection/>
    </xf>
    <xf numFmtId="0" fontId="4" fillId="4" borderId="0" xfId="0" applyFont="1" applyFill="1" applyAlignment="1" applyProtection="1">
      <alignment/>
      <protection/>
    </xf>
    <xf numFmtId="37" fontId="4" fillId="4" borderId="0" xfId="0" applyNumberFormat="1" applyFont="1" applyFill="1" applyAlignment="1" applyProtection="1">
      <alignment horizontal="left"/>
      <protection/>
    </xf>
    <xf numFmtId="37" fontId="4" fillId="4" borderId="0" xfId="0" applyNumberFormat="1" applyFont="1" applyFill="1" applyAlignment="1" applyProtection="1">
      <alignment horizontal="fill"/>
      <protection/>
    </xf>
    <xf numFmtId="0" fontId="4" fillId="4" borderId="10" xfId="0" applyFont="1" applyFill="1" applyBorder="1" applyAlignment="1" applyProtection="1">
      <alignment/>
      <protection/>
    </xf>
    <xf numFmtId="37" fontId="4" fillId="4" borderId="0" xfId="0" applyNumberFormat="1" applyFont="1" applyFill="1" applyAlignment="1" applyProtection="1">
      <alignment/>
      <protection/>
    </xf>
    <xf numFmtId="3" fontId="4" fillId="4" borderId="0" xfId="0" applyNumberFormat="1" applyFont="1" applyFill="1" applyAlignment="1" applyProtection="1">
      <alignment/>
      <protection/>
    </xf>
    <xf numFmtId="0" fontId="5" fillId="4" borderId="0" xfId="0" applyFont="1" applyFill="1" applyAlignment="1" applyProtection="1">
      <alignment/>
      <protection/>
    </xf>
    <xf numFmtId="166"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 fontId="4" fillId="4" borderId="10" xfId="0" applyNumberFormat="1" applyFont="1" applyFill="1" applyBorder="1" applyAlignment="1" applyProtection="1">
      <alignment/>
      <protection/>
    </xf>
    <xf numFmtId="37" fontId="4" fillId="4" borderId="0" xfId="0" applyNumberFormat="1" applyFont="1" applyFill="1" applyAlignment="1" applyProtection="1" quotePrefix="1">
      <alignment horizontal="right"/>
      <protection/>
    </xf>
    <xf numFmtId="0" fontId="8" fillId="0" borderId="0" xfId="0" applyFont="1" applyAlignment="1">
      <alignment/>
    </xf>
    <xf numFmtId="0" fontId="8" fillId="0" borderId="0" xfId="0" applyFont="1" applyAlignment="1">
      <alignment/>
    </xf>
    <xf numFmtId="0" fontId="13" fillId="0" borderId="0" xfId="0" applyFont="1" applyAlignment="1">
      <alignment horizontal="center" vertical="top"/>
    </xf>
    <xf numFmtId="0" fontId="13" fillId="0" borderId="0" xfId="0" applyFont="1" applyAlignment="1">
      <alignment vertical="top"/>
    </xf>
    <xf numFmtId="0" fontId="14" fillId="0" borderId="0" xfId="0" applyFont="1" applyAlignment="1">
      <alignment vertical="top"/>
    </xf>
    <xf numFmtId="0" fontId="8" fillId="0" borderId="0" xfId="0" applyFont="1" applyAlignment="1">
      <alignment horizontal="center" vertical="top"/>
    </xf>
    <xf numFmtId="0" fontId="13" fillId="0" borderId="0" xfId="0" applyFont="1" applyAlignment="1">
      <alignment horizontal="left" vertical="top"/>
    </xf>
    <xf numFmtId="0" fontId="8" fillId="0" borderId="0" xfId="0" applyFont="1" applyAlignment="1">
      <alignment vertical="top"/>
    </xf>
    <xf numFmtId="0" fontId="15" fillId="0" borderId="0" xfId="0" applyNumberFormat="1" applyFont="1" applyAlignment="1">
      <alignment/>
    </xf>
    <xf numFmtId="0" fontId="15" fillId="0" borderId="0" xfId="0" applyFont="1" applyAlignment="1">
      <alignment/>
    </xf>
    <xf numFmtId="0" fontId="8" fillId="0" borderId="0" xfId="0" applyFont="1" applyAlignment="1">
      <alignment horizontal="left" vertical="top"/>
    </xf>
    <xf numFmtId="0" fontId="4" fillId="4" borderId="0" xfId="0" applyNumberFormat="1" applyFont="1" applyFill="1" applyAlignment="1" applyProtection="1">
      <alignment horizontal="right"/>
      <protection/>
    </xf>
    <xf numFmtId="0" fontId="4" fillId="4" borderId="11" xfId="0" applyFont="1" applyFill="1" applyBorder="1" applyAlignment="1" applyProtection="1">
      <alignment/>
      <protection/>
    </xf>
    <xf numFmtId="0" fontId="4" fillId="4" borderId="12"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0" fontId="4" fillId="22" borderId="0" xfId="0" applyFont="1" applyFill="1" applyAlignment="1" applyProtection="1">
      <alignment horizontal="left"/>
      <protection locked="0"/>
    </xf>
    <xf numFmtId="0" fontId="19" fillId="0" borderId="0" xfId="0" applyFont="1" applyAlignment="1">
      <alignment vertical="top"/>
    </xf>
    <xf numFmtId="0" fontId="20" fillId="0" borderId="0" xfId="484" applyFont="1" applyAlignment="1">
      <alignment vertical="top"/>
      <protection/>
    </xf>
    <xf numFmtId="0" fontId="20" fillId="0" borderId="0" xfId="484" applyFont="1">
      <alignment/>
      <protection/>
    </xf>
    <xf numFmtId="0" fontId="8" fillId="0" borderId="0" xfId="484" applyFont="1" applyAlignment="1">
      <alignment vertical="top"/>
      <protection/>
    </xf>
    <xf numFmtId="0" fontId="15" fillId="0" borderId="0" xfId="0" applyNumberFormat="1" applyFont="1" applyAlignment="1">
      <alignment vertical="top"/>
    </xf>
    <xf numFmtId="0" fontId="8" fillId="0" borderId="0" xfId="484" applyFont="1">
      <alignment/>
      <protection/>
    </xf>
    <xf numFmtId="0" fontId="8" fillId="0" borderId="0" xfId="0" applyFont="1" applyAlignment="1">
      <alignment horizontal="right"/>
    </xf>
    <xf numFmtId="3" fontId="4" fillId="9" borderId="10" xfId="0" applyNumberFormat="1" applyFont="1" applyFill="1" applyBorder="1" applyAlignment="1" applyProtection="1">
      <alignment/>
      <protection/>
    </xf>
    <xf numFmtId="3" fontId="5" fillId="9" borderId="10" xfId="0" applyNumberFormat="1" applyFont="1" applyFill="1" applyBorder="1" applyAlignment="1" applyProtection="1">
      <alignment/>
      <protection/>
    </xf>
    <xf numFmtId="37" fontId="4" fillId="4" borderId="13" xfId="0" applyNumberFormat="1" applyFont="1" applyFill="1" applyBorder="1" applyAlignment="1" applyProtection="1">
      <alignment horizontal="left"/>
      <protection/>
    </xf>
    <xf numFmtId="0" fontId="4" fillId="22" borderId="11" xfId="0" applyFont="1" applyFill="1" applyBorder="1" applyAlignment="1" applyProtection="1">
      <alignment/>
      <protection locked="0"/>
    </xf>
    <xf numFmtId="3" fontId="4" fillId="22" borderId="14" xfId="0" applyNumberFormat="1" applyFont="1" applyFill="1" applyBorder="1" applyAlignment="1" applyProtection="1">
      <alignment/>
      <protection locked="0"/>
    </xf>
    <xf numFmtId="3" fontId="22" fillId="23" borderId="15" xfId="0" applyNumberFormat="1" applyFont="1" applyFill="1" applyBorder="1" applyAlignment="1" applyProtection="1">
      <alignment horizontal="center"/>
      <protection/>
    </xf>
    <xf numFmtId="0" fontId="8" fillId="22" borderId="0" xfId="0" applyFont="1" applyFill="1" applyAlignment="1" applyProtection="1">
      <alignment horizontal="left"/>
      <protection locked="0"/>
    </xf>
    <xf numFmtId="0" fontId="8" fillId="0" borderId="0" xfId="484" applyFont="1" applyAlignment="1">
      <alignment wrapText="1"/>
      <protection/>
    </xf>
    <xf numFmtId="0" fontId="0" fillId="0" borderId="0" xfId="0" applyAlignment="1">
      <alignment vertical="center"/>
    </xf>
    <xf numFmtId="0" fontId="31" fillId="0" borderId="0" xfId="0" applyFont="1" applyAlignment="1">
      <alignment horizontal="center" vertical="center"/>
    </xf>
    <xf numFmtId="0" fontId="30" fillId="0" borderId="0" xfId="0" applyFont="1" applyAlignment="1">
      <alignment vertical="center"/>
    </xf>
    <xf numFmtId="0" fontId="0" fillId="0" borderId="0" xfId="0" applyAlignment="1">
      <alignment vertical="center" wrapText="1"/>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6" fillId="0" borderId="0" xfId="0" applyFont="1" applyAlignment="1">
      <alignment vertical="center" wrapText="1"/>
    </xf>
    <xf numFmtId="0" fontId="4" fillId="22"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4" borderId="0" xfId="0" applyFont="1" applyFill="1" applyAlignment="1">
      <alignment vertical="center" wrapText="1"/>
    </xf>
    <xf numFmtId="0" fontId="4" fillId="24" borderId="0" xfId="0" applyFont="1" applyFill="1" applyAlignment="1">
      <alignment vertical="center" wrapText="1"/>
    </xf>
    <xf numFmtId="0" fontId="4" fillId="16"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5" fillId="4" borderId="0" xfId="0" applyNumberFormat="1" applyFont="1" applyFill="1" applyAlignment="1" applyProtection="1">
      <alignment horizontal="center" vertical="center"/>
      <protection/>
    </xf>
    <xf numFmtId="0" fontId="1" fillId="4" borderId="0" xfId="0" applyFont="1" applyFill="1" applyAlignment="1">
      <alignment horizontal="center" vertical="center"/>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37" fontId="4" fillId="22" borderId="16" xfId="0"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37" fontId="4" fillId="4" borderId="0" xfId="0" applyNumberFormat="1" applyFont="1" applyFill="1" applyBorder="1" applyAlignment="1" applyProtection="1">
      <alignment horizontal="left" vertical="center"/>
      <protection/>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37" fontId="25" fillId="4" borderId="0" xfId="0" applyNumberFormat="1" applyFont="1" applyFill="1" applyAlignment="1" applyProtection="1">
      <alignment horizontal="center" vertical="center"/>
      <protection/>
    </xf>
    <xf numFmtId="0" fontId="29" fillId="4" borderId="0" xfId="0" applyFont="1" applyFill="1" applyAlignment="1">
      <alignment horizontal="center" vertical="center"/>
    </xf>
    <xf numFmtId="0" fontId="5" fillId="25" borderId="0" xfId="0" applyFont="1" applyFill="1" applyAlignment="1" applyProtection="1">
      <alignment vertical="center"/>
      <protection/>
    </xf>
    <xf numFmtId="0" fontId="4" fillId="25"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4" fillId="4" borderId="0" xfId="0" applyFont="1" applyFill="1" applyAlignment="1" applyProtection="1">
      <alignment horizontal="center" vertical="center"/>
      <protection/>
    </xf>
    <xf numFmtId="0" fontId="4" fillId="24" borderId="17" xfId="0" applyFont="1" applyFill="1" applyBorder="1" applyAlignment="1" applyProtection="1">
      <alignment horizontal="center" vertical="center"/>
      <protection/>
    </xf>
    <xf numFmtId="0" fontId="4" fillId="2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4" fillId="24" borderId="12"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0" fontId="4" fillId="4"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 fontId="4" fillId="22" borderId="10" xfId="0" applyNumberFormat="1" applyFont="1" applyFill="1" applyBorder="1" applyAlignment="1" applyProtection="1">
      <alignment vertical="center" wrapText="1"/>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164" fontId="4" fillId="9"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 fontId="4" fillId="22" borderId="10"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locked="0"/>
    </xf>
    <xf numFmtId="0" fontId="4" fillId="4" borderId="19" xfId="0" applyFont="1" applyFill="1" applyBorder="1" applyAlignment="1" applyProtection="1">
      <alignment vertical="center"/>
      <protection/>
    </xf>
    <xf numFmtId="164" fontId="4" fillId="4" borderId="0" xfId="0" applyNumberFormat="1" applyFont="1" applyFill="1" applyBorder="1" applyAlignment="1" applyProtection="1">
      <alignment vertical="center"/>
      <protection locked="0"/>
    </xf>
    <xf numFmtId="3" fontId="4" fillId="4" borderId="0"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right" vertical="center"/>
      <protection/>
    </xf>
    <xf numFmtId="0" fontId="4" fillId="4" borderId="0" xfId="0" applyFont="1" applyFill="1" applyAlignment="1">
      <alignment vertical="center"/>
    </xf>
    <xf numFmtId="0" fontId="4" fillId="24" borderId="0" xfId="0" applyFont="1" applyFill="1" applyAlignment="1" applyProtection="1">
      <alignment vertical="center"/>
      <protection/>
    </xf>
    <xf numFmtId="37" fontId="4" fillId="4" borderId="10" xfId="0" applyNumberFormat="1" applyFont="1" applyFill="1" applyBorder="1" applyAlignment="1" applyProtection="1">
      <alignment vertical="center"/>
      <protection/>
    </xf>
    <xf numFmtId="37" fontId="4" fillId="24" borderId="16" xfId="0" applyNumberFormat="1" applyFont="1" applyFill="1" applyBorder="1" applyAlignment="1" applyProtection="1">
      <alignment horizontal="left" vertical="center"/>
      <protection/>
    </xf>
    <xf numFmtId="0" fontId="4" fillId="24" borderId="16" xfId="0" applyFont="1" applyFill="1" applyBorder="1" applyAlignment="1" applyProtection="1">
      <alignment vertical="center"/>
      <protection/>
    </xf>
    <xf numFmtId="37" fontId="4" fillId="24" borderId="18" xfId="0" applyNumberFormat="1" applyFont="1" applyFill="1" applyBorder="1" applyAlignment="1" applyProtection="1">
      <alignment horizontal="left" vertical="center"/>
      <protection/>
    </xf>
    <xf numFmtId="0" fontId="4" fillId="24" borderId="18" xfId="0" applyFont="1" applyFill="1" applyBorder="1" applyAlignment="1" applyProtection="1">
      <alignment vertical="center"/>
      <protection/>
    </xf>
    <xf numFmtId="37" fontId="18" fillId="25" borderId="0" xfId="0" applyNumberFormat="1" applyFont="1" applyFill="1" applyAlignment="1" applyProtection="1">
      <alignment horizontal="left" vertical="center"/>
      <protection/>
    </xf>
    <xf numFmtId="0" fontId="6" fillId="24" borderId="0" xfId="0" applyFont="1" applyFill="1" applyAlignment="1" applyProtection="1">
      <alignment vertical="center"/>
      <protection/>
    </xf>
    <xf numFmtId="0" fontId="4" fillId="4" borderId="0" xfId="0" applyFont="1" applyFill="1" applyAlignment="1" applyProtection="1">
      <alignment vertical="center"/>
      <protection locked="0"/>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0" fontId="4" fillId="25" borderId="16" xfId="0" applyFont="1" applyFill="1" applyBorder="1" applyAlignment="1" applyProtection="1">
      <alignment vertical="center"/>
      <protection/>
    </xf>
    <xf numFmtId="0" fontId="4" fillId="4" borderId="19" xfId="0" applyFont="1" applyFill="1" applyBorder="1" applyAlignment="1" applyProtection="1">
      <alignment vertical="center"/>
      <protection locked="0"/>
    </xf>
    <xf numFmtId="0" fontId="4" fillId="25" borderId="18" xfId="0" applyFont="1" applyFill="1" applyBorder="1" applyAlignment="1" applyProtection="1">
      <alignment vertical="center"/>
      <protection/>
    </xf>
    <xf numFmtId="0" fontId="4" fillId="4"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0" fillId="4" borderId="0" xfId="0" applyFill="1" applyAlignment="1">
      <alignment vertical="center"/>
    </xf>
    <xf numFmtId="3" fontId="4" fillId="4" borderId="0" xfId="0" applyNumberFormat="1" applyFont="1" applyFill="1" applyAlignment="1" applyProtection="1">
      <alignment vertical="center"/>
      <protection/>
    </xf>
    <xf numFmtId="37" fontId="4" fillId="4" borderId="18" xfId="0" applyNumberFormat="1" applyFont="1" applyFill="1" applyBorder="1" applyAlignment="1" applyProtection="1">
      <alignment horizontal="left" vertical="center"/>
      <protection/>
    </xf>
    <xf numFmtId="37" fontId="4" fillId="22" borderId="10" xfId="0" applyNumberFormat="1" applyFont="1" applyFill="1" applyBorder="1" applyAlignment="1" applyProtection="1">
      <alignment vertical="center"/>
      <protection locked="0"/>
    </xf>
    <xf numFmtId="3" fontId="4" fillId="4" borderId="19" xfId="0" applyNumberFormat="1"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2" fontId="4" fillId="16" borderId="0" xfId="0" applyNumberFormat="1" applyFont="1" applyFill="1" applyBorder="1" applyAlignment="1" applyProtection="1">
      <alignment vertical="center"/>
      <protection locked="0"/>
    </xf>
    <xf numFmtId="0" fontId="4" fillId="24" borderId="17" xfId="0" applyFont="1" applyFill="1" applyBorder="1" applyAlignment="1">
      <alignment horizontal="center" vertical="center"/>
    </xf>
    <xf numFmtId="0" fontId="4" fillId="24" borderId="20" xfId="0" applyFont="1" applyFill="1" applyBorder="1" applyAlignment="1">
      <alignment horizontal="center" vertical="center"/>
    </xf>
    <xf numFmtId="0" fontId="22" fillId="4" borderId="0" xfId="0" applyFont="1" applyFill="1" applyAlignment="1">
      <alignment vertical="center"/>
    </xf>
    <xf numFmtId="0" fontId="24" fillId="4" borderId="0" xfId="0" applyFont="1" applyFill="1" applyAlignment="1">
      <alignment vertical="center"/>
    </xf>
    <xf numFmtId="0" fontId="4" fillId="24" borderId="12" xfId="0" applyFont="1" applyFill="1" applyBorder="1" applyAlignment="1">
      <alignment horizontal="center" vertical="center"/>
    </xf>
    <xf numFmtId="37" fontId="4" fillId="4" borderId="12" xfId="0" applyNumberFormat="1" applyFont="1" applyFill="1" applyBorder="1" applyAlignment="1">
      <alignment vertical="center"/>
    </xf>
    <xf numFmtId="3" fontId="4" fillId="22" borderId="12"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centerContinuous" vertical="center"/>
      <protection/>
    </xf>
    <xf numFmtId="37" fontId="4" fillId="4" borderId="0" xfId="0" applyNumberFormat="1" applyFont="1" applyFill="1" applyAlignment="1" applyProtection="1">
      <alignment horizontal="fill" vertical="center"/>
      <protection/>
    </xf>
    <xf numFmtId="37" fontId="4" fillId="4" borderId="11" xfId="0" applyNumberFormat="1" applyFont="1" applyFill="1" applyBorder="1" applyAlignment="1" applyProtection="1">
      <alignment horizontal="centerContinuous" vertical="center"/>
      <protection/>
    </xf>
    <xf numFmtId="0" fontId="4" fillId="4" borderId="18"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37" fontId="4" fillId="4" borderId="17" xfId="0" applyNumberFormat="1" applyFont="1" applyFill="1" applyBorder="1" applyAlignment="1" applyProtection="1">
      <alignment horizontal="center" vertical="center"/>
      <protection/>
    </xf>
    <xf numFmtId="37" fontId="4" fillId="4" borderId="17" xfId="0" applyNumberFormat="1" applyFont="1" applyFill="1" applyBorder="1" applyAlignment="1" applyProtection="1">
      <alignment horizontal="center" vertical="center" wrapText="1"/>
      <protection/>
    </xf>
    <xf numFmtId="37" fontId="5" fillId="4" borderId="16" xfId="0" applyNumberFormat="1" applyFont="1" applyFill="1" applyBorder="1" applyAlignment="1" applyProtection="1">
      <alignment horizontal="left" vertical="center"/>
      <protection/>
    </xf>
    <xf numFmtId="37" fontId="4" fillId="4" borderId="12" xfId="0" applyNumberFormat="1" applyFont="1" applyFill="1" applyBorder="1" applyAlignment="1" applyProtection="1">
      <alignment horizontal="center" vertical="center"/>
      <protection/>
    </xf>
    <xf numFmtId="37" fontId="4" fillId="4" borderId="11"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4" borderId="20"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left" vertical="center"/>
      <protection/>
    </xf>
    <xf numFmtId="0" fontId="4" fillId="4" borderId="15" xfId="0" applyFont="1" applyFill="1" applyBorder="1" applyAlignment="1" applyProtection="1">
      <alignment vertical="center"/>
      <protection/>
    </xf>
    <xf numFmtId="37"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37" fontId="4" fillId="4" borderId="14" xfId="0" applyNumberFormat="1" applyFont="1" applyFill="1" applyBorder="1" applyAlignment="1" applyProtection="1">
      <alignment horizontal="center" vertical="center"/>
      <protection/>
    </xf>
    <xf numFmtId="37" fontId="18" fillId="4" borderId="12" xfId="0" applyNumberFormat="1" applyFont="1" applyFill="1" applyBorder="1" applyAlignment="1" applyProtection="1">
      <alignment horizontal="left" vertical="center"/>
      <protection/>
    </xf>
    <xf numFmtId="37" fontId="18" fillId="4" borderId="12"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0" fontId="4" fillId="4" borderId="12" xfId="0" applyFont="1" applyFill="1" applyBorder="1" applyAlignment="1" applyProtection="1">
      <alignment vertical="center"/>
      <protection/>
    </xf>
    <xf numFmtId="37" fontId="4" fillId="9" borderId="11"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vertical="center"/>
      <protection/>
    </xf>
    <xf numFmtId="37" fontId="4" fillId="4" borderId="11" xfId="0" applyNumberFormat="1" applyFont="1" applyFill="1" applyBorder="1" applyAlignment="1" applyProtection="1">
      <alignment vertical="center"/>
      <protection/>
    </xf>
    <xf numFmtId="37" fontId="4" fillId="4" borderId="19"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37" fontId="5" fillId="4" borderId="13" xfId="0" applyNumberFormat="1" applyFont="1" applyFill="1" applyBorder="1" applyAlignment="1" applyProtection="1">
      <alignment horizontal="left" vertical="center"/>
      <protection/>
    </xf>
    <xf numFmtId="37" fontId="4" fillId="4" borderId="19" xfId="0" applyNumberFormat="1" applyFont="1" applyFill="1" applyBorder="1" applyAlignment="1" applyProtection="1">
      <alignment horizontal="fill" vertical="center"/>
      <protection/>
    </xf>
    <xf numFmtId="37" fontId="4" fillId="9" borderId="23" xfId="0" applyNumberFormat="1" applyFont="1" applyFill="1" applyBorder="1" applyAlignment="1" applyProtection="1">
      <alignment vertical="center"/>
      <protection/>
    </xf>
    <xf numFmtId="183" fontId="4" fillId="9" borderId="23" xfId="0" applyNumberFormat="1" applyFont="1" applyFill="1" applyBorder="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0" xfId="0" applyNumberFormat="1" applyFont="1" applyFill="1" applyBorder="1" applyAlignment="1" applyProtection="1">
      <alignment vertical="center"/>
      <protection/>
    </xf>
    <xf numFmtId="183" fontId="4" fillId="4" borderId="0" xfId="0" applyNumberFormat="1" applyFont="1" applyFill="1" applyBorder="1" applyAlignment="1" applyProtection="1">
      <alignment vertical="center"/>
      <protection/>
    </xf>
    <xf numFmtId="0" fontId="17" fillId="24" borderId="0" xfId="0" applyFont="1" applyFill="1" applyAlignment="1" applyProtection="1">
      <alignment horizontal="center" vertical="center"/>
      <protection/>
    </xf>
    <xf numFmtId="0" fontId="4" fillId="26" borderId="10" xfId="0" applyFont="1" applyFill="1" applyBorder="1" applyAlignment="1">
      <alignment horizontal="center" vertical="center" shrinkToFit="1"/>
    </xf>
    <xf numFmtId="0" fontId="22" fillId="26" borderId="14" xfId="0" applyFont="1" applyFill="1" applyBorder="1" applyAlignment="1" applyProtection="1">
      <alignment horizontal="center" vertical="center"/>
      <protection/>
    </xf>
    <xf numFmtId="3" fontId="4" fillId="22" borderId="14" xfId="0" applyNumberFormat="1" applyFont="1" applyFill="1" applyBorder="1" applyAlignment="1" applyProtection="1">
      <alignment horizontal="center" vertical="center"/>
      <protection locked="0"/>
    </xf>
    <xf numFmtId="37" fontId="4" fillId="4" borderId="14" xfId="0" applyNumberFormat="1" applyFont="1" applyFill="1" applyBorder="1" applyAlignment="1" applyProtection="1">
      <alignment horizontal="fill" vertical="center"/>
      <protection locked="0"/>
    </xf>
    <xf numFmtId="0" fontId="4" fillId="22" borderId="16" xfId="0" applyFont="1" applyFill="1" applyBorder="1" applyAlignment="1" applyProtection="1">
      <alignment vertical="center"/>
      <protection locked="0"/>
    </xf>
    <xf numFmtId="0" fontId="4" fillId="22" borderId="18" xfId="0" applyFont="1" applyFill="1" applyBorder="1" applyAlignment="1" applyProtection="1">
      <alignment vertical="center"/>
      <protection locked="0"/>
    </xf>
    <xf numFmtId="37" fontId="4" fillId="4" borderId="0" xfId="0" applyNumberFormat="1" applyFont="1" applyFill="1" applyBorder="1" applyAlignment="1" applyProtection="1">
      <alignment horizontal="right" vertical="center"/>
      <protection/>
    </xf>
    <xf numFmtId="0" fontId="4" fillId="4" borderId="0" xfId="0" applyFont="1" applyFill="1" applyAlignment="1" applyProtection="1">
      <alignment horizontal="left" vertical="center"/>
      <protection/>
    </xf>
    <xf numFmtId="37" fontId="4" fillId="0" borderId="0" xfId="0" applyNumberFormat="1" applyFont="1" applyAlignment="1" applyProtection="1">
      <alignment horizontal="center" vertical="center"/>
      <protection locked="0"/>
    </xf>
    <xf numFmtId="37" fontId="6" fillId="4" borderId="0" xfId="0" applyNumberFormat="1" applyFont="1" applyFill="1" applyAlignment="1">
      <alignment horizontal="center" vertical="center"/>
    </xf>
    <xf numFmtId="0" fontId="4" fillId="4" borderId="12" xfId="0" applyFont="1" applyFill="1" applyBorder="1" applyAlignment="1">
      <alignment horizontal="center" vertical="center" wrapText="1"/>
    </xf>
    <xf numFmtId="37" fontId="6"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37" fontId="4" fillId="22" borderId="10" xfId="0" applyNumberFormat="1" applyFont="1" applyFill="1" applyBorder="1" applyAlignment="1" applyProtection="1">
      <alignment horizontal="left" vertical="center"/>
      <protection locked="0"/>
    </xf>
    <xf numFmtId="37" fontId="4" fillId="22" borderId="10" xfId="0" applyNumberFormat="1" applyFont="1" applyFill="1" applyBorder="1" applyAlignment="1" applyProtection="1">
      <alignment horizontal="center" vertical="center"/>
      <protection locked="0"/>
    </xf>
    <xf numFmtId="0" fontId="4" fillId="22" borderId="10" xfId="0" applyFont="1" applyFill="1" applyBorder="1" applyAlignment="1" applyProtection="1">
      <alignment horizontal="center" vertical="center"/>
      <protection locked="0"/>
    </xf>
    <xf numFmtId="37" fontId="4" fillId="4" borderId="10" xfId="0" applyNumberFormat="1" applyFont="1" applyFill="1" applyBorder="1" applyAlignment="1" applyProtection="1">
      <alignment horizontal="fill" vertical="center"/>
      <protection/>
    </xf>
    <xf numFmtId="37" fontId="4" fillId="4" borderId="23"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6" xfId="0" applyNumberFormat="1" applyFont="1" applyFill="1" applyBorder="1" applyAlignment="1" applyProtection="1">
      <alignment vertical="center"/>
      <protection/>
    </xf>
    <xf numFmtId="3" fontId="4" fillId="4" borderId="0" xfId="0" applyNumberFormat="1" applyFont="1" applyFill="1" applyAlignment="1" quotePrefix="1">
      <alignment vertical="center"/>
    </xf>
    <xf numFmtId="3" fontId="4" fillId="4" borderId="0" xfId="0" applyNumberFormat="1" applyFont="1" applyFill="1" applyAlignment="1">
      <alignment vertical="center"/>
    </xf>
    <xf numFmtId="3" fontId="4" fillId="4" borderId="18" xfId="0" applyNumberFormat="1" applyFont="1" applyFill="1" applyBorder="1" applyAlignment="1" applyProtection="1">
      <alignment vertical="center"/>
      <protection locked="0"/>
    </xf>
    <xf numFmtId="0" fontId="5" fillId="4" borderId="0" xfId="0" applyFont="1" applyFill="1" applyAlignment="1" applyProtection="1">
      <alignment vertical="center"/>
      <protection/>
    </xf>
    <xf numFmtId="3" fontId="4" fillId="4" borderId="18" xfId="0" applyNumberFormat="1" applyFont="1" applyFill="1" applyBorder="1" applyAlignment="1">
      <alignment vertical="center"/>
    </xf>
    <xf numFmtId="3" fontId="4" fillId="4" borderId="0" xfId="0" applyNumberFormat="1" applyFont="1" applyFill="1" applyBorder="1" applyAlignment="1">
      <alignment vertical="center"/>
    </xf>
    <xf numFmtId="3" fontId="4" fillId="4" borderId="24" xfId="0" applyNumberFormat="1" applyFont="1" applyFill="1" applyBorder="1" applyAlignment="1" applyProtection="1">
      <alignment vertical="center"/>
      <protection/>
    </xf>
    <xf numFmtId="0" fontId="4" fillId="4" borderId="24" xfId="0" applyFont="1" applyFill="1" applyBorder="1" applyAlignment="1" applyProtection="1">
      <alignment vertical="center"/>
      <protection/>
    </xf>
    <xf numFmtId="0" fontId="4" fillId="4" borderId="0" xfId="0" applyFont="1" applyFill="1" applyBorder="1" applyAlignment="1">
      <alignment vertical="center"/>
    </xf>
    <xf numFmtId="0" fontId="4" fillId="4" borderId="0" xfId="0" applyFont="1" applyFill="1" applyAlignment="1" quotePrefix="1">
      <alignment vertical="center"/>
    </xf>
    <xf numFmtId="171" fontId="4" fillId="4" borderId="16" xfId="0" applyNumberFormat="1" applyFont="1" applyFill="1" applyBorder="1" applyAlignment="1" applyProtection="1">
      <alignment vertical="center"/>
      <protection/>
    </xf>
    <xf numFmtId="0" fontId="4" fillId="4" borderId="0" xfId="0" applyFont="1" applyFill="1" applyBorder="1" applyAlignment="1" quotePrefix="1">
      <alignment vertical="center"/>
    </xf>
    <xf numFmtId="3" fontId="4" fillId="4" borderId="16" xfId="0" applyNumberFormat="1" applyFont="1" applyFill="1" applyBorder="1" applyAlignment="1">
      <alignment vertical="center"/>
    </xf>
    <xf numFmtId="3" fontId="4" fillId="4" borderId="25" xfId="0" applyNumberFormat="1" applyFont="1" applyFill="1" applyBorder="1" applyAlignment="1">
      <alignment vertical="center"/>
    </xf>
    <xf numFmtId="3" fontId="4" fillId="4" borderId="16" xfId="0" applyNumberFormat="1" applyFont="1" applyFill="1" applyBorder="1" applyAlignment="1" applyProtection="1">
      <alignment vertical="center"/>
      <protection locked="0"/>
    </xf>
    <xf numFmtId="3" fontId="4" fillId="4" borderId="25" xfId="0" applyNumberFormat="1" applyFont="1" applyFill="1" applyBorder="1" applyAlignment="1" applyProtection="1">
      <alignment vertical="center"/>
      <protection/>
    </xf>
    <xf numFmtId="0" fontId="7" fillId="0" borderId="0" xfId="0" applyFont="1" applyAlignment="1">
      <alignment vertical="center"/>
    </xf>
    <xf numFmtId="0" fontId="4" fillId="4" borderId="17" xfId="0" applyFont="1" applyFill="1" applyBorder="1" applyAlignment="1">
      <alignment vertical="center"/>
    </xf>
    <xf numFmtId="0" fontId="0" fillId="4" borderId="0" xfId="0" applyFill="1" applyBorder="1" applyAlignment="1">
      <alignment vertical="center"/>
    </xf>
    <xf numFmtId="177" fontId="4" fillId="4" borderId="10" xfId="0" applyNumberFormat="1" applyFont="1" applyFill="1" applyBorder="1" applyAlignment="1" applyProtection="1">
      <alignment horizontal="center" vertical="center"/>
      <protection/>
    </xf>
    <xf numFmtId="37" fontId="4" fillId="9" borderId="23" xfId="0" applyNumberFormat="1" applyFont="1" applyFill="1" applyBorder="1" applyAlignment="1" applyProtection="1">
      <alignment horizontal="center" vertical="center"/>
      <protection/>
    </xf>
    <xf numFmtId="177" fontId="4" fillId="9" borderId="2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166" fontId="4" fillId="4" borderId="0" xfId="0" applyNumberFormat="1" applyFont="1" applyFill="1" applyAlignment="1" applyProtection="1">
      <alignment horizontal="center" vertical="center"/>
      <protection/>
    </xf>
    <xf numFmtId="37" fontId="4" fillId="4" borderId="16" xfId="0" applyNumberFormat="1" applyFont="1" applyFill="1" applyBorder="1" applyAlignment="1" applyProtection="1">
      <alignment horizontal="center" vertical="center"/>
      <protection/>
    </xf>
    <xf numFmtId="37" fontId="4" fillId="4" borderId="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65" fontId="4" fillId="9" borderId="16" xfId="0" applyNumberFormat="1" applyFont="1" applyFill="1" applyBorder="1" applyAlignment="1" applyProtection="1">
      <alignment horizontal="center" vertical="center"/>
      <protection/>
    </xf>
    <xf numFmtId="165" fontId="4" fillId="4" borderId="0" xfId="0" applyNumberFormat="1" applyFont="1" applyFill="1" applyBorder="1" applyAlignment="1" applyProtection="1">
      <alignment horizontal="center" vertical="center"/>
      <protection/>
    </xf>
    <xf numFmtId="0" fontId="0" fillId="4" borderId="0" xfId="0" applyFill="1" applyAlignment="1">
      <alignment horizontal="center" vertical="center"/>
    </xf>
    <xf numFmtId="0" fontId="5" fillId="4" borderId="16"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4" fillId="22" borderId="12" xfId="0" applyFont="1" applyFill="1" applyBorder="1" applyAlignment="1" applyProtection="1">
      <alignment vertical="center"/>
      <protection locked="0"/>
    </xf>
    <xf numFmtId="175" fontId="4" fillId="22" borderId="12" xfId="42" applyNumberFormat="1" applyFont="1" applyFill="1" applyBorder="1" applyAlignment="1" applyProtection="1">
      <alignment vertical="center"/>
      <protection locked="0"/>
    </xf>
    <xf numFmtId="175" fontId="4" fillId="22" borderId="10" xfId="42" applyNumberFormat="1" applyFont="1" applyFill="1" applyBorder="1" applyAlignment="1" applyProtection="1">
      <alignment vertical="center"/>
      <protection locked="0"/>
    </xf>
    <xf numFmtId="0" fontId="4" fillId="4" borderId="10"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1" fontId="4" fillId="4" borderId="0" xfId="0" applyNumberFormat="1" applyFont="1" applyFill="1" applyBorder="1" applyAlignment="1" applyProtection="1">
      <alignment horizontal="right" vertical="center"/>
      <protection/>
    </xf>
    <xf numFmtId="0" fontId="5" fillId="4" borderId="0" xfId="483" applyFont="1" applyFill="1" applyAlignment="1" applyProtection="1">
      <alignment horizontal="centerContinuous" vertical="center"/>
      <protection/>
    </xf>
    <xf numFmtId="0" fontId="4" fillId="4" borderId="16"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20" xfId="0" applyFont="1" applyFill="1" applyBorder="1" applyAlignment="1" applyProtection="1">
      <alignment horizontal="center" vertical="center"/>
      <protection/>
    </xf>
    <xf numFmtId="1" fontId="4"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2" fontId="4" fillId="4" borderId="10"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horizontal="center" vertical="center"/>
      <protection locked="0"/>
    </xf>
    <xf numFmtId="2" fontId="4" fillId="22" borderId="10" xfId="0" applyNumberFormat="1" applyFont="1" applyFill="1" applyBorder="1" applyAlignment="1" applyProtection="1">
      <alignment horizontal="center" vertical="center"/>
      <protection locked="0"/>
    </xf>
    <xf numFmtId="3" fontId="4" fillId="22" borderId="10" xfId="0" applyNumberFormat="1" applyFont="1" applyFill="1" applyBorder="1" applyAlignment="1" applyProtection="1">
      <alignment horizontal="center" vertical="center"/>
      <protection locked="0"/>
    </xf>
    <xf numFmtId="37" fontId="4" fillId="22" borderId="10" xfId="0" applyNumberFormat="1" applyFont="1" applyFill="1" applyBorder="1" applyAlignment="1" applyProtection="1">
      <alignment horizontal="center" vertical="center"/>
      <protection locked="0"/>
    </xf>
    <xf numFmtId="173" fontId="4" fillId="22" borderId="10" xfId="0"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172"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3" fontId="5" fillId="4" borderId="10" xfId="0" applyNumberFormat="1" applyFont="1" applyFill="1" applyBorder="1" applyAlignment="1" applyProtection="1">
      <alignment horizontal="center" vertical="center"/>
      <protection/>
    </xf>
    <xf numFmtId="172"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73" fontId="4"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4" borderId="0" xfId="0" applyNumberFormat="1" applyFont="1" applyFill="1" applyAlignment="1" applyProtection="1">
      <alignment horizontal="right" vertical="center"/>
      <protection/>
    </xf>
    <xf numFmtId="0" fontId="4" fillId="4" borderId="0" xfId="0" applyFont="1" applyFill="1" applyAlignment="1" applyProtection="1">
      <alignment horizontal="right" vertical="center"/>
      <protection/>
    </xf>
    <xf numFmtId="0" fontId="4" fillId="4" borderId="28" xfId="0" applyFont="1" applyFill="1" applyBorder="1" applyAlignment="1" applyProtection="1">
      <alignment vertical="center"/>
      <protection/>
    </xf>
    <xf numFmtId="0" fontId="4" fillId="4" borderId="17" xfId="0"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8" fillId="4" borderId="12" xfId="0" applyFont="1" applyFill="1" applyBorder="1" applyAlignment="1" applyProtection="1">
      <alignment horizontal="center" vertical="center"/>
      <protection/>
    </xf>
    <xf numFmtId="14" fontId="4" fillId="4" borderId="12" xfId="0" applyNumberFormat="1" applyFont="1" applyFill="1" applyBorder="1" applyAlignment="1" applyProtection="1" quotePrefix="1">
      <alignment horizontal="center" vertical="center"/>
      <protection/>
    </xf>
    <xf numFmtId="1" fontId="4" fillId="22" borderId="10" xfId="0" applyNumberFormat="1" applyFont="1" applyFill="1" applyBorder="1" applyAlignment="1" applyProtection="1">
      <alignment vertical="center"/>
      <protection locked="0"/>
    </xf>
    <xf numFmtId="2" fontId="4" fillId="22" borderId="10" xfId="0" applyNumberFormat="1" applyFont="1" applyFill="1" applyBorder="1" applyAlignment="1" applyProtection="1">
      <alignment vertical="center"/>
      <protection locked="0"/>
    </xf>
    <xf numFmtId="3" fontId="5" fillId="9" borderId="23" xfId="0" applyNumberFormat="1" applyFont="1" applyFill="1" applyBorder="1" applyAlignment="1" applyProtection="1">
      <alignment vertical="center"/>
      <protection/>
    </xf>
    <xf numFmtId="0" fontId="4" fillId="0" borderId="0" xfId="0" applyFont="1" applyBorder="1" applyAlignment="1">
      <alignment vertical="center"/>
    </xf>
    <xf numFmtId="0" fontId="4" fillId="16" borderId="0" xfId="482" applyFont="1" applyFill="1" applyAlignment="1" applyProtection="1">
      <alignment vertical="center"/>
      <protection/>
    </xf>
    <xf numFmtId="0" fontId="4" fillId="16" borderId="0" xfId="0" applyFont="1" applyFill="1" applyAlignment="1" applyProtection="1">
      <alignment vertical="center"/>
      <protection/>
    </xf>
    <xf numFmtId="0" fontId="4" fillId="4" borderId="0" xfId="0" applyFont="1" applyFill="1" applyAlignment="1" applyProtection="1" quotePrefix="1">
      <alignment horizontal="right" vertical="center"/>
      <protection/>
    </xf>
    <xf numFmtId="1" fontId="4" fillId="4" borderId="12"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left" vertical="center"/>
      <protection/>
    </xf>
    <xf numFmtId="0" fontId="4" fillId="4" borderId="14" xfId="0" applyFont="1" applyFill="1" applyBorder="1" applyAlignment="1" applyProtection="1">
      <alignment horizontal="left" vertical="center"/>
      <protection/>
    </xf>
    <xf numFmtId="37" fontId="4" fillId="22" borderId="11"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22" borderId="11" xfId="0" applyFont="1" applyFill="1" applyBorder="1" applyAlignment="1" applyProtection="1">
      <alignment horizontal="left" vertical="center"/>
      <protection locked="0"/>
    </xf>
    <xf numFmtId="0" fontId="4" fillId="4" borderId="11" xfId="0" applyFont="1" applyFill="1" applyBorder="1" applyAlignment="1" applyProtection="1">
      <alignment vertical="center"/>
      <protection/>
    </xf>
    <xf numFmtId="3" fontId="22" fillId="23" borderId="15"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7" fontId="5" fillId="9" borderId="10" xfId="0" applyNumberFormat="1" applyFont="1" applyFill="1" applyBorder="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Alignment="1" applyProtection="1">
      <alignment horizontal="fill" vertical="center"/>
      <protection/>
    </xf>
    <xf numFmtId="0" fontId="4" fillId="4" borderId="12"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vertical="center"/>
      <protection/>
    </xf>
    <xf numFmtId="37" fontId="4" fillId="26" borderId="10"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xf>
    <xf numFmtId="37" fontId="4" fillId="22" borderId="10" xfId="0" applyNumberFormat="1" applyFont="1" applyFill="1" applyBorder="1" applyAlignment="1" applyProtection="1">
      <alignment vertical="center"/>
      <protection/>
    </xf>
    <xf numFmtId="0" fontId="4" fillId="22" borderId="11" xfId="0"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3" fontId="4" fillId="4" borderId="0" xfId="0" applyNumberFormat="1" applyFont="1" applyFill="1" applyAlignment="1" applyProtection="1">
      <alignment horizontal="center" vertical="center"/>
      <protection/>
    </xf>
    <xf numFmtId="0" fontId="22" fillId="0" borderId="0" xfId="0" applyFont="1" applyAlignment="1">
      <alignment vertical="center"/>
    </xf>
    <xf numFmtId="0" fontId="25" fillId="4" borderId="0" xfId="0" applyFont="1" applyFill="1" applyAlignment="1" applyProtection="1">
      <alignment horizontal="center" vertical="center"/>
      <protection/>
    </xf>
    <xf numFmtId="0" fontId="4" fillId="4" borderId="0" xfId="0" applyFont="1" applyFill="1" applyAlignment="1">
      <alignment horizontal="right" vertical="center"/>
    </xf>
    <xf numFmtId="166" fontId="4" fillId="4" borderId="0" xfId="0" applyNumberFormat="1" applyFont="1" applyFill="1" applyAlignment="1" applyProtection="1">
      <alignment vertical="center"/>
      <protection/>
    </xf>
    <xf numFmtId="37" fontId="4" fillId="4" borderId="0" xfId="0" applyNumberFormat="1" applyFont="1" applyFill="1" applyAlignment="1" applyProtection="1" quotePrefix="1">
      <alignment horizontal="right" vertical="center"/>
      <protection/>
    </xf>
    <xf numFmtId="3" fontId="4" fillId="4" borderId="10" xfId="42" applyNumberFormat="1" applyFont="1" applyFill="1" applyBorder="1" applyAlignment="1" applyProtection="1">
      <alignment horizontal="right" vertical="center"/>
      <protection/>
    </xf>
    <xf numFmtId="3" fontId="4" fillId="22" borderId="14"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11" xfId="0" applyNumberFormat="1" applyFont="1" applyFill="1" applyBorder="1" applyAlignment="1" applyProtection="1">
      <alignment horizontal="left" vertical="center"/>
      <protection/>
    </xf>
    <xf numFmtId="0" fontId="4" fillId="22" borderId="1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1" xfId="0" applyNumberFormat="1" applyFont="1" applyFill="1" applyBorder="1" applyAlignment="1" applyProtection="1">
      <alignment horizontal="left" vertical="center"/>
      <protection locked="0"/>
    </xf>
    <xf numFmtId="3" fontId="22" fillId="23" borderId="10" xfId="0" applyNumberFormat="1" applyFont="1" applyFill="1" applyBorder="1" applyAlignment="1" applyProtection="1">
      <alignment horizontal="center" vertical="center"/>
      <protection/>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3" fontId="4" fillId="9" borderId="10" xfId="0" applyNumberFormat="1" applyFont="1" applyFill="1" applyBorder="1" applyAlignment="1" applyProtection="1">
      <alignment horizontal="right" vertical="center"/>
      <protection/>
    </xf>
    <xf numFmtId="0" fontId="22" fillId="0" borderId="0" xfId="0" applyFont="1" applyAlignment="1" applyProtection="1">
      <alignment vertical="center"/>
      <protection/>
    </xf>
    <xf numFmtId="3" fontId="4" fillId="26" borderId="10" xfId="0" applyNumberFormat="1" applyFont="1" applyFill="1" applyBorder="1" applyAlignment="1" applyProtection="1">
      <alignment vertical="center"/>
      <protection/>
    </xf>
    <xf numFmtId="0" fontId="4" fillId="22" borderId="0" xfId="0" applyFont="1" applyFill="1" applyAlignment="1" applyProtection="1">
      <alignment horizontal="left" vertical="center"/>
      <protection locked="0"/>
    </xf>
    <xf numFmtId="1" fontId="4" fillId="4" borderId="17" xfId="0" applyNumberFormat="1" applyFont="1" applyFill="1" applyBorder="1" applyAlignment="1" applyProtection="1">
      <alignment horizontal="center" vertical="center"/>
      <protection/>
    </xf>
    <xf numFmtId="0" fontId="4" fillId="22" borderId="10" xfId="0" applyFont="1" applyFill="1" applyBorder="1" applyAlignment="1" applyProtection="1">
      <alignment horizontal="left" vertical="center"/>
      <protection locked="0"/>
    </xf>
    <xf numFmtId="0" fontId="4" fillId="22" borderId="10" xfId="0" applyFont="1" applyFill="1" applyBorder="1" applyAlignment="1" applyProtection="1">
      <alignment horizontal="left" vertical="center"/>
      <protection locked="0"/>
    </xf>
    <xf numFmtId="37" fontId="4" fillId="9" borderId="17" xfId="0" applyNumberFormat="1" applyFont="1" applyFill="1" applyBorder="1" applyAlignment="1" applyProtection="1">
      <alignment vertical="center"/>
      <protection/>
    </xf>
    <xf numFmtId="0" fontId="4" fillId="4" borderId="0" xfId="0" applyNumberFormat="1" applyFont="1" applyFill="1" applyAlignment="1" applyProtection="1">
      <alignment vertical="center"/>
      <protection/>
    </xf>
    <xf numFmtId="37" fontId="5" fillId="26" borderId="23" xfId="0" applyNumberFormat="1" applyFont="1" applyFill="1" applyBorder="1" applyAlignment="1" applyProtection="1">
      <alignment vertical="center"/>
      <protection/>
    </xf>
    <xf numFmtId="0" fontId="22" fillId="16" borderId="0" xfId="0" applyFont="1" applyFill="1" applyAlignment="1">
      <alignment vertical="center"/>
    </xf>
    <xf numFmtId="37" fontId="4" fillId="16" borderId="0" xfId="0" applyNumberFormat="1" applyFont="1" applyFill="1" applyAlignment="1">
      <alignment vertical="center"/>
    </xf>
    <xf numFmtId="37" fontId="4" fillId="0" borderId="0" xfId="0" applyNumberFormat="1" applyFont="1" applyAlignment="1">
      <alignment vertical="center"/>
    </xf>
    <xf numFmtId="0" fontId="4" fillId="22" borderId="11" xfId="0" applyFont="1" applyFill="1" applyBorder="1" applyAlignment="1" applyProtection="1">
      <alignment horizontal="left" vertical="center"/>
      <protection/>
    </xf>
    <xf numFmtId="0" fontId="4" fillId="22" borderId="11" xfId="0" applyFont="1" applyFill="1" applyBorder="1" applyAlignment="1">
      <alignment vertical="center"/>
    </xf>
    <xf numFmtId="37" fontId="4" fillId="4" borderId="16"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locked="0"/>
    </xf>
    <xf numFmtId="3" fontId="5" fillId="9" borderId="10" xfId="0" applyNumberFormat="1" applyFont="1" applyFill="1" applyBorder="1" applyAlignment="1" applyProtection="1">
      <alignment vertical="center"/>
      <protection/>
    </xf>
    <xf numFmtId="10" fontId="4" fillId="4" borderId="0" xfId="0" applyNumberFormat="1" applyFont="1" applyFill="1" applyAlignment="1" applyProtection="1">
      <alignment horizontal="righ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lignment horizontal="center" vertical="center"/>
    </xf>
    <xf numFmtId="0" fontId="27"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16" xfId="0" applyFont="1" applyFill="1" applyBorder="1" applyAlignment="1">
      <alignment vertical="center"/>
    </xf>
    <xf numFmtId="0" fontId="21" fillId="4" borderId="17" xfId="0" applyFont="1" applyFill="1" applyBorder="1" applyAlignment="1">
      <alignment vertical="center"/>
    </xf>
    <xf numFmtId="0" fontId="21" fillId="4" borderId="14" xfId="0" applyFont="1" applyFill="1" applyBorder="1" applyAlignment="1">
      <alignment horizontal="center" vertical="center"/>
    </xf>
    <xf numFmtId="0" fontId="21" fillId="4" borderId="15" xfId="0" applyFont="1" applyFill="1" applyBorder="1" applyAlignment="1">
      <alignment vertical="center"/>
    </xf>
    <xf numFmtId="0" fontId="21" fillId="4" borderId="10" xfId="0" applyFont="1" applyFill="1" applyBorder="1" applyAlignment="1">
      <alignment horizontal="center" vertical="center"/>
    </xf>
    <xf numFmtId="0" fontId="4" fillId="4" borderId="14" xfId="0" applyFont="1" applyFill="1" applyBorder="1" applyAlignment="1">
      <alignment vertical="center"/>
    </xf>
    <xf numFmtId="0" fontId="4" fillId="4" borderId="10" xfId="0" applyFont="1" applyFill="1" applyBorder="1" applyAlignment="1">
      <alignment horizontal="center" vertical="center"/>
    </xf>
    <xf numFmtId="0" fontId="21" fillId="4" borderId="13" xfId="0" applyFont="1" applyFill="1" applyBorder="1" applyAlignment="1">
      <alignment vertical="center"/>
    </xf>
    <xf numFmtId="3" fontId="21" fillId="22" borderId="10" xfId="0" applyNumberFormat="1" applyFont="1" applyFill="1" applyBorder="1" applyAlignment="1" applyProtection="1">
      <alignment horizontal="center" vertical="center"/>
      <protection locked="0"/>
    </xf>
    <xf numFmtId="0" fontId="21" fillId="4" borderId="16" xfId="0" applyFont="1" applyFill="1" applyBorder="1" applyAlignment="1">
      <alignment vertical="center"/>
    </xf>
    <xf numFmtId="3" fontId="21" fillId="9" borderId="10" xfId="0" applyNumberFormat="1" applyFont="1" applyFill="1" applyBorder="1" applyAlignment="1">
      <alignment horizontal="center" vertical="center"/>
    </xf>
    <xf numFmtId="0" fontId="21" fillId="4" borderId="0" xfId="0" applyFont="1" applyFill="1" applyAlignment="1">
      <alignment vertical="center"/>
    </xf>
    <xf numFmtId="3" fontId="21" fillId="4" borderId="0" xfId="0" applyNumberFormat="1" applyFont="1" applyFill="1" applyAlignment="1">
      <alignment horizontal="center" vertical="center"/>
    </xf>
    <xf numFmtId="0" fontId="21" fillId="4" borderId="0" xfId="0" applyFont="1" applyFill="1" applyAlignment="1">
      <alignment horizontal="center" vertical="center"/>
    </xf>
    <xf numFmtId="0" fontId="21" fillId="22" borderId="10" xfId="0" applyFont="1" applyFill="1" applyBorder="1" applyAlignment="1" applyProtection="1">
      <alignment vertical="center"/>
      <protection locked="0"/>
    </xf>
    <xf numFmtId="0" fontId="21" fillId="22" borderId="15" xfId="0" applyFont="1" applyFill="1" applyBorder="1" applyAlignment="1" applyProtection="1">
      <alignment vertical="center"/>
      <protection locked="0"/>
    </xf>
    <xf numFmtId="0" fontId="21" fillId="22" borderId="0" xfId="0" applyFont="1" applyFill="1" applyAlignment="1" applyProtection="1">
      <alignment vertical="center"/>
      <protection locked="0"/>
    </xf>
    <xf numFmtId="0" fontId="21" fillId="22" borderId="14" xfId="0" applyFont="1" applyFill="1" applyBorder="1" applyAlignment="1" applyProtection="1">
      <alignment vertical="center"/>
      <protection locked="0"/>
    </xf>
    <xf numFmtId="0" fontId="21" fillId="22" borderId="12" xfId="0" applyFont="1" applyFill="1" applyBorder="1" applyAlignment="1" applyProtection="1">
      <alignment vertical="center"/>
      <protection locked="0"/>
    </xf>
    <xf numFmtId="0" fontId="21" fillId="22" borderId="22" xfId="0" applyFont="1" applyFill="1" applyBorder="1" applyAlignment="1" applyProtection="1">
      <alignment vertical="center"/>
      <protection locked="0"/>
    </xf>
    <xf numFmtId="3" fontId="23" fillId="26" borderId="10" xfId="0" applyNumberFormat="1" applyFont="1" applyFill="1" applyBorder="1" applyAlignment="1">
      <alignment horizontal="center" vertical="center"/>
    </xf>
    <xf numFmtId="3" fontId="28" fillId="26" borderId="0" xfId="0" applyNumberFormat="1" applyFont="1" applyFill="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4" borderId="17" xfId="0" applyFont="1" applyFill="1" applyBorder="1" applyAlignment="1" applyProtection="1">
      <alignment horizontal="centerContinuous" vertical="center"/>
      <protection/>
    </xf>
    <xf numFmtId="1" fontId="4" fillId="4" borderId="11" xfId="0" applyNumberFormat="1" applyFont="1" applyFill="1" applyBorder="1" applyAlignment="1" applyProtection="1">
      <alignment horizontal="centerContinuous" vertical="center"/>
      <protection/>
    </xf>
    <xf numFmtId="0" fontId="4" fillId="4" borderId="12" xfId="0" applyFont="1" applyFill="1" applyBorder="1" applyAlignment="1">
      <alignment horizontal="center" vertical="center"/>
    </xf>
    <xf numFmtId="164" fontId="4" fillId="4" borderId="10"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locked="0"/>
    </xf>
    <xf numFmtId="1" fontId="4" fillId="4" borderId="0" xfId="0" applyNumberFormat="1" applyFont="1" applyFill="1" applyAlignment="1" applyProtection="1">
      <alignment vertical="center"/>
      <protection/>
    </xf>
    <xf numFmtId="1" fontId="6" fillId="4" borderId="0" xfId="0" applyNumberFormat="1" applyFont="1" applyFill="1" applyAlignment="1" applyProtection="1">
      <alignment horizontal="center" vertical="center"/>
      <protection/>
    </xf>
    <xf numFmtId="37" fontId="4" fillId="0" borderId="0" xfId="0" applyNumberFormat="1" applyFont="1" applyBorder="1" applyAlignment="1" applyProtection="1">
      <alignment horizontal="fill" vertical="center"/>
      <protection locked="0"/>
    </xf>
    <xf numFmtId="0" fontId="4" fillId="0" borderId="0" xfId="0" applyFont="1" applyAlignment="1" applyProtection="1">
      <alignment horizontal="centerContinuous" vertical="center"/>
      <protection locked="0"/>
    </xf>
    <xf numFmtId="0" fontId="4" fillId="0" borderId="0" xfId="0" applyFont="1" applyFill="1" applyAlignment="1" applyProtection="1">
      <alignment vertical="center"/>
      <protection locked="0"/>
    </xf>
    <xf numFmtId="0" fontId="4" fillId="4" borderId="17"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 fontId="4" fillId="22" borderId="10" xfId="0" applyNumberFormat="1" applyFont="1" applyFill="1" applyBorder="1" applyAlignment="1" applyProtection="1">
      <alignment horizontal="center" vertical="center"/>
      <protection locked="0"/>
    </xf>
    <xf numFmtId="184" fontId="4" fillId="4" borderId="10"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horizontal="center" vertical="center"/>
      <protection/>
    </xf>
    <xf numFmtId="184" fontId="4" fillId="4" borderId="23" xfId="0" applyNumberFormat="1" applyFont="1" applyFill="1" applyBorder="1" applyAlignment="1" applyProtection="1">
      <alignment horizontal="center" vertical="center"/>
      <protection/>
    </xf>
    <xf numFmtId="184" fontId="4" fillId="4" borderId="16" xfId="0" applyNumberFormat="1" applyFont="1" applyFill="1" applyBorder="1" applyAlignment="1" applyProtection="1">
      <alignment horizontal="center" vertical="center"/>
      <protection/>
    </xf>
    <xf numFmtId="184" fontId="4" fillId="4" borderId="0" xfId="0" applyNumberFormat="1" applyFont="1" applyFill="1" applyBorder="1" applyAlignment="1" applyProtection="1">
      <alignment horizontal="center" vertical="center"/>
      <protection/>
    </xf>
    <xf numFmtId="3" fontId="4" fillId="4" borderId="16" xfId="0" applyNumberFormat="1" applyFont="1" applyFill="1" applyBorder="1" applyAlignment="1">
      <alignment horizontal="center" vertical="center"/>
    </xf>
    <xf numFmtId="184" fontId="4" fillId="4" borderId="16"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wrapText="1"/>
    </xf>
    <xf numFmtId="0" fontId="33" fillId="0" borderId="0" xfId="0" applyFont="1" applyAlignment="1">
      <alignment vertical="center"/>
    </xf>
    <xf numFmtId="0" fontId="4" fillId="0" borderId="0" xfId="163" applyFont="1" applyAlignment="1">
      <alignment vertical="center" wrapText="1"/>
      <protection/>
    </xf>
    <xf numFmtId="0" fontId="33" fillId="0" borderId="0" xfId="0" applyFont="1" applyAlignment="1">
      <alignment/>
    </xf>
    <xf numFmtId="0" fontId="36" fillId="0" borderId="0" xfId="0" applyFont="1" applyAlignment="1">
      <alignment horizontal="center"/>
    </xf>
    <xf numFmtId="0" fontId="5" fillId="0" borderId="0" xfId="0" applyFont="1" applyAlignment="1">
      <alignment wrapText="1"/>
    </xf>
    <xf numFmtId="0" fontId="32" fillId="0" borderId="0" xfId="0" applyFont="1" applyAlignment="1">
      <alignment wrapText="1"/>
    </xf>
    <xf numFmtId="0" fontId="4" fillId="0" borderId="0" xfId="410" applyFont="1" applyAlignment="1">
      <alignment vertical="center"/>
      <protection/>
    </xf>
    <xf numFmtId="0" fontId="0" fillId="0" borderId="0" xfId="0" applyAlignment="1">
      <alignment/>
    </xf>
    <xf numFmtId="0" fontId="11" fillId="0" borderId="0" xfId="456">
      <alignment/>
      <protection/>
    </xf>
    <xf numFmtId="0" fontId="4" fillId="0" borderId="0" xfId="456" applyFont="1" applyAlignment="1">
      <alignment horizontal="left" vertical="center"/>
      <protection/>
    </xf>
    <xf numFmtId="0" fontId="11" fillId="0" borderId="0" xfId="456" applyNumberFormat="1" applyFont="1" applyAlignment="1">
      <alignment horizontal="left" vertical="center"/>
      <protection/>
    </xf>
    <xf numFmtId="49" fontId="4" fillId="22" borderId="0" xfId="456" applyNumberFormat="1" applyFont="1" applyFill="1" applyAlignment="1" applyProtection="1">
      <alignment horizontal="left" vertical="center"/>
      <protection locked="0"/>
    </xf>
    <xf numFmtId="185" fontId="21" fillId="0" borderId="0" xfId="456" applyNumberFormat="1" applyFont="1" applyAlignment="1">
      <alignment horizontal="left" vertical="center"/>
      <protection/>
    </xf>
    <xf numFmtId="49" fontId="4" fillId="0" borderId="0" xfId="456" applyNumberFormat="1" applyFont="1" applyAlignment="1">
      <alignment horizontal="left" vertical="center"/>
      <protection/>
    </xf>
    <xf numFmtId="0" fontId="21" fillId="0" borderId="0" xfId="456" applyFont="1" applyAlignment="1">
      <alignment horizontal="left" vertical="center"/>
      <protection/>
    </xf>
    <xf numFmtId="186" fontId="21" fillId="0" borderId="0" xfId="456" applyNumberFormat="1" applyFont="1" applyAlignment="1">
      <alignment horizontal="left" vertical="center"/>
      <protection/>
    </xf>
    <xf numFmtId="0" fontId="4" fillId="22" borderId="0" xfId="456" applyFont="1" applyFill="1" applyAlignment="1" applyProtection="1">
      <alignment horizontal="left" vertical="center"/>
      <protection locked="0"/>
    </xf>
    <xf numFmtId="0" fontId="11" fillId="22" borderId="0" xfId="456"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29"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6" fillId="0" borderId="0" xfId="137" applyFont="1" applyAlignment="1">
      <alignment vertical="center"/>
      <protection/>
    </xf>
    <xf numFmtId="0" fontId="0" fillId="0" borderId="0" xfId="234" applyFont="1">
      <alignment/>
      <protection/>
    </xf>
    <xf numFmtId="0" fontId="0" fillId="0" borderId="0" xfId="234" applyFont="1" applyFill="1">
      <alignment/>
      <protection/>
    </xf>
    <xf numFmtId="0" fontId="4" fillId="0" borderId="0" xfId="141" applyFont="1" applyAlignment="1">
      <alignment vertical="center"/>
      <protection/>
    </xf>
    <xf numFmtId="0" fontId="4" fillId="0" borderId="0" xfId="97" applyFont="1" applyAlignment="1">
      <alignment vertical="center" wrapText="1"/>
      <protection/>
    </xf>
    <xf numFmtId="0" fontId="4" fillId="4" borderId="0" xfId="0" applyFont="1" applyFill="1" applyAlignment="1">
      <alignment/>
    </xf>
    <xf numFmtId="0" fontId="6" fillId="0" borderId="0" xfId="136" applyFont="1" applyAlignment="1">
      <alignment vertical="center"/>
      <protection/>
    </xf>
    <xf numFmtId="0" fontId="41"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4" fillId="22" borderId="10" xfId="0" applyNumberFormat="1" applyFont="1" applyFill="1" applyBorder="1" applyAlignment="1" applyProtection="1">
      <alignment horizontal="center" vertical="center"/>
      <protection locked="0"/>
    </xf>
    <xf numFmtId="3" fontId="21" fillId="9" borderId="12" xfId="0" applyNumberFormat="1" applyFont="1" applyFill="1" applyBorder="1" applyAlignment="1">
      <alignment horizontal="center" vertical="center"/>
    </xf>
    <xf numFmtId="3" fontId="4" fillId="9" borderId="11" xfId="0" applyNumberFormat="1" applyFont="1" applyFill="1" applyBorder="1" applyAlignment="1" applyProtection="1">
      <alignment vertical="center"/>
      <protection/>
    </xf>
    <xf numFmtId="3" fontId="22" fillId="23" borderId="11" xfId="0" applyNumberFormat="1" applyFont="1" applyFill="1" applyBorder="1" applyAlignment="1" applyProtection="1">
      <alignment horizontal="center" vertical="center"/>
      <protection/>
    </xf>
    <xf numFmtId="3" fontId="4" fillId="4" borderId="11" xfId="0" applyNumberFormat="1" applyFont="1" applyFill="1" applyBorder="1" applyAlignment="1" applyProtection="1">
      <alignment vertical="center"/>
      <protection/>
    </xf>
    <xf numFmtId="0" fontId="4" fillId="4" borderId="13" xfId="0" applyNumberFormat="1" applyFont="1" applyFill="1" applyBorder="1" applyAlignment="1" applyProtection="1">
      <alignment horizontal="center" vertical="center"/>
      <protection/>
    </xf>
    <xf numFmtId="3" fontId="4" fillId="4" borderId="11" xfId="42"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vertical="center"/>
      <protection/>
    </xf>
    <xf numFmtId="37" fontId="4" fillId="4" borderId="0" xfId="0" applyNumberFormat="1" applyFont="1" applyFill="1" applyBorder="1" applyAlignment="1" applyProtection="1">
      <alignment horizontal="fill" vertical="center"/>
      <protection/>
    </xf>
    <xf numFmtId="37" fontId="4" fillId="4" borderId="0" xfId="0" applyNumberFormat="1" applyFont="1" applyFill="1" applyAlignment="1" applyProtection="1">
      <alignment horizontal="left" vertical="center"/>
      <protection locked="0"/>
    </xf>
    <xf numFmtId="0" fontId="4" fillId="4" borderId="0" xfId="0" applyNumberFormat="1" applyFont="1" applyFill="1" applyAlignment="1" applyProtection="1">
      <alignment horizontal="center" vertical="center"/>
      <protection locked="0"/>
    </xf>
    <xf numFmtId="37" fontId="4" fillId="4" borderId="24" xfId="0" applyNumberFormat="1" applyFont="1" applyFill="1" applyBorder="1" applyAlignment="1" applyProtection="1">
      <alignment horizontal="center" vertical="center"/>
      <protection/>
    </xf>
    <xf numFmtId="0" fontId="4" fillId="4" borderId="0" xfId="0" applyNumberFormat="1" applyFont="1" applyFill="1" applyAlignment="1" applyProtection="1">
      <alignment horizontal="center" vertical="center"/>
      <protection/>
    </xf>
    <xf numFmtId="37" fontId="4" fillId="4" borderId="20" xfId="100" applyNumberFormat="1" applyFont="1" applyFill="1" applyBorder="1" applyAlignment="1" applyProtection="1">
      <alignment horizontal="center" vertical="center"/>
      <protection/>
    </xf>
    <xf numFmtId="37" fontId="4" fillId="4" borderId="12" xfId="100" applyNumberFormat="1" applyFont="1" applyFill="1" applyBorder="1" applyAlignment="1" applyProtection="1">
      <alignment horizontal="center" vertical="center"/>
      <protection/>
    </xf>
    <xf numFmtId="3" fontId="4" fillId="26" borderId="11" xfId="0" applyNumberFormat="1" applyFont="1" applyFill="1" applyBorder="1" applyAlignment="1" applyProtection="1">
      <alignment vertical="center"/>
      <protection/>
    </xf>
    <xf numFmtId="14" fontId="4" fillId="22" borderId="10" xfId="0" applyNumberFormat="1" applyFont="1" applyFill="1" applyBorder="1" applyAlignment="1" applyProtection="1">
      <alignment vertical="center"/>
      <protection locked="0"/>
    </xf>
    <xf numFmtId="0" fontId="14" fillId="0" borderId="0" xfId="0" applyFont="1" applyAlignment="1">
      <alignment wrapText="1"/>
    </xf>
    <xf numFmtId="3" fontId="22" fillId="23" borderId="17" xfId="0" applyNumberFormat="1" applyFont="1" applyFill="1" applyBorder="1" applyAlignment="1" applyProtection="1">
      <alignment horizontal="center" vertical="center"/>
      <protection/>
    </xf>
    <xf numFmtId="3" fontId="22" fillId="23" borderId="17" xfId="0" applyNumberFormat="1" applyFont="1" applyFill="1" applyBorder="1" applyAlignment="1" applyProtection="1">
      <alignment horizontal="center"/>
      <protection/>
    </xf>
    <xf numFmtId="0" fontId="25" fillId="4" borderId="10" xfId="0" applyFont="1" applyFill="1" applyBorder="1" applyAlignment="1" applyProtection="1">
      <alignment horizontal="center"/>
      <protection/>
    </xf>
    <xf numFmtId="49" fontId="4" fillId="22" borderId="10" xfId="0" applyNumberFormat="1" applyFont="1" applyFill="1" applyBorder="1" applyAlignment="1" applyProtection="1">
      <alignment vertical="center"/>
      <protection locked="0"/>
    </xf>
    <xf numFmtId="0" fontId="4" fillId="4" borderId="0" xfId="103" applyFont="1" applyFill="1" applyAlignment="1" applyProtection="1">
      <alignment horizontal="right" vertical="center"/>
      <protection/>
    </xf>
    <xf numFmtId="37" fontId="5" fillId="4" borderId="0" xfId="0" applyNumberFormat="1" applyFont="1" applyFill="1" applyAlignment="1" applyProtection="1">
      <alignment/>
      <protection/>
    </xf>
    <xf numFmtId="0" fontId="5" fillId="4" borderId="19" xfId="0" applyFont="1" applyFill="1" applyBorder="1" applyAlignment="1" applyProtection="1">
      <alignment vertical="center"/>
      <protection/>
    </xf>
    <xf numFmtId="37" fontId="5" fillId="4" borderId="0" xfId="0" applyNumberFormat="1" applyFont="1" applyFill="1" applyAlignment="1" applyProtection="1">
      <alignment vertical="center"/>
      <protection/>
    </xf>
    <xf numFmtId="0" fontId="25" fillId="4" borderId="10" xfId="0"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protection/>
    </xf>
    <xf numFmtId="0" fontId="5" fillId="4" borderId="16" xfId="0" applyFont="1" applyFill="1" applyBorder="1" applyAlignment="1" applyProtection="1">
      <alignment vertical="center"/>
      <protection/>
    </xf>
    <xf numFmtId="3" fontId="4" fillId="9" borderId="11" xfId="0"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horizontal="right" vertical="center"/>
      <protection locked="0"/>
    </xf>
    <xf numFmtId="3" fontId="4" fillId="4"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25" fillId="4" borderId="10" xfId="0" applyNumberFormat="1" applyFont="1" applyFill="1" applyBorder="1" applyAlignment="1" applyProtection="1">
      <alignment horizontal="center" vertical="center"/>
      <protection/>
    </xf>
    <xf numFmtId="0" fontId="5" fillId="4" borderId="0" xfId="90" applyFont="1" applyFill="1" applyAlignment="1" applyProtection="1">
      <alignment vertical="center"/>
      <protection/>
    </xf>
    <xf numFmtId="0" fontId="49" fillId="0" borderId="0" xfId="0" applyFont="1" applyAlignment="1" applyProtection="1">
      <alignment vertical="center"/>
      <protection/>
    </xf>
    <xf numFmtId="37" fontId="4" fillId="4" borderId="16" xfId="0" applyNumberFormat="1" applyFont="1" applyFill="1" applyBorder="1" applyAlignment="1" applyProtection="1">
      <alignment horizontal="center" vertical="center"/>
      <protection locked="0"/>
    </xf>
    <xf numFmtId="0" fontId="26" fillId="4" borderId="0" xfId="0" applyFont="1" applyFill="1" applyAlignment="1" applyProtection="1">
      <alignment horizontal="center" vertical="center"/>
      <protection/>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horizontal="centerContinuous"/>
    </xf>
    <xf numFmtId="37" fontId="4" fillId="4" borderId="17" xfId="90" applyNumberFormat="1" applyFont="1" applyFill="1" applyBorder="1" applyAlignment="1" applyProtection="1">
      <alignment horizontal="center"/>
      <protection/>
    </xf>
    <xf numFmtId="37" fontId="4" fillId="4" borderId="12" xfId="90" applyNumberFormat="1" applyFont="1" applyFill="1" applyBorder="1" applyAlignment="1" applyProtection="1">
      <alignment horizontal="center"/>
      <protection/>
    </xf>
    <xf numFmtId="0" fontId="49" fillId="0" borderId="0" xfId="0" applyFont="1" applyAlignment="1">
      <alignment vertical="center"/>
    </xf>
    <xf numFmtId="0" fontId="0" fillId="0" borderId="0" xfId="90">
      <alignment/>
      <protection/>
    </xf>
    <xf numFmtId="0" fontId="4" fillId="4" borderId="0" xfId="90" applyFont="1" applyFill="1" applyBorder="1" applyAlignment="1" applyProtection="1">
      <alignment vertical="center"/>
      <protection/>
    </xf>
    <xf numFmtId="0" fontId="4" fillId="4" borderId="28" xfId="90" applyFont="1" applyFill="1" applyBorder="1" applyAlignment="1" applyProtection="1">
      <alignment vertical="center"/>
      <protection/>
    </xf>
    <xf numFmtId="0" fontId="4" fillId="4" borderId="22" xfId="90" applyFont="1" applyFill="1" applyBorder="1" applyAlignment="1" applyProtection="1">
      <alignment vertical="center"/>
      <protection/>
    </xf>
    <xf numFmtId="189" fontId="17" fillId="4" borderId="28" xfId="90" applyNumberFormat="1" applyFont="1" applyFill="1" applyBorder="1" applyAlignment="1" applyProtection="1">
      <alignment horizontal="center" vertical="center"/>
      <protection/>
    </xf>
    <xf numFmtId="0" fontId="17" fillId="4" borderId="0" xfId="90" applyFont="1" applyFill="1" applyBorder="1" applyAlignment="1" applyProtection="1">
      <alignment horizontal="left" vertical="center"/>
      <protection/>
    </xf>
    <xf numFmtId="0" fontId="17" fillId="4" borderId="22" xfId="90" applyFont="1" applyFill="1" applyBorder="1" applyAlignment="1" applyProtection="1">
      <alignment vertical="center"/>
      <protection/>
    </xf>
    <xf numFmtId="0" fontId="17" fillId="4" borderId="0" xfId="90" applyFont="1" applyFill="1" applyBorder="1" applyAlignment="1" applyProtection="1">
      <alignment vertical="center"/>
      <protection/>
    </xf>
    <xf numFmtId="189" fontId="17" fillId="4" borderId="13" xfId="90" applyNumberFormat="1" applyFont="1" applyFill="1" applyBorder="1" applyAlignment="1" applyProtection="1">
      <alignment horizontal="center" vertical="center"/>
      <protection/>
    </xf>
    <xf numFmtId="189" fontId="17" fillId="4" borderId="28" xfId="90" applyNumberFormat="1" applyFont="1" applyFill="1" applyBorder="1" applyAlignment="1" applyProtection="1">
      <alignment vertical="center"/>
      <protection/>
    </xf>
    <xf numFmtId="0" fontId="44" fillId="26" borderId="16" xfId="90" applyFont="1" applyFill="1" applyBorder="1" applyAlignment="1" applyProtection="1">
      <alignment vertical="center"/>
      <protection/>
    </xf>
    <xf numFmtId="0" fontId="17" fillId="26" borderId="19" xfId="90" applyFont="1" applyFill="1" applyBorder="1" applyAlignment="1" applyProtection="1">
      <alignment vertical="center"/>
      <protection/>
    </xf>
    <xf numFmtId="0" fontId="4" fillId="26" borderId="19" xfId="90" applyFont="1" applyFill="1" applyBorder="1" applyAlignment="1" applyProtection="1">
      <alignment vertical="center"/>
      <protection/>
    </xf>
    <xf numFmtId="189" fontId="44" fillId="26" borderId="13" xfId="90" applyNumberFormat="1" applyFont="1" applyFill="1" applyBorder="1" applyAlignment="1" applyProtection="1">
      <alignment horizontal="center" vertical="center"/>
      <protection/>
    </xf>
    <xf numFmtId="0" fontId="4" fillId="0" borderId="0" xfId="90" applyFont="1" applyFill="1" applyBorder="1" applyAlignment="1" applyProtection="1">
      <alignment vertical="center"/>
      <protection/>
    </xf>
    <xf numFmtId="0" fontId="17" fillId="4" borderId="28" xfId="90" applyFont="1" applyFill="1" applyBorder="1" applyAlignment="1" applyProtection="1">
      <alignment vertical="center"/>
      <protection/>
    </xf>
    <xf numFmtId="0" fontId="17" fillId="26" borderId="16" xfId="90" applyFont="1" applyFill="1" applyBorder="1" applyAlignment="1" applyProtection="1">
      <alignment vertical="center"/>
      <protection/>
    </xf>
    <xf numFmtId="0" fontId="4" fillId="0" borderId="0" xfId="90" applyFont="1">
      <alignment/>
      <protection/>
    </xf>
    <xf numFmtId="0" fontId="47" fillId="0" borderId="0" xfId="90" applyFont="1" applyAlignment="1">
      <alignment horizontal="center"/>
      <protection/>
    </xf>
    <xf numFmtId="0" fontId="4" fillId="0" borderId="0" xfId="90" applyFont="1" applyAlignment="1">
      <alignment wrapText="1"/>
      <protection/>
    </xf>
    <xf numFmtId="0" fontId="48" fillId="0" borderId="0" xfId="76" applyFont="1" applyAlignment="1" applyProtection="1">
      <alignment/>
      <protection/>
    </xf>
    <xf numFmtId="0" fontId="4" fillId="0" borderId="0" xfId="103" applyFont="1" applyAlignment="1">
      <alignment vertical="center" wrapText="1"/>
      <protection/>
    </xf>
    <xf numFmtId="0" fontId="4" fillId="0" borderId="0" xfId="103" applyFont="1" applyAlignment="1">
      <alignment vertical="center"/>
      <protection/>
    </xf>
    <xf numFmtId="1" fontId="8" fillId="4" borderId="17" xfId="0" applyNumberFormat="1" applyFont="1" applyFill="1" applyBorder="1" applyAlignment="1" applyProtection="1">
      <alignment horizontal="center" vertical="center"/>
      <protection/>
    </xf>
    <xf numFmtId="37" fontId="8" fillId="4" borderId="17" xfId="0" applyNumberFormat="1" applyFont="1" applyFill="1" applyBorder="1" applyAlignment="1" applyProtection="1">
      <alignment horizontal="center" vertical="center"/>
      <protection/>
    </xf>
    <xf numFmtId="1" fontId="8" fillId="4" borderId="21"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center" vertical="center"/>
      <protection/>
    </xf>
    <xf numFmtId="0" fontId="17" fillId="4" borderId="28" xfId="100" applyFont="1" applyFill="1" applyBorder="1" applyProtection="1">
      <alignment/>
      <protection/>
    </xf>
    <xf numFmtId="0" fontId="4" fillId="4" borderId="0" xfId="100" applyFont="1" applyFill="1" applyBorder="1" applyProtection="1">
      <alignment/>
      <protection/>
    </xf>
    <xf numFmtId="189" fontId="4" fillId="4" borderId="22" xfId="100" applyNumberFormat="1" applyFont="1" applyFill="1" applyBorder="1" applyAlignment="1" applyProtection="1">
      <alignment horizontal="center"/>
      <protection/>
    </xf>
    <xf numFmtId="0" fontId="4" fillId="4" borderId="13" xfId="100" applyFont="1" applyFill="1" applyBorder="1" applyProtection="1">
      <alignment/>
      <protection/>
    </xf>
    <xf numFmtId="0" fontId="4" fillId="4" borderId="16" xfId="100" applyFont="1" applyFill="1" applyBorder="1" applyProtection="1">
      <alignment/>
      <protection/>
    </xf>
    <xf numFmtId="189" fontId="4" fillId="26" borderId="19" xfId="100" applyNumberFormat="1" applyFont="1" applyFill="1" applyBorder="1" applyAlignment="1" applyProtection="1">
      <alignment horizontal="center"/>
      <protection/>
    </xf>
    <xf numFmtId="0" fontId="4" fillId="0" borderId="0" xfId="100" applyFont="1" applyFill="1" applyBorder="1" applyProtection="1">
      <alignment/>
      <protection/>
    </xf>
    <xf numFmtId="0" fontId="4" fillId="4" borderId="28" xfId="100" applyFont="1" applyFill="1" applyBorder="1" applyProtection="1">
      <alignment/>
      <protection/>
    </xf>
    <xf numFmtId="0" fontId="4" fillId="4" borderId="22" xfId="100" applyFont="1" applyFill="1" applyBorder="1" applyProtection="1">
      <alignment/>
      <protection/>
    </xf>
    <xf numFmtId="183" fontId="4" fillId="4" borderId="22" xfId="100" applyNumberFormat="1" applyFont="1" applyFill="1" applyBorder="1" applyAlignment="1" applyProtection="1">
      <alignment horizontal="center"/>
      <protection/>
    </xf>
    <xf numFmtId="0" fontId="4" fillId="26" borderId="28" xfId="100" applyFont="1" applyFill="1" applyBorder="1" applyProtection="1">
      <alignment/>
      <protection/>
    </xf>
    <xf numFmtId="0" fontId="4" fillId="26" borderId="0" xfId="100" applyFont="1" applyFill="1" applyBorder="1" applyProtection="1">
      <alignment/>
      <protection/>
    </xf>
    <xf numFmtId="0" fontId="4" fillId="26" borderId="13" xfId="100" applyFont="1" applyFill="1" applyBorder="1" applyProtection="1">
      <alignment/>
      <protection/>
    </xf>
    <xf numFmtId="0" fontId="4" fillId="26" borderId="16" xfId="100" applyFont="1" applyFill="1" applyBorder="1" applyProtection="1">
      <alignment/>
      <protection/>
    </xf>
    <xf numFmtId="0" fontId="4" fillId="0" borderId="0" xfId="100" applyFont="1" applyProtection="1">
      <alignment/>
      <protection/>
    </xf>
    <xf numFmtId="189" fontId="4" fillId="4" borderId="19" xfId="100" applyNumberFormat="1" applyFont="1" applyFill="1" applyBorder="1" applyAlignment="1" applyProtection="1">
      <alignment horizontal="center"/>
      <protection/>
    </xf>
    <xf numFmtId="184" fontId="4" fillId="22" borderId="22" xfId="100" applyNumberFormat="1" applyFont="1" applyFill="1" applyBorder="1" applyAlignment="1" applyProtection="1">
      <alignment horizontal="center"/>
      <protection locked="0"/>
    </xf>
    <xf numFmtId="191" fontId="4" fillId="4" borderId="10" xfId="0" applyNumberFormat="1" applyFont="1" applyFill="1" applyBorder="1" applyAlignment="1" applyProtection="1">
      <alignment vertical="center"/>
      <protection/>
    </xf>
    <xf numFmtId="0" fontId="45" fillId="4" borderId="0" xfId="0" applyFont="1" applyFill="1" applyAlignment="1">
      <alignment/>
    </xf>
    <xf numFmtId="0" fontId="45" fillId="4" borderId="29" xfId="0" applyFont="1" applyFill="1" applyBorder="1" applyAlignment="1">
      <alignment/>
    </xf>
    <xf numFmtId="0" fontId="56" fillId="0" borderId="0" xfId="0" applyFont="1" applyBorder="1" applyAlignment="1">
      <alignment/>
    </xf>
    <xf numFmtId="0" fontId="45" fillId="0" borderId="0" xfId="0" applyFont="1" applyBorder="1" applyAlignment="1">
      <alignment horizontal="centerContinuous"/>
    </xf>
    <xf numFmtId="0" fontId="45" fillId="4" borderId="29" xfId="0" applyFont="1" applyFill="1" applyBorder="1" applyAlignment="1">
      <alignment/>
    </xf>
    <xf numFmtId="0" fontId="45" fillId="4" borderId="30" xfId="0" applyFont="1" applyFill="1" applyBorder="1" applyAlignment="1">
      <alignment horizontal="centerContinuous" vertical="center"/>
    </xf>
    <xf numFmtId="189" fontId="45" fillId="4" borderId="0" xfId="0" applyNumberFormat="1" applyFont="1" applyFill="1" applyBorder="1" applyAlignment="1">
      <alignment horizontal="centerContinuous" vertical="center"/>
    </xf>
    <xf numFmtId="0" fontId="45" fillId="4" borderId="0" xfId="0" applyFont="1" applyFill="1" applyBorder="1" applyAlignment="1">
      <alignment horizontal="centerContinuous" vertical="center"/>
    </xf>
    <xf numFmtId="184" fontId="45" fillId="4" borderId="0" xfId="0" applyNumberFormat="1" applyFont="1" applyFill="1" applyBorder="1" applyAlignment="1" applyProtection="1">
      <alignment horizontal="centerContinuous" vertical="center"/>
      <protection locked="0"/>
    </xf>
    <xf numFmtId="190" fontId="45" fillId="4" borderId="0" xfId="0" applyNumberFormat="1" applyFont="1" applyFill="1" applyBorder="1" applyAlignment="1">
      <alignment horizontal="centerContinuous" vertical="center"/>
    </xf>
    <xf numFmtId="0" fontId="45" fillId="4" borderId="31" xfId="0" applyFont="1" applyFill="1" applyBorder="1" applyAlignment="1">
      <alignment horizontal="centerContinuous" vertical="center"/>
    </xf>
    <xf numFmtId="0" fontId="45" fillId="4" borderId="30" xfId="0" applyFont="1" applyFill="1" applyBorder="1" applyAlignment="1">
      <alignment horizontal="centerContinuous"/>
    </xf>
    <xf numFmtId="189" fontId="45" fillId="4" borderId="0" xfId="0" applyNumberFormat="1" applyFont="1" applyFill="1" applyBorder="1" applyAlignment="1">
      <alignment horizontal="centerContinuous"/>
    </xf>
    <xf numFmtId="0" fontId="45" fillId="4" borderId="0" xfId="0" applyFont="1" applyFill="1" applyBorder="1" applyAlignment="1">
      <alignment horizontal="centerContinuous"/>
    </xf>
    <xf numFmtId="184" fontId="45" fillId="4" borderId="0" xfId="0" applyNumberFormat="1" applyFont="1" applyFill="1" applyBorder="1" applyAlignment="1" applyProtection="1">
      <alignment horizontal="centerContinuous"/>
      <protection locked="0"/>
    </xf>
    <xf numFmtId="190" fontId="45" fillId="4" borderId="0" xfId="0" applyNumberFormat="1" applyFont="1" applyFill="1" applyBorder="1" applyAlignment="1">
      <alignment horizontal="centerContinuous"/>
    </xf>
    <xf numFmtId="0" fontId="45" fillId="4" borderId="31" xfId="0" applyFont="1" applyFill="1" applyBorder="1" applyAlignment="1">
      <alignment horizontal="centerContinuous"/>
    </xf>
    <xf numFmtId="0" fontId="46" fillId="24" borderId="0" xfId="0" applyFont="1" applyFill="1" applyAlignment="1">
      <alignment/>
    </xf>
    <xf numFmtId="0" fontId="46" fillId="4" borderId="0" xfId="0" applyFont="1" applyFill="1" applyAlignment="1">
      <alignment/>
    </xf>
    <xf numFmtId="0" fontId="45" fillId="24" borderId="0" xfId="0" applyFont="1" applyFill="1" applyAlignment="1">
      <alignment horizontal="center" wrapText="1"/>
    </xf>
    <xf numFmtId="0" fontId="46" fillId="4" borderId="0" xfId="0" applyFont="1" applyFill="1" applyAlignment="1">
      <alignment horizontal="center"/>
    </xf>
    <xf numFmtId="0" fontId="46" fillId="4" borderId="32" xfId="0" applyFont="1" applyFill="1" applyBorder="1" applyAlignment="1">
      <alignment/>
    </xf>
    <xf numFmtId="0" fontId="46" fillId="4" borderId="33" xfId="0" applyFont="1" applyFill="1" applyBorder="1" applyAlignment="1">
      <alignment/>
    </xf>
    <xf numFmtId="189" fontId="46" fillId="4" borderId="34" xfId="0" applyNumberFormat="1" applyFont="1" applyFill="1" applyBorder="1" applyAlignment="1">
      <alignment/>
    </xf>
    <xf numFmtId="0" fontId="46" fillId="4" borderId="0" xfId="0" applyFont="1" applyFill="1" applyBorder="1" applyAlignment="1">
      <alignment/>
    </xf>
    <xf numFmtId="189" fontId="46" fillId="4" borderId="16" xfId="0" applyNumberFormat="1" applyFont="1" applyFill="1" applyBorder="1" applyAlignment="1">
      <alignment horizontal="center"/>
    </xf>
    <xf numFmtId="0" fontId="46" fillId="4" borderId="31" xfId="0" applyFont="1" applyFill="1" applyBorder="1" applyAlignment="1">
      <alignment/>
    </xf>
    <xf numFmtId="0" fontId="46" fillId="4" borderId="35" xfId="0" applyFont="1" applyFill="1" applyBorder="1" applyAlignment="1">
      <alignment/>
    </xf>
    <xf numFmtId="0" fontId="46" fillId="4" borderId="36" xfId="0" applyFont="1" applyFill="1" applyBorder="1" applyAlignment="1">
      <alignment/>
    </xf>
    <xf numFmtId="0" fontId="46" fillId="4" borderId="37" xfId="0" applyFont="1" applyFill="1" applyBorder="1" applyAlignment="1">
      <alignment/>
    </xf>
    <xf numFmtId="189" fontId="46" fillId="4" borderId="0" xfId="0" applyNumberFormat="1" applyFont="1" applyFill="1" applyAlignment="1">
      <alignment/>
    </xf>
    <xf numFmtId="0" fontId="46" fillId="4" borderId="29" xfId="0" applyFont="1" applyFill="1" applyBorder="1" applyAlignment="1">
      <alignment/>
    </xf>
    <xf numFmtId="0" fontId="46" fillId="4" borderId="30" xfId="0" applyFont="1" applyFill="1" applyBorder="1" applyAlignment="1">
      <alignment/>
    </xf>
    <xf numFmtId="189" fontId="46" fillId="22" borderId="34" xfId="0" applyNumberFormat="1" applyFont="1" applyFill="1" applyBorder="1" applyAlignment="1" applyProtection="1">
      <alignment horizontal="center"/>
      <protection locked="0"/>
    </xf>
    <xf numFmtId="184" fontId="46" fillId="4" borderId="0" xfId="0" applyNumberFormat="1" applyFont="1" applyFill="1" applyBorder="1" applyAlignment="1">
      <alignment horizontal="center"/>
    </xf>
    <xf numFmtId="189" fontId="46" fillId="0" borderId="0" xfId="0" applyNumberFormat="1" applyFont="1" applyAlignment="1">
      <alignment/>
    </xf>
    <xf numFmtId="0" fontId="46" fillId="24" borderId="0" xfId="0" applyFont="1" applyFill="1" applyBorder="1" applyAlignment="1">
      <alignment/>
    </xf>
    <xf numFmtId="0" fontId="46" fillId="4" borderId="38" xfId="0" applyFont="1" applyFill="1" applyBorder="1" applyAlignment="1">
      <alignment/>
    </xf>
    <xf numFmtId="0" fontId="46" fillId="4" borderId="24" xfId="0" applyFont="1" applyFill="1" applyBorder="1" applyAlignment="1">
      <alignment/>
    </xf>
    <xf numFmtId="0" fontId="46" fillId="4" borderId="39" xfId="0" applyFont="1" applyFill="1" applyBorder="1" applyAlignment="1">
      <alignment/>
    </xf>
    <xf numFmtId="5" fontId="46" fillId="4" borderId="36" xfId="0" applyNumberFormat="1" applyFont="1" applyFill="1" applyBorder="1" applyAlignment="1">
      <alignment horizontal="center"/>
    </xf>
    <xf numFmtId="0" fontId="46" fillId="4" borderId="36" xfId="0" applyFont="1" applyFill="1" applyBorder="1" applyAlignment="1">
      <alignment horizontal="center"/>
    </xf>
    <xf numFmtId="184" fontId="46" fillId="4" borderId="36" xfId="0" applyNumberFormat="1" applyFont="1" applyFill="1" applyBorder="1" applyAlignment="1">
      <alignment horizontal="center"/>
    </xf>
    <xf numFmtId="190" fontId="46" fillId="4" borderId="36" xfId="0" applyNumberFormat="1" applyFont="1" applyFill="1" applyBorder="1" applyAlignment="1">
      <alignment horizontal="center"/>
    </xf>
    <xf numFmtId="0" fontId="46" fillId="4" borderId="0" xfId="0" applyFont="1" applyFill="1" applyAlignment="1">
      <alignment horizontal="center" wrapText="1"/>
    </xf>
    <xf numFmtId="0" fontId="46" fillId="4" borderId="32" xfId="0" applyFont="1" applyFill="1" applyBorder="1" applyAlignment="1">
      <alignment/>
    </xf>
    <xf numFmtId="0" fontId="46" fillId="4" borderId="33" xfId="0" applyFont="1" applyFill="1" applyBorder="1" applyAlignment="1">
      <alignment/>
    </xf>
    <xf numFmtId="0" fontId="46" fillId="4" borderId="30" xfId="0" applyFont="1" applyFill="1" applyBorder="1" applyAlignment="1">
      <alignment/>
    </xf>
    <xf numFmtId="0" fontId="46" fillId="4" borderId="31" xfId="0" applyFont="1" applyFill="1" applyBorder="1" applyAlignment="1">
      <alignment/>
    </xf>
    <xf numFmtId="0" fontId="46" fillId="4" borderId="38" xfId="0" applyFont="1" applyFill="1" applyBorder="1" applyAlignment="1">
      <alignment/>
    </xf>
    <xf numFmtId="0" fontId="46" fillId="4" borderId="24" xfId="0" applyFont="1" applyFill="1" applyBorder="1" applyAlignment="1">
      <alignment/>
    </xf>
    <xf numFmtId="0" fontId="46" fillId="4" borderId="39" xfId="0" applyFont="1" applyFill="1" applyBorder="1" applyAlignment="1">
      <alignment/>
    </xf>
    <xf numFmtId="183" fontId="46" fillId="4" borderId="0" xfId="0" applyNumberFormat="1" applyFont="1" applyFill="1" applyBorder="1" applyAlignment="1">
      <alignment horizontal="center"/>
    </xf>
    <xf numFmtId="0" fontId="46" fillId="4" borderId="35" xfId="0" applyFont="1" applyFill="1" applyBorder="1" applyAlignment="1">
      <alignment/>
    </xf>
    <xf numFmtId="5" fontId="46" fillId="4" borderId="0" xfId="0" applyNumberFormat="1" applyFont="1" applyFill="1" applyBorder="1" applyAlignment="1">
      <alignment horizontal="center"/>
    </xf>
    <xf numFmtId="0" fontId="46" fillId="24" borderId="0" xfId="0" applyFont="1" applyFill="1" applyAlignment="1">
      <alignment/>
    </xf>
    <xf numFmtId="184" fontId="46" fillId="22" borderId="16" xfId="0" applyNumberFormat="1" applyFont="1" applyFill="1" applyBorder="1" applyAlignment="1" applyProtection="1">
      <alignment horizontal="center"/>
      <protection locked="0"/>
    </xf>
    <xf numFmtId="190" fontId="46" fillId="4" borderId="0" xfId="0" applyNumberFormat="1" applyFont="1" applyFill="1" applyBorder="1" applyAlignment="1">
      <alignment/>
    </xf>
    <xf numFmtId="189" fontId="46" fillId="4" borderId="36" xfId="0" applyNumberFormat="1" applyFont="1" applyFill="1" applyBorder="1" applyAlignment="1">
      <alignment horizontal="center"/>
    </xf>
    <xf numFmtId="184" fontId="46" fillId="4" borderId="36" xfId="0" applyNumberFormat="1" applyFont="1" applyFill="1" applyBorder="1" applyAlignment="1" applyProtection="1">
      <alignment horizontal="center"/>
      <protection locked="0"/>
    </xf>
    <xf numFmtId="190" fontId="46" fillId="4" borderId="36" xfId="0" applyNumberFormat="1" applyFont="1" applyFill="1" applyBorder="1" applyAlignment="1">
      <alignment/>
    </xf>
    <xf numFmtId="184" fontId="46" fillId="4" borderId="0" xfId="0" applyNumberFormat="1" applyFont="1" applyFill="1" applyBorder="1" applyAlignment="1" applyProtection="1">
      <alignment horizontal="center"/>
      <protection locked="0"/>
    </xf>
    <xf numFmtId="189" fontId="46" fillId="4" borderId="32" xfId="0" applyNumberFormat="1" applyFont="1" applyFill="1" applyBorder="1" applyAlignment="1">
      <alignment horizontal="center"/>
    </xf>
    <xf numFmtId="0" fontId="46" fillId="4" borderId="32" xfId="0" applyFont="1" applyFill="1" applyBorder="1" applyAlignment="1">
      <alignment horizontal="center"/>
    </xf>
    <xf numFmtId="184" fontId="46" fillId="4" borderId="32" xfId="0" applyNumberFormat="1" applyFont="1" applyFill="1" applyBorder="1" applyAlignment="1" applyProtection="1">
      <alignment horizontal="center"/>
      <protection locked="0"/>
    </xf>
    <xf numFmtId="190" fontId="46" fillId="4" borderId="32" xfId="0" applyNumberFormat="1" applyFont="1" applyFill="1" applyBorder="1" applyAlignment="1">
      <alignment/>
    </xf>
    <xf numFmtId="189" fontId="46" fillId="4" borderId="0" xfId="0" applyNumberFormat="1" applyFont="1" applyFill="1" applyBorder="1" applyAlignment="1" applyProtection="1">
      <alignment horizontal="center"/>
      <protection locked="0"/>
    </xf>
    <xf numFmtId="0" fontId="46" fillId="18" borderId="0" xfId="0" applyFont="1" applyFill="1" applyAlignment="1">
      <alignment/>
    </xf>
    <xf numFmtId="189" fontId="4" fillId="26" borderId="22" xfId="100" applyNumberFormat="1" applyFont="1" applyFill="1" applyBorder="1" applyAlignment="1" applyProtection="1">
      <alignment horizontal="center"/>
      <protection/>
    </xf>
    <xf numFmtId="37" fontId="4" fillId="9" borderId="12" xfId="0" applyNumberFormat="1" applyFont="1" applyFill="1" applyBorder="1" applyAlignment="1" applyProtection="1">
      <alignment vertical="center"/>
      <protection/>
    </xf>
    <xf numFmtId="164" fontId="4" fillId="9" borderId="12" xfId="0" applyNumberFormat="1" applyFont="1" applyFill="1" applyBorder="1" applyAlignment="1" applyProtection="1">
      <alignment vertical="center"/>
      <protection/>
    </xf>
    <xf numFmtId="37" fontId="4" fillId="4" borderId="40" xfId="0" applyNumberFormat="1" applyFont="1" applyFill="1" applyBorder="1" applyAlignment="1" applyProtection="1">
      <alignment vertical="center"/>
      <protection/>
    </xf>
    <xf numFmtId="0" fontId="4" fillId="4" borderId="40" xfId="0" applyFont="1" applyFill="1" applyBorder="1" applyAlignment="1" applyProtection="1">
      <alignment vertical="center"/>
      <protection/>
    </xf>
    <xf numFmtId="0" fontId="4" fillId="4" borderId="40" xfId="0" applyFont="1" applyFill="1" applyBorder="1" applyAlignment="1" applyProtection="1">
      <alignment vertical="center"/>
      <protection locked="0"/>
    </xf>
    <xf numFmtId="37"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horizontal="fill" vertical="center"/>
      <protection/>
    </xf>
    <xf numFmtId="0" fontId="4" fillId="26" borderId="13" xfId="0" applyFont="1" applyFill="1" applyBorder="1" applyAlignment="1">
      <alignment vertical="center"/>
    </xf>
    <xf numFmtId="0" fontId="4" fillId="26" borderId="16" xfId="0" applyFont="1" applyFill="1" applyBorder="1" applyAlignment="1">
      <alignment vertical="center"/>
    </xf>
    <xf numFmtId="189" fontId="4" fillId="26" borderId="19" xfId="0" applyNumberFormat="1" applyFont="1" applyFill="1" applyBorder="1" applyAlignment="1">
      <alignment horizontal="center" vertical="center"/>
    </xf>
    <xf numFmtId="0" fontId="4" fillId="4" borderId="13" xfId="0" applyFont="1" applyFill="1" applyBorder="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protection locked="0"/>
    </xf>
    <xf numFmtId="37" fontId="4" fillId="4" borderId="0" xfId="0" applyNumberFormat="1" applyFont="1" applyFill="1" applyBorder="1" applyAlignment="1" applyProtection="1">
      <alignment horizontal="fill" vertical="center"/>
      <protection locked="0"/>
    </xf>
    <xf numFmtId="189" fontId="46" fillId="22" borderId="16" xfId="0" applyNumberFormat="1" applyFont="1" applyFill="1" applyBorder="1" applyAlignment="1" applyProtection="1">
      <alignment horizontal="center"/>
      <protection locked="0"/>
    </xf>
    <xf numFmtId="0" fontId="45" fillId="4" borderId="0" xfId="0" applyFont="1" applyFill="1" applyAlignment="1">
      <alignment horizontal="center" wrapText="1"/>
    </xf>
    <xf numFmtId="0" fontId="45" fillId="4" borderId="0" xfId="0" applyFont="1" applyFill="1" applyAlignment="1">
      <alignment horizontal="center"/>
    </xf>
    <xf numFmtId="189" fontId="46" fillId="4" borderId="0" xfId="0" applyNumberFormat="1" applyFont="1" applyFill="1" applyAlignment="1">
      <alignment horizontal="center"/>
    </xf>
    <xf numFmtId="0" fontId="46" fillId="4" borderId="0" xfId="0" applyFont="1" applyFill="1" applyBorder="1" applyAlignment="1">
      <alignment/>
    </xf>
    <xf numFmtId="0" fontId="46" fillId="4" borderId="37" xfId="0" applyFont="1" applyFill="1" applyBorder="1" applyAlignment="1">
      <alignment/>
    </xf>
    <xf numFmtId="189" fontId="46" fillId="4" borderId="0" xfId="0" applyNumberFormat="1" applyFont="1" applyFill="1" applyBorder="1" applyAlignment="1">
      <alignment horizontal="center"/>
    </xf>
    <xf numFmtId="0" fontId="46" fillId="4" borderId="0" xfId="0" applyFont="1" applyFill="1" applyBorder="1" applyAlignment="1">
      <alignment horizontal="center"/>
    </xf>
    <xf numFmtId="0" fontId="46" fillId="4" borderId="24" xfId="0" applyFont="1" applyFill="1" applyBorder="1" applyAlignment="1">
      <alignment horizontal="center"/>
    </xf>
    <xf numFmtId="190" fontId="46" fillId="4" borderId="0" xfId="0" applyNumberFormat="1" applyFont="1" applyFill="1" applyBorder="1" applyAlignment="1">
      <alignment horizontal="center"/>
    </xf>
    <xf numFmtId="0" fontId="4" fillId="4" borderId="22" xfId="0" applyFont="1" applyFill="1" applyBorder="1" applyAlignment="1" applyProtection="1">
      <alignment horizontal="center" vertical="center"/>
      <protection/>
    </xf>
    <xf numFmtId="0" fontId="4" fillId="4" borderId="15"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4" borderId="28" xfId="0"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center" vertical="center"/>
      <protection/>
    </xf>
    <xf numFmtId="1" fontId="4" fillId="4" borderId="17" xfId="0" applyNumberFormat="1" applyFont="1" applyFill="1" applyBorder="1" applyAlignment="1" applyProtection="1">
      <alignment horizontal="center"/>
      <protection/>
    </xf>
    <xf numFmtId="37" fontId="4" fillId="4" borderId="17" xfId="0" applyNumberFormat="1" applyFont="1" applyFill="1" applyBorder="1" applyAlignment="1" applyProtection="1">
      <alignment horizontal="center"/>
      <protection/>
    </xf>
    <xf numFmtId="0" fontId="17" fillId="4" borderId="28" xfId="0" applyFont="1" applyFill="1" applyBorder="1" applyAlignment="1" applyProtection="1">
      <alignment vertical="center"/>
      <protection/>
    </xf>
    <xf numFmtId="0" fontId="17" fillId="4" borderId="0" xfId="0" applyFont="1" applyFill="1" applyBorder="1" applyAlignment="1" applyProtection="1">
      <alignment vertical="center"/>
      <protection/>
    </xf>
    <xf numFmtId="189" fontId="17" fillId="4" borderId="22" xfId="0" applyNumberFormat="1" applyFont="1" applyFill="1" applyBorder="1" applyAlignment="1" applyProtection="1">
      <alignment horizontal="center" vertical="center"/>
      <protection/>
    </xf>
    <xf numFmtId="0" fontId="17" fillId="4" borderId="28" xfId="0" applyFont="1" applyFill="1" applyBorder="1" applyAlignment="1" applyProtection="1">
      <alignment horizontal="left" vertical="center"/>
      <protection/>
    </xf>
    <xf numFmtId="189" fontId="17" fillId="22" borderId="10" xfId="0" applyNumberFormat="1" applyFont="1" applyFill="1" applyBorder="1" applyAlignment="1" applyProtection="1">
      <alignment horizontal="center" vertical="center"/>
      <protection locked="0"/>
    </xf>
    <xf numFmtId="184" fontId="44" fillId="4" borderId="14" xfId="0" applyNumberFormat="1" applyFont="1" applyFill="1" applyBorder="1" applyAlignment="1" applyProtection="1">
      <alignment horizontal="center" vertical="center"/>
      <protection/>
    </xf>
    <xf numFmtId="0" fontId="44" fillId="26" borderId="28"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17" fillId="26" borderId="0" xfId="0" applyFont="1" applyFill="1" applyBorder="1" applyAlignment="1" applyProtection="1">
      <alignment vertical="center"/>
      <protection/>
    </xf>
    <xf numFmtId="189" fontId="44" fillId="26" borderId="14" xfId="0" applyNumberFormat="1" applyFont="1" applyFill="1" applyBorder="1" applyAlignment="1" applyProtection="1">
      <alignment horizontal="center" vertical="center"/>
      <protection/>
    </xf>
    <xf numFmtId="37" fontId="17" fillId="4" borderId="13" xfId="0" applyNumberFormat="1" applyFont="1" applyFill="1" applyBorder="1" applyAlignment="1" applyProtection="1">
      <alignment horizontal="left" vertical="center"/>
      <protection/>
    </xf>
    <xf numFmtId="0" fontId="50" fillId="4" borderId="16" xfId="0" applyFont="1" applyFill="1" applyBorder="1" applyAlignment="1">
      <alignment horizontal="left" vertical="center"/>
    </xf>
    <xf numFmtId="189" fontId="44" fillId="26" borderId="19"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37" fontId="4" fillId="4" borderId="22" xfId="0" applyNumberFormat="1" applyFont="1" applyFill="1" applyBorder="1" applyAlignment="1" applyProtection="1">
      <alignment horizontal="right" vertical="center"/>
      <protection/>
    </xf>
    <xf numFmtId="189" fontId="17" fillId="4" borderId="28"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22" xfId="0" applyFont="1" applyFill="1" applyBorder="1" applyAlignment="1" applyProtection="1">
      <alignment vertical="center"/>
      <protection/>
    </xf>
    <xf numFmtId="189" fontId="17" fillId="4" borderId="13" xfId="0" applyNumberFormat="1" applyFont="1" applyFill="1" applyBorder="1" applyAlignment="1" applyProtection="1">
      <alignment horizontal="center" vertical="center"/>
      <protection/>
    </xf>
    <xf numFmtId="189" fontId="17" fillId="4" borderId="28" xfId="0" applyNumberFormat="1" applyFont="1" applyFill="1" applyBorder="1" applyAlignment="1" applyProtection="1">
      <alignment vertical="center"/>
      <protection/>
    </xf>
    <xf numFmtId="189" fontId="17" fillId="26" borderId="13" xfId="0" applyNumberFormat="1" applyFont="1" applyFill="1" applyBorder="1" applyAlignment="1" applyProtection="1">
      <alignment horizontal="center" vertical="center"/>
      <protection/>
    </xf>
    <xf numFmtId="0" fontId="17" fillId="26" borderId="16" xfId="0" applyFont="1" applyFill="1" applyBorder="1" applyAlignment="1" applyProtection="1">
      <alignment vertical="center"/>
      <protection/>
    </xf>
    <xf numFmtId="0" fontId="17" fillId="26" borderId="19" xfId="0" applyFont="1" applyFill="1" applyBorder="1" applyAlignment="1" applyProtection="1">
      <alignment vertical="center"/>
      <protection/>
    </xf>
    <xf numFmtId="37" fontId="4" fillId="26" borderId="19" xfId="0" applyNumberFormat="1" applyFont="1" applyFill="1" applyBorder="1" applyAlignment="1" applyProtection="1">
      <alignment horizontal="right" vertical="center"/>
      <protection/>
    </xf>
    <xf numFmtId="184" fontId="17" fillId="4" borderId="28" xfId="0" applyNumberFormat="1" applyFont="1" applyFill="1" applyBorder="1" applyAlignment="1" applyProtection="1">
      <alignment horizontal="center" vertical="center"/>
      <protection/>
    </xf>
    <xf numFmtId="0" fontId="42" fillId="4" borderId="0"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184" fontId="17" fillId="26" borderId="13" xfId="0" applyNumberFormat="1" applyFont="1" applyFill="1" applyBorder="1" applyAlignment="1" applyProtection="1">
      <alignment horizontal="center" vertical="center"/>
      <protection/>
    </xf>
    <xf numFmtId="184" fontId="17" fillId="4" borderId="11" xfId="0" applyNumberFormat="1" applyFont="1" applyFill="1" applyBorder="1" applyAlignment="1" applyProtection="1">
      <alignment horizontal="center" vertical="center"/>
      <protection/>
    </xf>
    <xf numFmtId="184" fontId="17" fillId="26" borderId="11" xfId="0" applyNumberFormat="1" applyFont="1" applyFill="1" applyBorder="1" applyAlignment="1" applyProtection="1">
      <alignment horizontal="center" vertical="center"/>
      <protection/>
    </xf>
    <xf numFmtId="0" fontId="17" fillId="4" borderId="16" xfId="0" applyFont="1" applyFill="1" applyBorder="1" applyAlignment="1" applyProtection="1">
      <alignment horizontal="left" vertical="center"/>
      <protection/>
    </xf>
    <xf numFmtId="0" fontId="42" fillId="4" borderId="16"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0" fontId="4" fillId="4" borderId="22" xfId="0" applyFont="1" applyFill="1" applyBorder="1" applyAlignment="1" applyProtection="1">
      <alignment/>
      <protection locked="0"/>
    </xf>
    <xf numFmtId="189" fontId="21" fillId="4" borderId="28" xfId="0" applyNumberFormat="1" applyFont="1" applyFill="1" applyBorder="1" applyAlignment="1" applyProtection="1">
      <alignment horizontal="center" vertical="center"/>
      <protection/>
    </xf>
    <xf numFmtId="189" fontId="21" fillId="4" borderId="28" xfId="0" applyNumberFormat="1" applyFont="1" applyFill="1" applyBorder="1" applyAlignment="1" applyProtection="1">
      <alignment vertical="center"/>
      <protection/>
    </xf>
    <xf numFmtId="0" fontId="21" fillId="4" borderId="0" xfId="0" applyFont="1" applyFill="1" applyBorder="1" applyAlignment="1" applyProtection="1">
      <alignment vertical="center"/>
      <protection/>
    </xf>
    <xf numFmtId="189" fontId="21" fillId="4" borderId="13" xfId="0" applyNumberFormat="1" applyFont="1" applyFill="1" applyBorder="1" applyAlignment="1" applyProtection="1">
      <alignment horizontal="center" vertical="center"/>
      <protection/>
    </xf>
    <xf numFmtId="189" fontId="21" fillId="26" borderId="13" xfId="0" applyNumberFormat="1" applyFont="1" applyFill="1" applyBorder="1" applyAlignment="1" applyProtection="1">
      <alignment horizontal="center" vertical="center"/>
      <protection/>
    </xf>
    <xf numFmtId="0" fontId="4" fillId="26" borderId="19" xfId="0" applyFont="1" applyFill="1" applyBorder="1" applyAlignment="1" applyProtection="1">
      <alignment vertical="center"/>
      <protection/>
    </xf>
    <xf numFmtId="0" fontId="4" fillId="26" borderId="19" xfId="0" applyFont="1" applyFill="1" applyBorder="1" applyAlignment="1" applyProtection="1">
      <alignment/>
      <protection locked="0"/>
    </xf>
    <xf numFmtId="0" fontId="4" fillId="4" borderId="22" xfId="0" applyFont="1" applyFill="1" applyBorder="1" applyAlignment="1" applyProtection="1">
      <alignment vertical="center"/>
      <protection locked="0"/>
    </xf>
    <xf numFmtId="0" fontId="17" fillId="0" borderId="0" xfId="90" applyFont="1" applyFill="1" applyBorder="1" applyAlignment="1" applyProtection="1">
      <alignment vertical="center"/>
      <protection/>
    </xf>
    <xf numFmtId="0" fontId="44" fillId="0" borderId="0" xfId="90" applyFont="1" applyFill="1" applyBorder="1" applyAlignment="1" applyProtection="1">
      <alignment vertical="center"/>
      <protection/>
    </xf>
    <xf numFmtId="189" fontId="44" fillId="0" borderId="0" xfId="90" applyNumberFormat="1" applyFont="1" applyFill="1" applyBorder="1" applyAlignment="1" applyProtection="1">
      <alignment horizontal="center" vertical="center"/>
      <protection/>
    </xf>
    <xf numFmtId="0" fontId="4" fillId="0" borderId="0" xfId="457" applyFont="1" applyAlignment="1">
      <alignment horizontal="left" vertical="center"/>
      <protection/>
    </xf>
    <xf numFmtId="0" fontId="57" fillId="0" borderId="0" xfId="0" applyFont="1" applyAlignment="1">
      <alignment/>
    </xf>
    <xf numFmtId="1" fontId="58" fillId="0" borderId="0" xfId="457" applyNumberFormat="1" applyFont="1" applyAlignment="1">
      <alignment horizontal="left" vertical="center"/>
      <protection/>
    </xf>
    <xf numFmtId="0" fontId="59" fillId="0" borderId="0" xfId="457" applyFont="1" applyAlignment="1">
      <alignment horizontal="left" vertical="center"/>
      <protection/>
    </xf>
    <xf numFmtId="0" fontId="60" fillId="0" borderId="0" xfId="457" applyFont="1">
      <alignment/>
      <protection/>
    </xf>
    <xf numFmtId="0" fontId="58" fillId="0" borderId="0" xfId="457" applyNumberFormat="1" applyFont="1" applyAlignment="1">
      <alignment horizontal="left" vertical="center"/>
      <protection/>
    </xf>
    <xf numFmtId="185" fontId="58" fillId="0" borderId="0" xfId="457" applyNumberFormat="1" applyFont="1" applyAlignment="1">
      <alignment horizontal="left" vertical="center"/>
      <protection/>
    </xf>
    <xf numFmtId="0" fontId="49" fillId="0" borderId="0" xfId="0" applyFont="1" applyAlignment="1" applyProtection="1">
      <alignment/>
      <protection locked="0"/>
    </xf>
    <xf numFmtId="192" fontId="4" fillId="22" borderId="10" xfId="0" applyNumberFormat="1" applyFont="1" applyFill="1" applyBorder="1" applyAlignment="1" applyProtection="1">
      <alignment vertical="center"/>
      <protection locked="0"/>
    </xf>
    <xf numFmtId="192" fontId="4" fillId="22" borderId="10" xfId="0" applyNumberFormat="1" applyFont="1" applyFill="1" applyBorder="1" applyAlignment="1" applyProtection="1">
      <alignment vertical="center"/>
      <protection locked="0"/>
    </xf>
    <xf numFmtId="192" fontId="4" fillId="4" borderId="0" xfId="0" applyNumberFormat="1" applyFont="1" applyFill="1" applyAlignment="1">
      <alignment horizontal="center" vertical="center"/>
    </xf>
    <xf numFmtId="0" fontId="4" fillId="0" borderId="0" xfId="476" applyFont="1" applyAlignment="1">
      <alignment vertical="center" wrapText="1"/>
      <protection/>
    </xf>
    <xf numFmtId="0" fontId="4" fillId="0" borderId="0" xfId="84" applyFont="1" applyAlignment="1">
      <alignment vertical="center" wrapText="1"/>
      <protection/>
    </xf>
    <xf numFmtId="10" fontId="4" fillId="22" borderId="10" xfId="0" applyNumberFormat="1" applyFont="1" applyFill="1" applyBorder="1" applyAlignment="1" applyProtection="1">
      <alignment vertical="center"/>
      <protection locked="0"/>
    </xf>
    <xf numFmtId="37" fontId="4" fillId="4" borderId="20" xfId="0" applyNumberFormat="1" applyFont="1" applyFill="1" applyBorder="1" applyAlignment="1" applyProtection="1">
      <alignment horizontal="left" vertical="center"/>
      <protection/>
    </xf>
    <xf numFmtId="189" fontId="17" fillId="26" borderId="13" xfId="90" applyNumberFormat="1" applyFont="1" applyFill="1" applyBorder="1" applyAlignment="1" applyProtection="1">
      <alignment horizontal="center" vertical="center"/>
      <protection/>
    </xf>
    <xf numFmtId="0" fontId="4" fillId="26" borderId="19" xfId="0" applyFont="1" applyFill="1" applyBorder="1" applyAlignment="1" applyProtection="1">
      <alignment vertical="center"/>
      <protection locked="0"/>
    </xf>
    <xf numFmtId="3" fontId="4" fillId="9" borderId="23" xfId="0" applyNumberFormat="1" applyFont="1" applyFill="1" applyBorder="1" applyAlignment="1" applyProtection="1">
      <alignment vertical="center"/>
      <protection/>
    </xf>
    <xf numFmtId="0" fontId="4" fillId="0" borderId="0" xfId="126" applyFont="1" applyAlignment="1">
      <alignment vertical="center" wrapText="1"/>
      <protection/>
    </xf>
    <xf numFmtId="0" fontId="4" fillId="0" borderId="0" xfId="137" applyFont="1" applyAlignment="1">
      <alignment vertical="center"/>
      <protection/>
    </xf>
    <xf numFmtId="0" fontId="4" fillId="0" borderId="0" xfId="0" applyNumberFormat="1" applyFont="1" applyAlignment="1">
      <alignment vertical="center" wrapText="1"/>
    </xf>
    <xf numFmtId="0" fontId="61" fillId="4" borderId="14" xfId="0" applyFont="1" applyFill="1" applyBorder="1" applyAlignment="1">
      <alignment horizontal="center" vertical="center"/>
    </xf>
    <xf numFmtId="0" fontId="5" fillId="4" borderId="18" xfId="0" applyFont="1" applyFill="1" applyBorder="1" applyAlignment="1">
      <alignment horizontal="centerContinuous" vertical="center"/>
    </xf>
    <xf numFmtId="0" fontId="44" fillId="4" borderId="11" xfId="0" applyFont="1" applyFill="1" applyBorder="1" applyAlignment="1">
      <alignment horizontal="centerContinuous" vertical="center"/>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4" borderId="0" xfId="0" applyNumberFormat="1" applyFont="1" applyFill="1" applyAlignment="1" applyProtection="1">
      <alignment horizontal="center" vertical="center" wrapText="1"/>
      <protection/>
    </xf>
    <xf numFmtId="0" fontId="0" fillId="4" borderId="0" xfId="0" applyFill="1" applyBorder="1" applyAlignment="1">
      <alignment horizontal="center" vertical="center" wrapText="1"/>
    </xf>
    <xf numFmtId="37" fontId="4" fillId="24" borderId="0" xfId="0" applyNumberFormat="1" applyFont="1" applyFill="1" applyAlignment="1" applyProtection="1">
      <alignment horizontal="center" vertical="center" wrapText="1"/>
      <protection/>
    </xf>
    <xf numFmtId="0" fontId="0" fillId="24" borderId="16" xfId="0" applyFill="1" applyBorder="1" applyAlignment="1">
      <alignment horizontal="center" vertical="center" wrapText="1"/>
    </xf>
    <xf numFmtId="37" fontId="18" fillId="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25" fillId="4" borderId="0" xfId="0" applyNumberFormat="1" applyFont="1" applyFill="1" applyAlignment="1" applyProtection="1">
      <alignment horizontal="center" vertical="center"/>
      <protection/>
    </xf>
    <xf numFmtId="0" fontId="29" fillId="0" borderId="0" xfId="0" applyFont="1" applyAlignment="1">
      <alignment horizontal="center" vertical="center"/>
    </xf>
    <xf numFmtId="0" fontId="5"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4" fillId="24" borderId="17"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22" fillId="4" borderId="0" xfId="0" applyFont="1" applyFill="1" applyBorder="1" applyAlignment="1">
      <alignment vertical="center"/>
    </xf>
    <xf numFmtId="0" fontId="24" fillId="0" borderId="0" xfId="0" applyFont="1" applyAlignment="1">
      <alignment vertical="center"/>
    </xf>
    <xf numFmtId="0" fontId="4" fillId="0" borderId="0" xfId="456" applyFont="1" applyAlignment="1">
      <alignment horizontal="left" vertical="center" wrapText="1"/>
      <protection/>
    </xf>
    <xf numFmtId="0" fontId="11" fillId="0" borderId="0" xfId="456" applyAlignment="1">
      <alignment horizontal="left" vertical="center" wrapText="1"/>
      <protection/>
    </xf>
    <xf numFmtId="0" fontId="18" fillId="0" borderId="0" xfId="456" applyFont="1" applyAlignment="1">
      <alignment horizontal="left" vertical="center"/>
      <protection/>
    </xf>
    <xf numFmtId="37" fontId="4" fillId="0" borderId="0" xfId="0" applyNumberFormat="1" applyFont="1" applyAlignment="1" applyProtection="1">
      <alignment horizontal="center" vertical="center"/>
      <protection locked="0"/>
    </xf>
    <xf numFmtId="37" fontId="5" fillId="4" borderId="0" xfId="0" applyNumberFormat="1" applyFont="1" applyFill="1" applyAlignment="1" applyProtection="1">
      <alignment horizontal="center" vertical="center"/>
      <protection/>
    </xf>
    <xf numFmtId="37" fontId="4" fillId="4" borderId="17" xfId="0" applyNumberFormat="1" applyFont="1" applyFill="1" applyBorder="1" applyAlignment="1" applyProtection="1">
      <alignment horizontal="center" vertical="center" wrapText="1"/>
      <protection/>
    </xf>
    <xf numFmtId="0" fontId="1" fillId="0" borderId="0" xfId="0" applyFont="1" applyAlignment="1">
      <alignment horizontal="center" vertical="center"/>
    </xf>
    <xf numFmtId="37" fontId="4"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17" fillId="24" borderId="24" xfId="0" applyFont="1" applyFill="1" applyBorder="1" applyAlignment="1" applyProtection="1">
      <alignment horizontal="center" vertical="center" wrapText="1"/>
      <protection/>
    </xf>
    <xf numFmtId="37" fontId="4" fillId="4" borderId="11" xfId="0" applyNumberFormat="1" applyFont="1" applyFill="1" applyBorder="1" applyAlignment="1" applyProtection="1">
      <alignment horizontal="fill" vertical="center"/>
      <protection/>
    </xf>
    <xf numFmtId="0" fontId="0" fillId="0" borderId="14" xfId="0" applyBorder="1" applyAlignment="1">
      <alignment vertical="center"/>
    </xf>
    <xf numFmtId="0" fontId="0" fillId="0" borderId="0" xfId="0" applyAlignment="1">
      <alignment vertical="center"/>
    </xf>
    <xf numFmtId="0" fontId="7" fillId="4" borderId="0" xfId="0"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4" fillId="4" borderId="21" xfId="0" applyNumberFormat="1" applyFont="1" applyFill="1"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protection/>
    </xf>
    <xf numFmtId="37" fontId="4" fillId="4" borderId="18"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4" fillId="4" borderId="13"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42" fillId="4" borderId="21" xfId="90" applyFont="1" applyFill="1" applyBorder="1" applyAlignment="1" applyProtection="1">
      <alignment horizontal="center" vertical="center"/>
      <protection/>
    </xf>
    <xf numFmtId="0" fontId="43" fillId="0" borderId="24" xfId="90" applyFont="1" applyBorder="1" applyAlignment="1" applyProtection="1">
      <alignment horizontal="center" vertical="center"/>
      <protection/>
    </xf>
    <xf numFmtId="0" fontId="0" fillId="0" borderId="15" xfId="90" applyBorder="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4" fillId="4" borderId="24" xfId="103" applyNumberFormat="1" applyFont="1" applyFill="1" applyBorder="1" applyAlignment="1" applyProtection="1">
      <alignment horizontal="right" vertical="center"/>
      <protection/>
    </xf>
    <xf numFmtId="0" fontId="0" fillId="0" borderId="15" xfId="103" applyBorder="1" applyAlignment="1">
      <alignment horizontal="right" vertical="center"/>
      <protection/>
    </xf>
    <xf numFmtId="0" fontId="4" fillId="4" borderId="0" xfId="103" applyFont="1" applyFill="1" applyAlignment="1" applyProtection="1">
      <alignment horizontal="right" vertical="center"/>
      <protection/>
    </xf>
    <xf numFmtId="0" fontId="4" fillId="0" borderId="22" xfId="103" applyFont="1" applyBorder="1" applyAlignment="1">
      <alignment horizontal="right" vertical="center"/>
      <protection/>
    </xf>
    <xf numFmtId="184" fontId="42" fillId="4" borderId="21" xfId="0" applyNumberFormat="1" applyFont="1" applyFill="1" applyBorder="1" applyAlignment="1" applyProtection="1">
      <alignment horizontal="center"/>
      <protection/>
    </xf>
    <xf numFmtId="0" fontId="29" fillId="0" borderId="24" xfId="0" applyFont="1" applyBorder="1" applyAlignment="1">
      <alignment/>
    </xf>
    <xf numFmtId="0" fontId="29" fillId="0" borderId="15" xfId="0" applyFont="1" applyBorder="1" applyAlignment="1">
      <alignment/>
    </xf>
    <xf numFmtId="0" fontId="42" fillId="4" borderId="21" xfId="0" applyFont="1" applyFill="1" applyBorder="1" applyAlignment="1" applyProtection="1">
      <alignment horizontal="center" vertical="center"/>
      <protection/>
    </xf>
    <xf numFmtId="0" fontId="0" fillId="0" borderId="24" xfId="0" applyBorder="1" applyAlignment="1">
      <alignment vertical="center"/>
    </xf>
    <xf numFmtId="0" fontId="0" fillId="0" borderId="15" xfId="0" applyBorder="1" applyAlignment="1">
      <alignment vertical="center"/>
    </xf>
    <xf numFmtId="0" fontId="4" fillId="16" borderId="0" xfId="0" applyFont="1" applyFill="1" applyAlignment="1" applyProtection="1">
      <alignment horizontal="center" vertical="center"/>
      <protection/>
    </xf>
    <xf numFmtId="0" fontId="0" fillId="16" borderId="0" xfId="0" applyFill="1" applyAlignment="1">
      <alignment vertical="center"/>
    </xf>
    <xf numFmtId="0" fontId="0" fillId="0" borderId="24" xfId="0" applyBorder="1" applyAlignment="1">
      <alignment horizontal="center" vertical="center"/>
    </xf>
    <xf numFmtId="0" fontId="0" fillId="0" borderId="15" xfId="0" applyBorder="1" applyAlignment="1">
      <alignment/>
    </xf>
    <xf numFmtId="0" fontId="50" fillId="0" borderId="24" xfId="0" applyFont="1" applyBorder="1" applyAlignment="1">
      <alignment horizontal="center"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18" fillId="4" borderId="21" xfId="100" applyFont="1" applyFill="1" applyBorder="1" applyAlignment="1" applyProtection="1">
      <alignment horizontal="center"/>
      <protection/>
    </xf>
    <xf numFmtId="0" fontId="18" fillId="4" borderId="24" xfId="100" applyFont="1" applyFill="1" applyBorder="1" applyAlignment="1" applyProtection="1">
      <alignment horizontal="center"/>
      <protection/>
    </xf>
    <xf numFmtId="0" fontId="18" fillId="4" borderId="15" xfId="100" applyFont="1" applyFill="1" applyBorder="1" applyAlignment="1" applyProtection="1">
      <alignment horizontal="center"/>
      <protection/>
    </xf>
    <xf numFmtId="37" fontId="4" fillId="4" borderId="16" xfId="0" applyNumberFormat="1" applyFont="1" applyFill="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24" xfId="0" applyBorder="1" applyAlignment="1">
      <alignment horizontal="center"/>
    </xf>
    <xf numFmtId="0" fontId="0" fillId="0" borderId="15" xfId="0" applyBorder="1" applyAlignment="1">
      <alignment horizontal="center"/>
    </xf>
    <xf numFmtId="0" fontId="4" fillId="4" borderId="0" xfId="0" applyFont="1" applyFill="1"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3" fillId="0" borderId="0" xfId="0" applyFont="1" applyAlignment="1">
      <alignment horizontal="center" vertical="top"/>
    </xf>
    <xf numFmtId="0" fontId="14"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xf numFmtId="0" fontId="46" fillId="4" borderId="30" xfId="0" applyFont="1" applyFill="1" applyBorder="1" applyAlignment="1">
      <alignment vertical="top" wrapText="1"/>
    </xf>
    <xf numFmtId="0" fontId="46" fillId="0" borderId="0" xfId="0" applyFont="1" applyAlignment="1">
      <alignment vertical="top" wrapText="1"/>
    </xf>
    <xf numFmtId="0" fontId="46" fillId="0" borderId="31" xfId="0" applyFont="1" applyBorder="1" applyAlignment="1">
      <alignment vertical="top" wrapText="1"/>
    </xf>
    <xf numFmtId="189" fontId="46" fillId="4" borderId="0" xfId="0" applyNumberFormat="1" applyFont="1" applyFill="1" applyBorder="1" applyAlignment="1">
      <alignment horizontal="center"/>
    </xf>
    <xf numFmtId="190" fontId="46" fillId="4" borderId="0" xfId="0" applyNumberFormat="1" applyFont="1" applyFill="1" applyBorder="1" applyAlignment="1">
      <alignment horizontal="center"/>
    </xf>
    <xf numFmtId="0" fontId="46" fillId="0" borderId="31" xfId="0" applyFont="1" applyBorder="1" applyAlignment="1">
      <alignment horizontal="center"/>
    </xf>
    <xf numFmtId="0" fontId="45" fillId="4" borderId="32" xfId="0" applyFont="1" applyFill="1" applyBorder="1" applyAlignment="1">
      <alignment horizontal="center" vertical="center"/>
    </xf>
    <xf numFmtId="0" fontId="46" fillId="0" borderId="32" xfId="0" applyFont="1" applyBorder="1" applyAlignment="1">
      <alignment horizontal="center" vertical="center"/>
    </xf>
    <xf numFmtId="0" fontId="45" fillId="4" borderId="0" xfId="0" applyFont="1" applyFill="1" applyBorder="1" applyAlignment="1">
      <alignment horizontal="center" wrapText="1"/>
    </xf>
    <xf numFmtId="0" fontId="46" fillId="0" borderId="0" xfId="0" applyFont="1" applyAlignment="1">
      <alignment horizontal="center" wrapText="1"/>
    </xf>
    <xf numFmtId="0" fontId="45" fillId="0" borderId="0" xfId="0" applyFont="1" applyAlignment="1">
      <alignment horizontal="center" wrapText="1"/>
    </xf>
    <xf numFmtId="189" fontId="46" fillId="22" borderId="16" xfId="0" applyNumberFormat="1" applyFont="1" applyFill="1" applyBorder="1" applyAlignment="1" applyProtection="1">
      <alignment horizontal="center"/>
      <protection locked="0"/>
    </xf>
    <xf numFmtId="0" fontId="45" fillId="4" borderId="0" xfId="0" applyFont="1" applyFill="1" applyAlignment="1">
      <alignment horizontal="center" wrapText="1"/>
    </xf>
    <xf numFmtId="183" fontId="46" fillId="22" borderId="16" xfId="0" applyNumberFormat="1" applyFont="1" applyFill="1" applyBorder="1" applyAlignment="1" applyProtection="1">
      <alignment horizontal="center"/>
      <protection locked="0"/>
    </xf>
    <xf numFmtId="190" fontId="46" fillId="0" borderId="31" xfId="0" applyNumberFormat="1" applyFont="1" applyBorder="1" applyAlignment="1">
      <alignment horizontal="center"/>
    </xf>
    <xf numFmtId="0" fontId="46" fillId="4" borderId="0" xfId="0" applyFont="1" applyFill="1" applyAlignment="1">
      <alignment wrapText="1"/>
    </xf>
    <xf numFmtId="0" fontId="46" fillId="4" borderId="0" xfId="0" applyFont="1" applyFill="1" applyBorder="1" applyAlignment="1">
      <alignment horizontal="center"/>
    </xf>
    <xf numFmtId="0" fontId="46" fillId="4" borderId="24" xfId="0" applyFont="1" applyFill="1" applyBorder="1" applyAlignment="1">
      <alignment horizontal="center"/>
    </xf>
    <xf numFmtId="0" fontId="46" fillId="0" borderId="0" xfId="0" applyFont="1" applyAlignment="1">
      <alignment wrapText="1"/>
    </xf>
    <xf numFmtId="5" fontId="46" fillId="4" borderId="16" xfId="0" applyNumberFormat="1" applyFont="1" applyFill="1" applyBorder="1" applyAlignment="1">
      <alignment horizontal="center"/>
    </xf>
    <xf numFmtId="0" fontId="46" fillId="4" borderId="0" xfId="0" applyFont="1" applyFill="1" applyBorder="1" applyAlignment="1">
      <alignment wrapText="1"/>
    </xf>
    <xf numFmtId="189" fontId="46" fillId="4" borderId="0" xfId="0" applyNumberFormat="1" applyFont="1" applyFill="1" applyAlignment="1">
      <alignment/>
    </xf>
    <xf numFmtId="0" fontId="45" fillId="4" borderId="0" xfId="0" applyFont="1" applyFill="1" applyAlignment="1">
      <alignment horizontal="center"/>
    </xf>
    <xf numFmtId="189" fontId="46" fillId="4" borderId="0" xfId="0" applyNumberFormat="1" applyFont="1" applyFill="1" applyAlignment="1">
      <alignment horizontal="center"/>
    </xf>
    <xf numFmtId="0" fontId="45" fillId="4" borderId="0" xfId="0" applyFont="1" applyFill="1" applyAlignment="1">
      <alignment horizontal="center" vertical="center"/>
    </xf>
    <xf numFmtId="0" fontId="45" fillId="0" borderId="0" xfId="0" applyFont="1" applyAlignment="1">
      <alignment horizontal="center" vertical="center"/>
    </xf>
    <xf numFmtId="189" fontId="46" fillId="22" borderId="34" xfId="0" applyNumberFormat="1" applyFont="1" applyFill="1" applyBorder="1" applyAlignment="1" applyProtection="1">
      <alignment horizontal="center"/>
      <protection locked="0"/>
    </xf>
    <xf numFmtId="0" fontId="46" fillId="4" borderId="0" xfId="0" applyFont="1" applyFill="1" applyBorder="1" applyAlignment="1">
      <alignment/>
    </xf>
    <xf numFmtId="0" fontId="46" fillId="0" borderId="0" xfId="0" applyFont="1" applyBorder="1" applyAlignment="1">
      <alignment/>
    </xf>
    <xf numFmtId="0" fontId="46" fillId="4" borderId="36" xfId="0" applyFont="1" applyFill="1" applyBorder="1" applyAlignment="1">
      <alignment/>
    </xf>
    <xf numFmtId="0" fontId="46" fillId="4" borderId="37" xfId="0" applyFont="1" applyFill="1" applyBorder="1" applyAlignment="1">
      <alignment/>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2" xfId="50"/>
    <cellStyle name="Comma 4 2" xfId="51"/>
    <cellStyle name="Comma 6"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3 4" xfId="71"/>
    <cellStyle name="Hyperlink 4" xfId="72"/>
    <cellStyle name="Hyperlink 4 2" xfId="73"/>
    <cellStyle name="Hyperlink 5" xfId="74"/>
    <cellStyle name="Hyperlink 6" xfId="75"/>
    <cellStyle name="Hyperlink 7" xfId="76"/>
    <cellStyle name="Hyperlink 7 2"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9" xfId="154"/>
    <cellStyle name="Normal 19 2" xfId="155"/>
    <cellStyle name="Normal 19 2 2" xfId="156"/>
    <cellStyle name="Normal 19 2 3" xfId="157"/>
    <cellStyle name="Normal 19 3" xfId="158"/>
    <cellStyle name="Normal 19 4" xfId="159"/>
    <cellStyle name="Normal 19 5" xfId="160"/>
    <cellStyle name="Normal 19 6" xfId="161"/>
    <cellStyle name="Normal 19 7" xfId="162"/>
    <cellStyle name="Normal 2" xfId="163"/>
    <cellStyle name="Normal 2 10" xfId="164"/>
    <cellStyle name="Normal 2 10 10" xfId="165"/>
    <cellStyle name="Normal 2 10 11" xfId="166"/>
    <cellStyle name="Normal 2 10 11 2" xfId="167"/>
    <cellStyle name="Normal 2 10 12" xfId="168"/>
    <cellStyle name="Normal 2 10 2" xfId="169"/>
    <cellStyle name="Normal 2 10 2 2" xfId="170"/>
    <cellStyle name="Normal 2 10 3" xfId="171"/>
    <cellStyle name="Normal 2 10 3 2" xfId="172"/>
    <cellStyle name="Normal 2 10 4" xfId="173"/>
    <cellStyle name="Normal 2 10 4 2" xfId="174"/>
    <cellStyle name="Normal 2 10 5" xfId="175"/>
    <cellStyle name="Normal 2 10 5 2" xfId="176"/>
    <cellStyle name="Normal 2 10 6" xfId="177"/>
    <cellStyle name="Normal 2 10 6 2" xfId="178"/>
    <cellStyle name="Normal 2 10 7" xfId="179"/>
    <cellStyle name="Normal 2 10 7 2" xfId="180"/>
    <cellStyle name="Normal 2 10 8" xfId="181"/>
    <cellStyle name="Normal 2 10 8 2" xfId="182"/>
    <cellStyle name="Normal 2 10 9" xfId="183"/>
    <cellStyle name="Normal 2 11" xfId="184"/>
    <cellStyle name="Normal 2 11 10" xfId="185"/>
    <cellStyle name="Normal 2 11 11" xfId="186"/>
    <cellStyle name="Normal 2 11 2" xfId="187"/>
    <cellStyle name="Normal 2 11 2 2" xfId="188"/>
    <cellStyle name="Normal 2 11 3" xfId="189"/>
    <cellStyle name="Normal 2 11 3 2" xfId="190"/>
    <cellStyle name="Normal 2 11 4" xfId="191"/>
    <cellStyle name="Normal 2 11 4 2" xfId="192"/>
    <cellStyle name="Normal 2 11 5" xfId="193"/>
    <cellStyle name="Normal 2 11 5 2" xfId="194"/>
    <cellStyle name="Normal 2 11 6" xfId="195"/>
    <cellStyle name="Normal 2 11 6 2" xfId="196"/>
    <cellStyle name="Normal 2 11 7" xfId="197"/>
    <cellStyle name="Normal 2 11 7 2" xfId="198"/>
    <cellStyle name="Normal 2 11 8" xfId="199"/>
    <cellStyle name="Normal 2 11 8 2" xfId="200"/>
    <cellStyle name="Normal 2 11 9" xfId="201"/>
    <cellStyle name="Normal 2 12" xfId="202"/>
    <cellStyle name="Normal 2 13" xfId="203"/>
    <cellStyle name="Normal 2 14" xfId="204"/>
    <cellStyle name="Normal 2 15" xfId="205"/>
    <cellStyle name="Normal 2 16" xfId="206"/>
    <cellStyle name="Normal 2 2" xfId="207"/>
    <cellStyle name="Normal 2 2 10" xfId="208"/>
    <cellStyle name="Normal 2 2 10 2" xfId="209"/>
    <cellStyle name="Normal 2 2 11" xfId="210"/>
    <cellStyle name="Normal 2 2 11 2" xfId="211"/>
    <cellStyle name="Normal 2 2 12" xfId="212"/>
    <cellStyle name="Normal 2 2 12 2" xfId="213"/>
    <cellStyle name="Normal 2 2 12 2 2" xfId="214"/>
    <cellStyle name="Normal 2 2 12 2 3" xfId="215"/>
    <cellStyle name="Normal 2 2 12 3" xfId="216"/>
    <cellStyle name="Normal 2 2 12 4" xfId="217"/>
    <cellStyle name="Normal 2 2 13" xfId="218"/>
    <cellStyle name="Normal 2 2 13 2" xfId="219"/>
    <cellStyle name="Normal 2 2 13 2 2" xfId="220"/>
    <cellStyle name="Normal 2 2 13 2 3" xfId="221"/>
    <cellStyle name="Normal 2 2 13 3" xfId="222"/>
    <cellStyle name="Normal 2 2 13 4"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3" xfId="250"/>
    <cellStyle name="Normal 2 2 3 2" xfId="251"/>
    <cellStyle name="Normal 2 2 4" xfId="252"/>
    <cellStyle name="Normal 2 2 4 2" xfId="253"/>
    <cellStyle name="Normal 2 2 5" xfId="254"/>
    <cellStyle name="Normal 2 2 5 2" xfId="255"/>
    <cellStyle name="Normal 2 2 6" xfId="256"/>
    <cellStyle name="Normal 2 2 6 2" xfId="257"/>
    <cellStyle name="Normal 2 2 7" xfId="258"/>
    <cellStyle name="Normal 2 2 7 2" xfId="259"/>
    <cellStyle name="Normal 2 2 8" xfId="260"/>
    <cellStyle name="Normal 2 2 8 2" xfId="261"/>
    <cellStyle name="Normal 2 2 9" xfId="262"/>
    <cellStyle name="Normal 2 2 9 2" xfId="263"/>
    <cellStyle name="Normal 2 3" xfId="264"/>
    <cellStyle name="Normal 2 3 10" xfId="265"/>
    <cellStyle name="Normal 2 3 11" xfId="266"/>
    <cellStyle name="Normal 2 3 12" xfId="267"/>
    <cellStyle name="Normal 2 3 13" xfId="268"/>
    <cellStyle name="Normal 2 3 14" xfId="269"/>
    <cellStyle name="Normal 2 3 15" xfId="270"/>
    <cellStyle name="Normal 2 3 2" xfId="271"/>
    <cellStyle name="Normal 2 3 2 2" xfId="272"/>
    <cellStyle name="Normal 2 3 2 2 2" xfId="273"/>
    <cellStyle name="Normal 2 3 2 2 3" xfId="274"/>
    <cellStyle name="Normal 2 3 2 3" xfId="275"/>
    <cellStyle name="Normal 2 3 2 4" xfId="276"/>
    <cellStyle name="Normal 2 3 2 5"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2 5"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12 3" xfId="313"/>
    <cellStyle name="Normal 2 5 2" xfId="314"/>
    <cellStyle name="Normal 2 5 2 2" xfId="315"/>
    <cellStyle name="Normal 2 5 3" xfId="316"/>
    <cellStyle name="Normal 2 5 3 2" xfId="317"/>
    <cellStyle name="Normal 2 5 4" xfId="318"/>
    <cellStyle name="Normal 2 5 5" xfId="319"/>
    <cellStyle name="Normal 2 5 6" xfId="320"/>
    <cellStyle name="Normal 2 5 7" xfId="321"/>
    <cellStyle name="Normal 2 5 8" xfId="322"/>
    <cellStyle name="Normal 2 5 9" xfId="323"/>
    <cellStyle name="Normal 2 6" xfId="324"/>
    <cellStyle name="Normal 2 6 10" xfId="325"/>
    <cellStyle name="Normal 2 6 11" xfId="326"/>
    <cellStyle name="Normal 2 6 12" xfId="327"/>
    <cellStyle name="Normal 2 6 2" xfId="328"/>
    <cellStyle name="Normal 2 6 2 2" xfId="329"/>
    <cellStyle name="Normal 2 6 3" xfId="330"/>
    <cellStyle name="Normal 2 6 3 2" xfId="331"/>
    <cellStyle name="Normal 2 6 4" xfId="332"/>
    <cellStyle name="Normal 2 6 5" xfId="333"/>
    <cellStyle name="Normal 2 6 6" xfId="334"/>
    <cellStyle name="Normal 2 6 7" xfId="335"/>
    <cellStyle name="Normal 2 6 8" xfId="336"/>
    <cellStyle name="Normal 2 6 9" xfId="337"/>
    <cellStyle name="Normal 2 7" xfId="338"/>
    <cellStyle name="Normal 2 7 10"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1 2"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2" xfId="411"/>
    <cellStyle name="Normal 3 2 2" xfId="412"/>
    <cellStyle name="Normal 3 2 2 2" xfId="413"/>
    <cellStyle name="Normal 3 2 2 3" xfId="414"/>
    <cellStyle name="Normal 3 2 3" xfId="415"/>
    <cellStyle name="Normal 3 2 4" xfId="416"/>
    <cellStyle name="Normal 3 2 5" xfId="417"/>
    <cellStyle name="Normal 3 3" xfId="418"/>
    <cellStyle name="Normal 3 3 2" xfId="419"/>
    <cellStyle name="Normal 3 3 2 2" xfId="420"/>
    <cellStyle name="Normal 3 3 2 3" xfId="421"/>
    <cellStyle name="Normal 3 3 3" xfId="422"/>
    <cellStyle name="Normal 3 3 4" xfId="423"/>
    <cellStyle name="Normal 3 4" xfId="424"/>
    <cellStyle name="Normal 3 5" xfId="425"/>
    <cellStyle name="Normal 3 6" xfId="426"/>
    <cellStyle name="Normal 3 7" xfId="427"/>
    <cellStyle name="Normal 3 8" xfId="428"/>
    <cellStyle name="Normal 3 9" xfId="429"/>
    <cellStyle name="Normal 4" xfId="430"/>
    <cellStyle name="Normal 4 2" xfId="431"/>
    <cellStyle name="Normal 4 2 2" xfId="432"/>
    <cellStyle name="Normal 4 2 2 2" xfId="433"/>
    <cellStyle name="Normal 4 2 2 3" xfId="434"/>
    <cellStyle name="Normal 4 2 3" xfId="435"/>
    <cellStyle name="Normal 4 2 4" xfId="436"/>
    <cellStyle name="Normal 4 2 5" xfId="437"/>
    <cellStyle name="Normal 4 3" xfId="438"/>
    <cellStyle name="Normal 4 3 2" xfId="439"/>
    <cellStyle name="Normal 4 3 3" xfId="440"/>
    <cellStyle name="Normal 4 4" xfId="441"/>
    <cellStyle name="Normal 4 5" xfId="442"/>
    <cellStyle name="Normal 4 6" xfId="443"/>
    <cellStyle name="Normal 5" xfId="444"/>
    <cellStyle name="Normal 5 2" xfId="445"/>
    <cellStyle name="Normal 5 3" xfId="446"/>
    <cellStyle name="Normal 5 3 2" xfId="447"/>
    <cellStyle name="Normal 5 3 3" xfId="448"/>
    <cellStyle name="Normal 5 4" xfId="449"/>
    <cellStyle name="Normal 5 5" xfId="450"/>
    <cellStyle name="Normal 6" xfId="451"/>
    <cellStyle name="Normal 6 2" xfId="452"/>
    <cellStyle name="Normal 6 3" xfId="453"/>
    <cellStyle name="Normal 6 4" xfId="454"/>
    <cellStyle name="Normal 6 5" xfId="455"/>
    <cellStyle name="Normal 7" xfId="456"/>
    <cellStyle name="Normal 7 2" xfId="457"/>
    <cellStyle name="Normal 7 2 2" xfId="458"/>
    <cellStyle name="Normal 7 2 2 2" xfId="459"/>
    <cellStyle name="Normal 7 2 3" xfId="460"/>
    <cellStyle name="Normal 7 2 4" xfId="461"/>
    <cellStyle name="Normal 7 2 5" xfId="462"/>
    <cellStyle name="Normal 7 3" xfId="463"/>
    <cellStyle name="Normal 7 4" xfId="464"/>
    <cellStyle name="Normal 7 4 2" xfId="465"/>
    <cellStyle name="Normal 7 4 3" xfId="466"/>
    <cellStyle name="Normal 7 5" xfId="467"/>
    <cellStyle name="Normal 7 5 2" xfId="468"/>
    <cellStyle name="Normal 7 5 3" xfId="469"/>
    <cellStyle name="Normal 7 5 4" xfId="470"/>
    <cellStyle name="Normal 7 6" xfId="471"/>
    <cellStyle name="Normal 7 7" xfId="472"/>
    <cellStyle name="Normal 8" xfId="473"/>
    <cellStyle name="Normal 8 2" xfId="474"/>
    <cellStyle name="Normal 9" xfId="475"/>
    <cellStyle name="Normal 9 2" xfId="476"/>
    <cellStyle name="Normal 9 2 2" xfId="477"/>
    <cellStyle name="Normal 9 3" xfId="478"/>
    <cellStyle name="Normal 9 4" xfId="479"/>
    <cellStyle name="Normal 9 5" xfId="480"/>
    <cellStyle name="Normal 9 6"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31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
      <selection activeCell="A1" sqref="A1:L39"/>
    </sheetView>
  </sheetViews>
  <sheetFormatPr defaultColWidth="8.796875" defaultRowHeight="15"/>
  <cols>
    <col min="1" max="1" width="79.3984375" style="52" customWidth="1"/>
    <col min="2" max="16384" width="8.8984375" style="52" customWidth="1"/>
  </cols>
  <sheetData>
    <row r="1" ht="15.75">
      <c r="A1" s="51" t="s">
        <v>825</v>
      </c>
    </row>
    <row r="3" ht="34.5" customHeight="1">
      <c r="A3" s="697" t="s">
        <v>56</v>
      </c>
    </row>
    <row r="4" ht="15.75">
      <c r="A4" s="53"/>
    </row>
    <row r="5" ht="52.5" customHeight="1">
      <c r="A5" s="54" t="s">
        <v>826</v>
      </c>
    </row>
    <row r="6" ht="15.75">
      <c r="A6" s="54"/>
    </row>
    <row r="7" ht="31.5">
      <c r="A7" s="54" t="s">
        <v>964</v>
      </c>
    </row>
    <row r="8" ht="15.75">
      <c r="A8" s="54"/>
    </row>
    <row r="9" ht="54" customHeight="1">
      <c r="A9" s="54" t="s">
        <v>969</v>
      </c>
    </row>
    <row r="10" ht="15.75">
      <c r="A10" s="54"/>
    </row>
    <row r="11" ht="15.75">
      <c r="A11" s="54" t="s">
        <v>822</v>
      </c>
    </row>
    <row r="13" ht="118.5" customHeight="1">
      <c r="A13" s="54" t="s">
        <v>923</v>
      </c>
    </row>
    <row r="14" ht="15.75">
      <c r="A14" s="54"/>
    </row>
    <row r="15" ht="83.25" customHeight="1">
      <c r="A15" s="54" t="s">
        <v>929</v>
      </c>
    </row>
    <row r="17" ht="15.75">
      <c r="A17" s="51" t="s">
        <v>424</v>
      </c>
    </row>
    <row r="18" ht="15.75">
      <c r="A18" s="51"/>
    </row>
    <row r="19" ht="15.75">
      <c r="A19" s="53" t="s">
        <v>928</v>
      </c>
    </row>
    <row r="21" ht="22.5" customHeight="1">
      <c r="A21" s="52" t="s">
        <v>1008</v>
      </c>
    </row>
    <row r="22" ht="15.75" customHeight="1"/>
    <row r="23" ht="57.75" customHeight="1">
      <c r="A23" s="55" t="s">
        <v>968</v>
      </c>
    </row>
    <row r="24" ht="18.75" customHeight="1">
      <c r="A24" s="55"/>
    </row>
    <row r="26" ht="15.75">
      <c r="A26" s="51" t="s">
        <v>638</v>
      </c>
    </row>
    <row r="28" ht="34.5" customHeight="1">
      <c r="A28" s="54" t="s">
        <v>918</v>
      </c>
    </row>
    <row r="29" ht="9.75" customHeight="1">
      <c r="A29" s="54"/>
    </row>
    <row r="30" ht="15.75">
      <c r="A30" s="56" t="s">
        <v>884</v>
      </c>
    </row>
    <row r="31" ht="15.75">
      <c r="A31" s="54"/>
    </row>
    <row r="32" ht="17.25" customHeight="1">
      <c r="A32" s="57" t="s">
        <v>792</v>
      </c>
    </row>
    <row r="33" ht="17.25" customHeight="1">
      <c r="A33" s="58"/>
    </row>
    <row r="34" ht="87.75" customHeight="1">
      <c r="A34" s="59" t="s">
        <v>899</v>
      </c>
    </row>
    <row r="36" ht="15.75">
      <c r="A36" s="60" t="s">
        <v>885</v>
      </c>
    </row>
    <row r="38" ht="15.75">
      <c r="A38" s="61" t="s">
        <v>922</v>
      </c>
    </row>
    <row r="40" ht="15.75">
      <c r="A40" s="54" t="s">
        <v>639</v>
      </c>
    </row>
    <row r="42" ht="15.75">
      <c r="A42" s="51" t="s">
        <v>640</v>
      </c>
    </row>
    <row r="44" ht="70.5" customHeight="1">
      <c r="A44" s="54" t="s">
        <v>539</v>
      </c>
    </row>
    <row r="45" ht="52.5" customHeight="1">
      <c r="A45" s="62" t="s">
        <v>886</v>
      </c>
    </row>
    <row r="46" ht="108" customHeight="1">
      <c r="A46" s="62" t="s">
        <v>35</v>
      </c>
    </row>
    <row r="47" ht="15.75">
      <c r="A47" s="54"/>
    </row>
    <row r="48" ht="68.25" customHeight="1">
      <c r="A48" s="54" t="s">
        <v>540</v>
      </c>
    </row>
    <row r="49" ht="53.25" customHeight="1">
      <c r="A49" s="54" t="s">
        <v>887</v>
      </c>
    </row>
    <row r="50" ht="110.25" customHeight="1">
      <c r="A50" s="54" t="s">
        <v>965</v>
      </c>
    </row>
    <row r="51" ht="73.5" customHeight="1">
      <c r="A51" s="684" t="s">
        <v>13</v>
      </c>
    </row>
    <row r="52" ht="73.5" customHeight="1">
      <c r="A52" s="685" t="s">
        <v>406</v>
      </c>
    </row>
    <row r="53" ht="69.75" customHeight="1">
      <c r="A53" s="685" t="s">
        <v>622</v>
      </c>
    </row>
    <row r="54" ht="12" customHeight="1">
      <c r="A54" s="54"/>
    </row>
    <row r="55" ht="68.25" customHeight="1">
      <c r="A55" s="54" t="s">
        <v>407</v>
      </c>
    </row>
    <row r="56" ht="68.25" customHeight="1">
      <c r="A56" s="54" t="s">
        <v>408</v>
      </c>
    </row>
    <row r="57" ht="33.75" customHeight="1">
      <c r="A57" s="54" t="s">
        <v>37</v>
      </c>
    </row>
    <row r="58" ht="31.5">
      <c r="A58" s="54" t="s">
        <v>409</v>
      </c>
    </row>
    <row r="59" ht="15.75" customHeight="1"/>
    <row r="60" ht="68.25" customHeight="1">
      <c r="A60" s="54" t="s">
        <v>410</v>
      </c>
    </row>
    <row r="61" ht="118.5" customHeight="1">
      <c r="A61" s="54" t="s">
        <v>411</v>
      </c>
    </row>
    <row r="62" ht="31.5">
      <c r="A62" s="54" t="s">
        <v>412</v>
      </c>
    </row>
    <row r="63" ht="15.75">
      <c r="A63" s="54"/>
    </row>
    <row r="64" ht="70.5" customHeight="1">
      <c r="A64" s="54" t="s">
        <v>623</v>
      </c>
    </row>
    <row r="65" ht="15.75">
      <c r="A65" s="54"/>
    </row>
    <row r="66" ht="69" customHeight="1">
      <c r="A66" s="54" t="s">
        <v>413</v>
      </c>
    </row>
    <row r="67" ht="24.75" customHeight="1">
      <c r="A67" s="54" t="s">
        <v>432</v>
      </c>
    </row>
    <row r="68" ht="84.75" customHeight="1">
      <c r="A68" s="54" t="s">
        <v>433</v>
      </c>
    </row>
    <row r="69" ht="25.5" customHeight="1">
      <c r="A69" s="402" t="s">
        <v>431</v>
      </c>
    </row>
    <row r="70" ht="15.75">
      <c r="A70" s="54"/>
    </row>
    <row r="71" ht="60" customHeight="1">
      <c r="A71" s="54" t="s">
        <v>414</v>
      </c>
    </row>
    <row r="73" s="54" customFormat="1" ht="69" customHeight="1">
      <c r="A73" s="54" t="s">
        <v>415</v>
      </c>
    </row>
    <row r="75" ht="92.25" customHeight="1">
      <c r="A75" s="54" t="s">
        <v>416</v>
      </c>
    </row>
    <row r="76" ht="97.5" customHeight="1">
      <c r="A76" s="503" t="s">
        <v>0</v>
      </c>
    </row>
    <row r="77" ht="92.25" customHeight="1">
      <c r="A77" s="503" t="s">
        <v>1</v>
      </c>
    </row>
    <row r="78" ht="82.5" customHeight="1">
      <c r="A78" s="503" t="s">
        <v>15</v>
      </c>
    </row>
    <row r="79" ht="72.75" customHeight="1">
      <c r="A79" s="54" t="s">
        <v>16</v>
      </c>
    </row>
    <row r="80" ht="92.25" customHeight="1">
      <c r="A80" s="54" t="s">
        <v>45</v>
      </c>
    </row>
    <row r="81" ht="117" customHeight="1">
      <c r="A81" s="54" t="s">
        <v>43</v>
      </c>
    </row>
    <row r="82" ht="140.25" customHeight="1">
      <c r="A82" s="54" t="s">
        <v>44</v>
      </c>
    </row>
    <row r="83" ht="132.75" customHeight="1">
      <c r="A83" s="54" t="s">
        <v>46</v>
      </c>
    </row>
    <row r="84" ht="37.5" customHeight="1">
      <c r="A84" s="54" t="s">
        <v>47</v>
      </c>
    </row>
    <row r="85" ht="87" customHeight="1">
      <c r="A85" s="54" t="s">
        <v>48</v>
      </c>
    </row>
    <row r="86" ht="36.75" customHeight="1">
      <c r="A86" s="54" t="s">
        <v>49</v>
      </c>
    </row>
    <row r="87" ht="125.25" customHeight="1">
      <c r="A87" s="693" t="s">
        <v>50</v>
      </c>
    </row>
    <row r="88" ht="117.75" customHeight="1">
      <c r="A88" s="693" t="s">
        <v>51</v>
      </c>
    </row>
    <row r="89" ht="56.25" customHeight="1">
      <c r="A89" s="54" t="s">
        <v>52</v>
      </c>
    </row>
    <row r="91" ht="138" customHeight="1">
      <c r="A91" s="54" t="s">
        <v>417</v>
      </c>
    </row>
    <row r="92" ht="130.5" customHeight="1">
      <c r="A92" s="54" t="s">
        <v>418</v>
      </c>
    </row>
    <row r="93" ht="53.25" customHeight="1">
      <c r="A93" s="54" t="s">
        <v>420</v>
      </c>
    </row>
    <row r="94" ht="19.5" customHeight="1">
      <c r="A94" s="54" t="s">
        <v>419</v>
      </c>
    </row>
    <row r="96" ht="52.5" customHeight="1">
      <c r="A96" s="54" t="s">
        <v>421</v>
      </c>
    </row>
    <row r="97" ht="24.75" customHeight="1">
      <c r="A97" s="430" t="s">
        <v>422</v>
      </c>
    </row>
    <row r="98" ht="41.25" customHeight="1">
      <c r="A98" s="503" t="s">
        <v>2</v>
      </c>
    </row>
    <row r="99" ht="125.25" customHeight="1">
      <c r="A99" s="503" t="s">
        <v>3</v>
      </c>
    </row>
    <row r="100" ht="143.25" customHeight="1">
      <c r="A100" s="503" t="s">
        <v>4</v>
      </c>
    </row>
    <row r="101" ht="79.5" customHeight="1">
      <c r="A101" s="691" t="s">
        <v>5</v>
      </c>
    </row>
    <row r="102" ht="52.5" customHeight="1">
      <c r="A102" s="54" t="s">
        <v>6</v>
      </c>
    </row>
    <row r="103" ht="56.25" customHeight="1">
      <c r="A103" s="54" t="s">
        <v>7</v>
      </c>
    </row>
    <row r="105" ht="66" customHeight="1">
      <c r="A105" s="54" t="s">
        <v>423</v>
      </c>
    </row>
    <row r="106" ht="17.25" customHeight="1"/>
    <row r="107" ht="64.5" customHeight="1">
      <c r="A107" s="503" t="s">
        <v>541</v>
      </c>
    </row>
    <row r="108" ht="106.5" customHeight="1">
      <c r="A108" s="503" t="s">
        <v>542</v>
      </c>
    </row>
    <row r="109" ht="117.75" customHeight="1">
      <c r="A109" s="503" t="s">
        <v>543</v>
      </c>
    </row>
  </sheetData>
  <sheetProtection sheet="1"/>
  <printOptions/>
  <pageMargins left="0.5" right="0.5" top="0.5" bottom="0.5" header="0.5" footer="0.5"/>
  <pageSetup blackAndWhite="1" fitToHeight="2" horizontalDpi="300" verticalDpi="300" orientation="portrait" scale="90" r:id="rId1"/>
  <rowBreaks count="3" manualBreakCount="3">
    <brk id="24" max="0" man="1"/>
    <brk id="59" max="0" man="1"/>
    <brk id="83"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28">
      <selection activeCell="A1" sqref="A1:L39"/>
    </sheetView>
  </sheetViews>
  <sheetFormatPr defaultColWidth="8.796875" defaultRowHeight="15"/>
  <cols>
    <col min="1" max="1" width="70.3984375" style="47" customWidth="1"/>
    <col min="2" max="16384" width="8.8984375" style="47" customWidth="1"/>
  </cols>
  <sheetData>
    <row r="1" spans="1:7" ht="30" customHeight="1">
      <c r="A1" s="404" t="s">
        <v>975</v>
      </c>
      <c r="B1" s="49"/>
      <c r="C1" s="49"/>
      <c r="D1" s="49"/>
      <c r="E1" s="49"/>
      <c r="F1" s="49"/>
      <c r="G1" s="49"/>
    </row>
    <row r="2" ht="15.75" customHeight="1">
      <c r="A2" s="1"/>
    </row>
    <row r="3" ht="54" customHeight="1">
      <c r="A3" s="452" t="s">
        <v>447</v>
      </c>
    </row>
    <row r="4" ht="15.75" customHeight="1">
      <c r="A4" s="1"/>
    </row>
    <row r="5" ht="52.5" customHeight="1">
      <c r="A5" s="452" t="s">
        <v>448</v>
      </c>
    </row>
    <row r="6" ht="15.75" customHeight="1">
      <c r="A6" s="1"/>
    </row>
    <row r="7" s="50" customFormat="1" ht="45.75" customHeight="1">
      <c r="A7" s="405" t="s">
        <v>1014</v>
      </c>
    </row>
    <row r="8" ht="15.75" customHeight="1">
      <c r="A8" s="1"/>
    </row>
    <row r="9" ht="46.5" customHeight="1">
      <c r="A9" s="405" t="s">
        <v>1015</v>
      </c>
    </row>
    <row r="10" ht="15.75" customHeight="1"/>
    <row r="11" ht="45.75" customHeight="1">
      <c r="A11" s="405" t="s">
        <v>1016</v>
      </c>
    </row>
    <row r="12" ht="15.75" customHeight="1">
      <c r="A12" s="1"/>
    </row>
    <row r="13" ht="62.25" customHeight="1">
      <c r="A13" s="405" t="s">
        <v>1017</v>
      </c>
    </row>
    <row r="14" ht="15.75" customHeight="1">
      <c r="A14" s="1"/>
    </row>
    <row r="15" ht="32.25" customHeight="1">
      <c r="A15" s="405" t="s">
        <v>1018</v>
      </c>
    </row>
    <row r="16" ht="15.75" customHeight="1"/>
    <row r="17" ht="67.5" customHeight="1">
      <c r="A17" s="406" t="s">
        <v>449</v>
      </c>
    </row>
    <row r="18" ht="15.75" customHeight="1"/>
    <row r="19" ht="81" customHeight="1">
      <c r="A19" s="406" t="s">
        <v>1019</v>
      </c>
    </row>
    <row r="20" ht="15.75" customHeight="1">
      <c r="A20" s="1"/>
    </row>
    <row r="21" ht="78" customHeight="1">
      <c r="A21" s="405" t="s">
        <v>1020</v>
      </c>
    </row>
    <row r="22" ht="15.75" customHeight="1">
      <c r="A22" s="1"/>
    </row>
    <row r="23" ht="44.25" customHeight="1">
      <c r="A23" s="405" t="s">
        <v>1021</v>
      </c>
    </row>
    <row r="24" ht="15.75" customHeight="1"/>
    <row r="25" ht="53.25" customHeight="1">
      <c r="A25" s="406" t="s">
        <v>1022</v>
      </c>
    </row>
    <row r="26" ht="16.5" customHeight="1">
      <c r="A26" s="1"/>
    </row>
    <row r="27" ht="40.5" customHeight="1">
      <c r="A27" s="452" t="s">
        <v>450</v>
      </c>
    </row>
    <row r="28" ht="16.5" customHeight="1">
      <c r="A28" s="1"/>
    </row>
    <row r="29" ht="69.75" customHeight="1">
      <c r="A29" s="405" t="s">
        <v>1023</v>
      </c>
    </row>
    <row r="30" ht="15.75" customHeight="1">
      <c r="A30" s="405"/>
    </row>
    <row r="31" ht="78" customHeight="1">
      <c r="A31" s="405" t="s">
        <v>10</v>
      </c>
    </row>
    <row r="32" ht="15.75" customHeight="1">
      <c r="A32" s="1"/>
    </row>
    <row r="33" ht="58.5" customHeight="1">
      <c r="A33" s="405" t="s">
        <v>1024</v>
      </c>
    </row>
    <row r="35" ht="60.75" customHeight="1">
      <c r="A35" s="405" t="s">
        <v>1025</v>
      </c>
    </row>
    <row r="36" ht="15.75">
      <c r="A36" s="1"/>
    </row>
    <row r="37" ht="82.5" customHeight="1">
      <c r="A37" s="405" t="s">
        <v>1026</v>
      </c>
    </row>
    <row r="38" ht="15.75">
      <c r="A38" s="403"/>
    </row>
    <row r="39" ht="15.75">
      <c r="A39" s="403"/>
    </row>
    <row r="41" ht="15.75">
      <c r="A41" s="403"/>
    </row>
    <row r="42" ht="15.75">
      <c r="A42" s="403"/>
    </row>
    <row r="44" ht="15.75">
      <c r="A44" s="1"/>
    </row>
    <row r="45" ht="15.75">
      <c r="A45" s="403"/>
    </row>
    <row r="47" ht="15.75">
      <c r="A47" s="403"/>
    </row>
    <row r="48" ht="15.75">
      <c r="A48" s="40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52"/>
  <sheetViews>
    <sheetView zoomScale="75" zoomScaleNormal="75" zoomScalePageLayoutView="0" workbookViewId="0" topLeftCell="A1">
      <selection activeCell="M39" sqref="M39"/>
    </sheetView>
  </sheetViews>
  <sheetFormatPr defaultColWidth="8.796875" defaultRowHeight="15"/>
  <cols>
    <col min="1" max="1" width="8.8984375" style="123" customWidth="1"/>
    <col min="2" max="2" width="20.796875" style="123" customWidth="1"/>
    <col min="3" max="3" width="9" style="123" customWidth="1"/>
    <col min="4" max="4" width="9.09765625" style="123" customWidth="1"/>
    <col min="5" max="5" width="8.796875" style="123" customWidth="1"/>
    <col min="6" max="6" width="12.796875" style="123" customWidth="1"/>
    <col min="7" max="7" width="14.09765625" style="123" customWidth="1"/>
    <col min="8" max="13" width="9.796875" style="123" customWidth="1"/>
    <col min="14" max="16384" width="8.8984375" style="123" customWidth="1"/>
  </cols>
  <sheetData>
    <row r="1" spans="2:13" ht="15.75">
      <c r="B1" s="199" t="str">
        <f>inputPrYr!$C$3</f>
        <v>Montgomery County</v>
      </c>
      <c r="C1" s="66"/>
      <c r="D1" s="66"/>
      <c r="E1" s="66"/>
      <c r="F1" s="66"/>
      <c r="G1" s="66"/>
      <c r="H1" s="66"/>
      <c r="I1" s="66"/>
      <c r="J1" s="66"/>
      <c r="K1" s="66"/>
      <c r="L1" s="66"/>
      <c r="M1" s="247">
        <f>inputPrYr!$C$5</f>
        <v>2015</v>
      </c>
    </row>
    <row r="2" spans="2:13" ht="15.75">
      <c r="B2" s="199"/>
      <c r="C2" s="66"/>
      <c r="D2" s="66"/>
      <c r="E2" s="66"/>
      <c r="F2" s="66"/>
      <c r="G2" s="66"/>
      <c r="H2" s="66"/>
      <c r="I2" s="66"/>
      <c r="J2" s="66"/>
      <c r="K2" s="66"/>
      <c r="L2" s="66"/>
      <c r="M2" s="106"/>
    </row>
    <row r="3" spans="2:13" ht="15.75">
      <c r="B3" s="248" t="s">
        <v>750</v>
      </c>
      <c r="C3" s="74"/>
      <c r="D3" s="74"/>
      <c r="E3" s="74"/>
      <c r="F3" s="74"/>
      <c r="G3" s="74"/>
      <c r="H3" s="74"/>
      <c r="I3" s="74"/>
      <c r="J3" s="74"/>
      <c r="K3" s="74"/>
      <c r="L3" s="74"/>
      <c r="M3" s="74"/>
    </row>
    <row r="4" spans="2:13" ht="15.75">
      <c r="B4" s="66"/>
      <c r="C4" s="249"/>
      <c r="D4" s="249"/>
      <c r="E4" s="249"/>
      <c r="F4" s="249"/>
      <c r="G4" s="249"/>
      <c r="H4" s="249"/>
      <c r="I4" s="249"/>
      <c r="J4" s="249"/>
      <c r="K4" s="249"/>
      <c r="L4" s="249"/>
      <c r="M4" s="249"/>
    </row>
    <row r="5" spans="2:13" ht="15.75">
      <c r="B5" s="250" t="s">
        <v>592</v>
      </c>
      <c r="C5" s="621" t="s">
        <v>718</v>
      </c>
      <c r="D5" s="250" t="s">
        <v>718</v>
      </c>
      <c r="E5" s="250" t="s">
        <v>732</v>
      </c>
      <c r="F5" s="250"/>
      <c r="G5" s="250" t="s">
        <v>848</v>
      </c>
      <c r="H5" s="66"/>
      <c r="I5" s="66"/>
      <c r="J5" s="251" t="s">
        <v>719</v>
      </c>
      <c r="K5" s="252"/>
      <c r="L5" s="251" t="s">
        <v>719</v>
      </c>
      <c r="M5" s="252"/>
    </row>
    <row r="6" spans="2:13" ht="15.75">
      <c r="B6" s="253" t="s">
        <v>720</v>
      </c>
      <c r="C6" s="620" t="s">
        <v>720</v>
      </c>
      <c r="D6" s="253" t="s">
        <v>849</v>
      </c>
      <c r="E6" s="253" t="s">
        <v>721</v>
      </c>
      <c r="F6" s="253" t="s">
        <v>664</v>
      </c>
      <c r="G6" s="253" t="s">
        <v>795</v>
      </c>
      <c r="H6" s="735" t="s">
        <v>722</v>
      </c>
      <c r="I6" s="736"/>
      <c r="J6" s="737">
        <f>M1-1</f>
        <v>2014</v>
      </c>
      <c r="K6" s="738"/>
      <c r="L6" s="737">
        <f>M1</f>
        <v>2015</v>
      </c>
      <c r="M6" s="738"/>
    </row>
    <row r="7" spans="2:13" ht="15.75">
      <c r="B7" s="256" t="s">
        <v>591</v>
      </c>
      <c r="C7" s="622" t="s">
        <v>723</v>
      </c>
      <c r="D7" s="256" t="s">
        <v>850</v>
      </c>
      <c r="E7" s="256" t="s">
        <v>688</v>
      </c>
      <c r="F7" s="256" t="s">
        <v>724</v>
      </c>
      <c r="G7" s="254" t="str">
        <f>CONCATENATE("Jan 1,",M1-1,"")</f>
        <v>Jan 1,2014</v>
      </c>
      <c r="H7" s="245" t="s">
        <v>732</v>
      </c>
      <c r="I7" s="245" t="s">
        <v>733</v>
      </c>
      <c r="J7" s="245" t="s">
        <v>732</v>
      </c>
      <c r="K7" s="245" t="s">
        <v>733</v>
      </c>
      <c r="L7" s="245" t="s">
        <v>732</v>
      </c>
      <c r="M7" s="245" t="s">
        <v>733</v>
      </c>
    </row>
    <row r="8" spans="2:13" ht="15.75">
      <c r="B8" s="255" t="s">
        <v>725</v>
      </c>
      <c r="C8" s="162"/>
      <c r="D8" s="162"/>
      <c r="E8" s="257"/>
      <c r="F8" s="258"/>
      <c r="G8" s="258"/>
      <c r="H8" s="162"/>
      <c r="I8" s="162"/>
      <c r="J8" s="258"/>
      <c r="K8" s="258"/>
      <c r="L8" s="258"/>
      <c r="M8" s="258"/>
    </row>
    <row r="9" spans="2:13" ht="15.75">
      <c r="B9" s="259"/>
      <c r="C9" s="435"/>
      <c r="D9" s="435"/>
      <c r="E9" s="260"/>
      <c r="F9" s="261"/>
      <c r="G9" s="262"/>
      <c r="H9" s="263"/>
      <c r="I9" s="263"/>
      <c r="J9" s="262"/>
      <c r="K9" s="262"/>
      <c r="L9" s="262"/>
      <c r="M9" s="262"/>
    </row>
    <row r="10" spans="2:13" ht="15.75">
      <c r="B10" s="259"/>
      <c r="C10" s="435"/>
      <c r="D10" s="435"/>
      <c r="E10" s="260"/>
      <c r="F10" s="261"/>
      <c r="G10" s="262"/>
      <c r="H10" s="263"/>
      <c r="I10" s="263"/>
      <c r="J10" s="262"/>
      <c r="K10" s="262"/>
      <c r="L10" s="262"/>
      <c r="M10" s="262"/>
    </row>
    <row r="11" spans="2:13" ht="15.75">
      <c r="B11" s="259"/>
      <c r="C11" s="435"/>
      <c r="D11" s="435"/>
      <c r="E11" s="260"/>
      <c r="F11" s="261"/>
      <c r="G11" s="262"/>
      <c r="H11" s="263"/>
      <c r="I11" s="263"/>
      <c r="J11" s="262"/>
      <c r="K11" s="262"/>
      <c r="L11" s="262"/>
      <c r="M11" s="262"/>
    </row>
    <row r="12" spans="2:13" ht="15.75">
      <c r="B12" s="259"/>
      <c r="C12" s="435"/>
      <c r="D12" s="435"/>
      <c r="E12" s="260"/>
      <c r="F12" s="261"/>
      <c r="G12" s="262"/>
      <c r="H12" s="263"/>
      <c r="I12" s="263"/>
      <c r="J12" s="262"/>
      <c r="K12" s="262"/>
      <c r="L12" s="262"/>
      <c r="M12" s="262"/>
    </row>
    <row r="13" spans="2:13" ht="15.75">
      <c r="B13" s="259"/>
      <c r="C13" s="435"/>
      <c r="D13" s="435"/>
      <c r="E13" s="260"/>
      <c r="F13" s="261"/>
      <c r="G13" s="262"/>
      <c r="H13" s="263"/>
      <c r="I13" s="263"/>
      <c r="J13" s="262"/>
      <c r="K13" s="262"/>
      <c r="L13" s="262"/>
      <c r="M13" s="262"/>
    </row>
    <row r="14" spans="2:13" ht="15.75">
      <c r="B14" s="259"/>
      <c r="C14" s="435"/>
      <c r="D14" s="435"/>
      <c r="E14" s="260"/>
      <c r="F14" s="261"/>
      <c r="G14" s="262"/>
      <c r="H14" s="263"/>
      <c r="I14" s="263"/>
      <c r="J14" s="262"/>
      <c r="K14" s="262"/>
      <c r="L14" s="262"/>
      <c r="M14" s="262"/>
    </row>
    <row r="15" spans="2:13" ht="15.75">
      <c r="B15" s="259"/>
      <c r="C15" s="435"/>
      <c r="D15" s="435"/>
      <c r="E15" s="260"/>
      <c r="F15" s="261"/>
      <c r="G15" s="262"/>
      <c r="H15" s="263"/>
      <c r="I15" s="263"/>
      <c r="J15" s="262"/>
      <c r="K15" s="262"/>
      <c r="L15" s="262"/>
      <c r="M15" s="262"/>
    </row>
    <row r="16" spans="2:13" ht="15.75">
      <c r="B16" s="259"/>
      <c r="C16" s="435"/>
      <c r="D16" s="435"/>
      <c r="E16" s="260"/>
      <c r="F16" s="261"/>
      <c r="G16" s="262"/>
      <c r="H16" s="263"/>
      <c r="I16" s="263"/>
      <c r="J16" s="262"/>
      <c r="K16" s="262"/>
      <c r="L16" s="262"/>
      <c r="M16" s="262"/>
    </row>
    <row r="17" spans="2:13" ht="15.75">
      <c r="B17" s="259"/>
      <c r="C17" s="435"/>
      <c r="D17" s="435"/>
      <c r="E17" s="260"/>
      <c r="F17" s="261"/>
      <c r="G17" s="262"/>
      <c r="H17" s="263"/>
      <c r="I17" s="263"/>
      <c r="J17" s="262"/>
      <c r="K17" s="262"/>
      <c r="L17" s="262"/>
      <c r="M17" s="262"/>
    </row>
    <row r="18" spans="2:13" ht="15.75">
      <c r="B18" s="259"/>
      <c r="C18" s="435"/>
      <c r="D18" s="435"/>
      <c r="E18" s="260"/>
      <c r="F18" s="261"/>
      <c r="G18" s="262"/>
      <c r="H18" s="263"/>
      <c r="I18" s="263"/>
      <c r="J18" s="262"/>
      <c r="K18" s="262"/>
      <c r="L18" s="262"/>
      <c r="M18" s="262"/>
    </row>
    <row r="19" spans="2:13" ht="15.75">
      <c r="B19" s="259"/>
      <c r="C19" s="435"/>
      <c r="D19" s="435"/>
      <c r="E19" s="260"/>
      <c r="F19" s="261"/>
      <c r="G19" s="262"/>
      <c r="H19" s="263"/>
      <c r="I19" s="263"/>
      <c r="J19" s="262"/>
      <c r="K19" s="262"/>
      <c r="L19" s="262"/>
      <c r="M19" s="262"/>
    </row>
    <row r="20" spans="2:13" ht="15.75">
      <c r="B20" s="259"/>
      <c r="C20" s="435"/>
      <c r="D20" s="435"/>
      <c r="E20" s="260"/>
      <c r="F20" s="261"/>
      <c r="G20" s="262"/>
      <c r="H20" s="263"/>
      <c r="I20" s="263"/>
      <c r="J20" s="262"/>
      <c r="K20" s="262"/>
      <c r="L20" s="262"/>
      <c r="M20" s="262"/>
    </row>
    <row r="21" spans="2:13" ht="15.75">
      <c r="B21" s="259"/>
      <c r="C21" s="435"/>
      <c r="D21" s="435"/>
      <c r="E21" s="260"/>
      <c r="F21" s="261"/>
      <c r="G21" s="262"/>
      <c r="H21" s="263"/>
      <c r="I21" s="263"/>
      <c r="J21" s="262"/>
      <c r="K21" s="262"/>
      <c r="L21" s="262"/>
      <c r="M21" s="262"/>
    </row>
    <row r="22" spans="2:13" ht="15.75">
      <c r="B22" s="264" t="s">
        <v>726</v>
      </c>
      <c r="C22" s="265"/>
      <c r="D22" s="265"/>
      <c r="E22" s="266"/>
      <c r="F22" s="267"/>
      <c r="G22" s="268">
        <f>SUM(G9:G21)</f>
        <v>0</v>
      </c>
      <c r="H22" s="269"/>
      <c r="I22" s="269"/>
      <c r="J22" s="268">
        <f>SUM(J9:J21)</f>
        <v>0</v>
      </c>
      <c r="K22" s="268">
        <f>SUM(K9:K21)</f>
        <v>0</v>
      </c>
      <c r="L22" s="268">
        <f>SUM(L9:L21)</f>
        <v>0</v>
      </c>
      <c r="M22" s="268">
        <f>SUM(M9:M21)</f>
        <v>0</v>
      </c>
    </row>
    <row r="23" spans="2:13" ht="15.75">
      <c r="B23" s="245" t="s">
        <v>727</v>
      </c>
      <c r="C23" s="270"/>
      <c r="D23" s="270"/>
      <c r="E23" s="271"/>
      <c r="F23" s="272"/>
      <c r="G23" s="272"/>
      <c r="H23" s="273"/>
      <c r="I23" s="273"/>
      <c r="J23" s="272"/>
      <c r="K23" s="272"/>
      <c r="L23" s="272"/>
      <c r="M23" s="272"/>
    </row>
    <row r="24" spans="2:13" ht="15.75">
      <c r="B24" s="259"/>
      <c r="C24" s="435"/>
      <c r="D24" s="435"/>
      <c r="E24" s="260"/>
      <c r="F24" s="261"/>
      <c r="G24" s="262"/>
      <c r="H24" s="263"/>
      <c r="I24" s="263"/>
      <c r="J24" s="262"/>
      <c r="K24" s="262"/>
      <c r="L24" s="262"/>
      <c r="M24" s="262"/>
    </row>
    <row r="25" spans="2:13" ht="15.75">
      <c r="B25" s="259"/>
      <c r="C25" s="435"/>
      <c r="D25" s="435"/>
      <c r="E25" s="260"/>
      <c r="F25" s="261"/>
      <c r="G25" s="262"/>
      <c r="H25" s="263"/>
      <c r="I25" s="263"/>
      <c r="J25" s="262"/>
      <c r="K25" s="262"/>
      <c r="L25" s="262"/>
      <c r="M25" s="262"/>
    </row>
    <row r="26" spans="2:13" ht="15.75">
      <c r="B26" s="259"/>
      <c r="C26" s="435"/>
      <c r="D26" s="435"/>
      <c r="E26" s="260"/>
      <c r="F26" s="261"/>
      <c r="G26" s="262"/>
      <c r="H26" s="263"/>
      <c r="I26" s="263"/>
      <c r="J26" s="262"/>
      <c r="K26" s="262"/>
      <c r="L26" s="262"/>
      <c r="M26" s="262"/>
    </row>
    <row r="27" spans="2:13" ht="15.75">
      <c r="B27" s="259"/>
      <c r="C27" s="435"/>
      <c r="D27" s="435"/>
      <c r="E27" s="260"/>
      <c r="F27" s="261"/>
      <c r="G27" s="262"/>
      <c r="H27" s="263"/>
      <c r="I27" s="263"/>
      <c r="J27" s="262"/>
      <c r="K27" s="262"/>
      <c r="L27" s="262"/>
      <c r="M27" s="262"/>
    </row>
    <row r="28" spans="2:13" ht="15.75">
      <c r="B28" s="259"/>
      <c r="C28" s="435"/>
      <c r="D28" s="435"/>
      <c r="E28" s="260"/>
      <c r="F28" s="261"/>
      <c r="G28" s="262"/>
      <c r="H28" s="263"/>
      <c r="I28" s="263"/>
      <c r="J28" s="262"/>
      <c r="K28" s="262"/>
      <c r="L28" s="262"/>
      <c r="M28" s="262"/>
    </row>
    <row r="29" spans="2:13" ht="15.75">
      <c r="B29" s="259"/>
      <c r="C29" s="435"/>
      <c r="D29" s="435"/>
      <c r="E29" s="260"/>
      <c r="F29" s="261"/>
      <c r="G29" s="262"/>
      <c r="H29" s="263"/>
      <c r="I29" s="263"/>
      <c r="J29" s="262"/>
      <c r="K29" s="262"/>
      <c r="L29" s="262"/>
      <c r="M29" s="262"/>
    </row>
    <row r="30" spans="2:13" ht="15.75">
      <c r="B30" s="259"/>
      <c r="C30" s="435"/>
      <c r="D30" s="435"/>
      <c r="E30" s="260"/>
      <c r="F30" s="261"/>
      <c r="G30" s="262"/>
      <c r="H30" s="263"/>
      <c r="I30" s="263"/>
      <c r="J30" s="262"/>
      <c r="K30" s="262"/>
      <c r="L30" s="262"/>
      <c r="M30" s="262"/>
    </row>
    <row r="31" spans="2:13" ht="15.75">
      <c r="B31" s="259"/>
      <c r="C31" s="435"/>
      <c r="D31" s="435"/>
      <c r="E31" s="260"/>
      <c r="F31" s="261"/>
      <c r="G31" s="262"/>
      <c r="H31" s="263"/>
      <c r="I31" s="263"/>
      <c r="J31" s="262"/>
      <c r="K31" s="262"/>
      <c r="L31" s="262"/>
      <c r="M31" s="262"/>
    </row>
    <row r="32" spans="2:13" ht="15.75">
      <c r="B32" s="259"/>
      <c r="C32" s="435"/>
      <c r="D32" s="435"/>
      <c r="E32" s="260"/>
      <c r="F32" s="261"/>
      <c r="G32" s="262"/>
      <c r="H32" s="263"/>
      <c r="I32" s="263"/>
      <c r="J32" s="262"/>
      <c r="K32" s="262"/>
      <c r="L32" s="262"/>
      <c r="M32" s="262"/>
    </row>
    <row r="33" spans="2:13" ht="15.75">
      <c r="B33" s="259"/>
      <c r="C33" s="435"/>
      <c r="D33" s="435"/>
      <c r="E33" s="260"/>
      <c r="F33" s="261"/>
      <c r="G33" s="262"/>
      <c r="H33" s="263"/>
      <c r="I33" s="263"/>
      <c r="J33" s="262"/>
      <c r="K33" s="262"/>
      <c r="L33" s="262"/>
      <c r="M33" s="262"/>
    </row>
    <row r="34" spans="2:13" ht="15.75">
      <c r="B34" s="259"/>
      <c r="C34" s="435"/>
      <c r="D34" s="435"/>
      <c r="E34" s="260"/>
      <c r="F34" s="261"/>
      <c r="G34" s="262"/>
      <c r="H34" s="263"/>
      <c r="I34" s="263"/>
      <c r="J34" s="262"/>
      <c r="K34" s="262"/>
      <c r="L34" s="262"/>
      <c r="M34" s="262"/>
    </row>
    <row r="35" spans="2:13" ht="15.75">
      <c r="B35" s="264" t="s">
        <v>728</v>
      </c>
      <c r="C35" s="265"/>
      <c r="D35" s="265"/>
      <c r="E35" s="274"/>
      <c r="F35" s="267"/>
      <c r="G35" s="275">
        <f>SUM(G24:G34)</f>
        <v>0</v>
      </c>
      <c r="H35" s="269"/>
      <c r="I35" s="269"/>
      <c r="J35" s="275">
        <f>SUM(J24:J34)</f>
        <v>0</v>
      </c>
      <c r="K35" s="275">
        <f>SUM(K24:K34)</f>
        <v>0</v>
      </c>
      <c r="L35" s="268">
        <f>SUM(L24:L34)</f>
        <v>0</v>
      </c>
      <c r="M35" s="275">
        <f>SUM(M24:M34)</f>
        <v>0</v>
      </c>
    </row>
    <row r="36" spans="2:13" ht="15.75">
      <c r="B36" s="245" t="s">
        <v>729</v>
      </c>
      <c r="C36" s="270"/>
      <c r="D36" s="270"/>
      <c r="E36" s="271"/>
      <c r="F36" s="272"/>
      <c r="G36" s="276"/>
      <c r="H36" s="273"/>
      <c r="I36" s="273"/>
      <c r="J36" s="272"/>
      <c r="K36" s="272"/>
      <c r="L36" s="272"/>
      <c r="M36" s="272"/>
    </row>
    <row r="37" spans="2:13" ht="15.75">
      <c r="B37" s="259" t="s">
        <v>188</v>
      </c>
      <c r="C37" s="435">
        <v>37259</v>
      </c>
      <c r="D37" s="435">
        <v>44990</v>
      </c>
      <c r="E37" s="260">
        <v>3.06</v>
      </c>
      <c r="F37" s="261">
        <v>250000</v>
      </c>
      <c r="G37" s="262">
        <v>137431</v>
      </c>
      <c r="H37" s="263">
        <v>41699</v>
      </c>
      <c r="I37" s="263">
        <v>41699</v>
      </c>
      <c r="J37" s="262">
        <v>1932</v>
      </c>
      <c r="K37" s="262">
        <v>5925</v>
      </c>
      <c r="L37" s="262">
        <v>1763</v>
      </c>
      <c r="M37" s="262">
        <v>6108</v>
      </c>
    </row>
    <row r="38" spans="2:13" ht="15.75">
      <c r="B38" s="259" t="s">
        <v>189</v>
      </c>
      <c r="C38" s="435"/>
      <c r="D38" s="435"/>
      <c r="E38" s="260"/>
      <c r="F38" s="261"/>
      <c r="G38" s="262"/>
      <c r="H38" s="263">
        <v>41883</v>
      </c>
      <c r="I38" s="263">
        <v>41883</v>
      </c>
      <c r="J38" s="262">
        <v>1848</v>
      </c>
      <c r="K38" s="262">
        <v>6016</v>
      </c>
      <c r="L38" s="262">
        <v>1677</v>
      </c>
      <c r="M38" s="262">
        <v>6202</v>
      </c>
    </row>
    <row r="39" spans="2:13" ht="15.75">
      <c r="B39" s="259"/>
      <c r="C39" s="435"/>
      <c r="D39" s="435"/>
      <c r="E39" s="260"/>
      <c r="F39" s="261"/>
      <c r="G39" s="262"/>
      <c r="H39" s="263"/>
      <c r="I39" s="263"/>
      <c r="J39" s="262"/>
      <c r="K39" s="262"/>
      <c r="L39" s="262"/>
      <c r="M39" s="262"/>
    </row>
    <row r="40" spans="2:13" ht="15.75">
      <c r="B40" s="259"/>
      <c r="C40" s="435"/>
      <c r="D40" s="435"/>
      <c r="E40" s="260"/>
      <c r="F40" s="261"/>
      <c r="G40" s="262"/>
      <c r="H40" s="263"/>
      <c r="I40" s="263"/>
      <c r="J40" s="262"/>
      <c r="K40" s="262"/>
      <c r="L40" s="262"/>
      <c r="M40" s="262"/>
    </row>
    <row r="41" spans="2:13" ht="15.75">
      <c r="B41" s="259"/>
      <c r="C41" s="435"/>
      <c r="D41" s="435"/>
      <c r="E41" s="260"/>
      <c r="F41" s="261"/>
      <c r="G41" s="262"/>
      <c r="H41" s="263"/>
      <c r="I41" s="263"/>
      <c r="J41" s="262"/>
      <c r="K41" s="262"/>
      <c r="L41" s="262"/>
      <c r="M41" s="262"/>
    </row>
    <row r="42" spans="2:13" ht="15.75">
      <c r="B42" s="259"/>
      <c r="C42" s="435"/>
      <c r="D42" s="435"/>
      <c r="E42" s="260"/>
      <c r="F42" s="261"/>
      <c r="G42" s="262"/>
      <c r="H42" s="263"/>
      <c r="I42" s="263"/>
      <c r="J42" s="262"/>
      <c r="K42" s="262"/>
      <c r="L42" s="262"/>
      <c r="M42" s="262"/>
    </row>
    <row r="43" spans="2:13" ht="15.75">
      <c r="B43" s="259"/>
      <c r="C43" s="435"/>
      <c r="D43" s="435"/>
      <c r="E43" s="260"/>
      <c r="F43" s="261"/>
      <c r="G43" s="262"/>
      <c r="H43" s="263"/>
      <c r="I43" s="263"/>
      <c r="J43" s="262"/>
      <c r="K43" s="262"/>
      <c r="L43" s="262"/>
      <c r="M43" s="262"/>
    </row>
    <row r="44" spans="2:13" ht="15.75">
      <c r="B44" s="259"/>
      <c r="C44" s="435"/>
      <c r="D44" s="435"/>
      <c r="E44" s="260"/>
      <c r="F44" s="261"/>
      <c r="G44" s="262"/>
      <c r="H44" s="263"/>
      <c r="I44" s="263"/>
      <c r="J44" s="262"/>
      <c r="K44" s="262"/>
      <c r="L44" s="262"/>
      <c r="M44" s="262"/>
    </row>
    <row r="45" spans="2:29" ht="15.75">
      <c r="B45" s="259"/>
      <c r="C45" s="435"/>
      <c r="D45" s="435"/>
      <c r="E45" s="260"/>
      <c r="F45" s="261"/>
      <c r="G45" s="262"/>
      <c r="H45" s="263"/>
      <c r="I45" s="263"/>
      <c r="J45" s="262"/>
      <c r="K45" s="262"/>
      <c r="L45" s="262"/>
      <c r="M45" s="262"/>
      <c r="N45" s="52"/>
      <c r="O45" s="52"/>
      <c r="P45" s="52"/>
      <c r="Q45" s="52"/>
      <c r="R45" s="52"/>
      <c r="S45" s="52"/>
      <c r="T45" s="52"/>
      <c r="U45" s="52"/>
      <c r="V45" s="52"/>
      <c r="W45" s="52"/>
      <c r="X45" s="52"/>
      <c r="Y45" s="52"/>
      <c r="Z45" s="52"/>
      <c r="AA45" s="52"/>
      <c r="AB45" s="52"/>
      <c r="AC45" s="52"/>
    </row>
    <row r="46" spans="2:13" ht="15.75">
      <c r="B46" s="264" t="s">
        <v>851</v>
      </c>
      <c r="C46" s="264"/>
      <c r="D46" s="264"/>
      <c r="E46" s="274"/>
      <c r="F46" s="267"/>
      <c r="G46" s="275">
        <f>SUM(G37:G45)</f>
        <v>137431</v>
      </c>
      <c r="H46" s="267"/>
      <c r="I46" s="267"/>
      <c r="J46" s="275">
        <f>SUM(J37:J45)</f>
        <v>3780</v>
      </c>
      <c r="K46" s="275">
        <f>SUM(K37:K45)</f>
        <v>11941</v>
      </c>
      <c r="L46" s="275">
        <f>SUM(L37:L45)</f>
        <v>3440</v>
      </c>
      <c r="M46" s="275">
        <f>SUM(M37:M45)</f>
        <v>12310</v>
      </c>
    </row>
    <row r="47" spans="2:13" ht="15.75">
      <c r="B47" s="264" t="s">
        <v>730</v>
      </c>
      <c r="C47" s="264"/>
      <c r="D47" s="264"/>
      <c r="E47" s="264"/>
      <c r="F47" s="267"/>
      <c r="G47" s="275">
        <f>SUM(G22+G35+G46)</f>
        <v>137431</v>
      </c>
      <c r="H47" s="267"/>
      <c r="I47" s="267"/>
      <c r="J47" s="275">
        <f>SUM(J22+J35+J46)</f>
        <v>3780</v>
      </c>
      <c r="K47" s="275">
        <f>SUM(K22+K35+K46)</f>
        <v>11941</v>
      </c>
      <c r="L47" s="275">
        <f>SUM(L22+L35+L46)</f>
        <v>3440</v>
      </c>
      <c r="M47" s="275">
        <f>SUM(M22+M35+M46)</f>
        <v>12310</v>
      </c>
    </row>
    <row r="48" spans="2:13" ht="15.75">
      <c r="B48" s="52"/>
      <c r="C48" s="52"/>
      <c r="D48" s="52"/>
      <c r="E48" s="52"/>
      <c r="F48" s="52"/>
      <c r="G48" s="52"/>
      <c r="H48" s="52"/>
      <c r="I48" s="52"/>
      <c r="J48" s="52"/>
      <c r="K48" s="52"/>
      <c r="L48" s="52"/>
      <c r="M48" s="52"/>
    </row>
    <row r="49" spans="6:13" ht="15.75">
      <c r="F49" s="277"/>
      <c r="G49" s="277"/>
      <c r="J49" s="277"/>
      <c r="K49" s="277"/>
      <c r="L49" s="277"/>
      <c r="M49" s="277"/>
    </row>
    <row r="50" spans="6:14" ht="15.75">
      <c r="F50" s="52"/>
      <c r="H50" s="278"/>
      <c r="N50" s="52"/>
    </row>
    <row r="51" spans="2:13" ht="15.75">
      <c r="B51" s="52"/>
      <c r="C51" s="52"/>
      <c r="D51" s="52"/>
      <c r="E51" s="52"/>
      <c r="F51" s="52"/>
      <c r="G51" s="52"/>
      <c r="H51" s="52"/>
      <c r="I51" s="52"/>
      <c r="J51" s="52"/>
      <c r="K51" s="52"/>
      <c r="L51" s="52"/>
      <c r="M51" s="52"/>
    </row>
    <row r="52" spans="2:13" ht="15.75">
      <c r="B52" s="52"/>
      <c r="C52" s="52"/>
      <c r="D52" s="52"/>
      <c r="E52" s="52"/>
      <c r="F52" s="52"/>
      <c r="G52" s="52"/>
      <c r="H52" s="52"/>
      <c r="I52" s="52"/>
      <c r="J52" s="52"/>
      <c r="K52" s="52"/>
      <c r="L52" s="52"/>
      <c r="M52" s="52"/>
    </row>
  </sheetData>
  <sheetProtection sheet="1"/>
  <mergeCells count="3">
    <mergeCell ref="H6:I6"/>
    <mergeCell ref="J6:K6"/>
    <mergeCell ref="L6:M6"/>
  </mergeCells>
  <printOptions/>
  <pageMargins left="0.48" right="0.5" top="0.78" bottom="0.4" header="0.5" footer="0"/>
  <pageSetup blackAndWhite="1" fitToHeight="1" fitToWidth="1" horizontalDpi="120" verticalDpi="120" orientation="landscape" scale="68"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I14" sqref="I14"/>
    </sheetView>
  </sheetViews>
  <sheetFormatPr defaultColWidth="8.796875" defaultRowHeight="15"/>
  <cols>
    <col min="1" max="1" width="8.8984375" style="52" customWidth="1"/>
    <col min="2" max="2" width="25.796875" style="52" customWidth="1"/>
    <col min="3" max="5" width="9.796875" style="52" customWidth="1"/>
    <col min="6" max="6" width="17.09765625" style="52" customWidth="1"/>
    <col min="7" max="9" width="15.796875" style="52" customWidth="1"/>
    <col min="10" max="16384" width="8.8984375" style="52" customWidth="1"/>
  </cols>
  <sheetData>
    <row r="1" spans="2:9" ht="15.75">
      <c r="B1" s="199" t="str">
        <f>inputPrYr!$C$3</f>
        <v>Montgomery County</v>
      </c>
      <c r="C1" s="66"/>
      <c r="D1" s="66"/>
      <c r="E1" s="66"/>
      <c r="F1" s="66"/>
      <c r="G1" s="66"/>
      <c r="H1" s="66"/>
      <c r="I1" s="279">
        <f>inputPrYr!C5</f>
        <v>2015</v>
      </c>
    </row>
    <row r="2" spans="2:9" ht="15.75">
      <c r="B2" s="66"/>
      <c r="C2" s="66"/>
      <c r="D2" s="66"/>
      <c r="E2" s="66"/>
      <c r="F2" s="66"/>
      <c r="G2" s="66"/>
      <c r="H2" s="66"/>
      <c r="I2" s="106"/>
    </row>
    <row r="3" spans="2:9" ht="15.75">
      <c r="B3" s="66"/>
      <c r="C3" s="74"/>
      <c r="D3" s="74"/>
      <c r="E3" s="74"/>
      <c r="F3" s="74"/>
      <c r="G3" s="74"/>
      <c r="H3" s="74"/>
      <c r="I3" s="280"/>
    </row>
    <row r="4" spans="2:9" ht="15.75">
      <c r="B4" s="248" t="s">
        <v>742</v>
      </c>
      <c r="C4" s="74"/>
      <c r="D4" s="74"/>
      <c r="E4" s="74"/>
      <c r="F4" s="74"/>
      <c r="G4" s="74"/>
      <c r="H4" s="74"/>
      <c r="I4" s="74"/>
    </row>
    <row r="5" spans="2:9" ht="15.75">
      <c r="B5" s="95"/>
      <c r="C5" s="249"/>
      <c r="D5" s="249"/>
      <c r="E5" s="249"/>
      <c r="F5" s="249"/>
      <c r="G5" s="249"/>
      <c r="H5" s="249"/>
      <c r="I5" s="249"/>
    </row>
    <row r="6" spans="2:9" ht="15.75">
      <c r="B6" s="281"/>
      <c r="C6" s="282"/>
      <c r="D6" s="282"/>
      <c r="E6" s="282"/>
      <c r="F6" s="250" t="s">
        <v>644</v>
      </c>
      <c r="G6" s="282"/>
      <c r="H6" s="282"/>
      <c r="I6" s="282"/>
    </row>
    <row r="7" spans="2:9" ht="15.75">
      <c r="B7" s="281"/>
      <c r="C7" s="253"/>
      <c r="D7" s="253" t="s">
        <v>731</v>
      </c>
      <c r="E7" s="253" t="s">
        <v>732</v>
      </c>
      <c r="F7" s="253" t="s">
        <v>664</v>
      </c>
      <c r="G7" s="253" t="s">
        <v>733</v>
      </c>
      <c r="H7" s="253" t="s">
        <v>734</v>
      </c>
      <c r="I7" s="253" t="s">
        <v>734</v>
      </c>
    </row>
    <row r="8" spans="2:9" ht="15.75">
      <c r="B8" s="623" t="s">
        <v>594</v>
      </c>
      <c r="C8" s="253" t="s">
        <v>735</v>
      </c>
      <c r="D8" s="253" t="s">
        <v>736</v>
      </c>
      <c r="E8" s="253" t="s">
        <v>721</v>
      </c>
      <c r="F8" s="253" t="s">
        <v>737</v>
      </c>
      <c r="G8" s="253" t="s">
        <v>777</v>
      </c>
      <c r="H8" s="253" t="s">
        <v>738</v>
      </c>
      <c r="I8" s="253" t="s">
        <v>738</v>
      </c>
    </row>
    <row r="9" spans="2:9" ht="15.75">
      <c r="B9" s="606" t="s">
        <v>593</v>
      </c>
      <c r="C9" s="256" t="s">
        <v>718</v>
      </c>
      <c r="D9" s="284" t="s">
        <v>739</v>
      </c>
      <c r="E9" s="256" t="s">
        <v>688</v>
      </c>
      <c r="F9" s="284" t="s">
        <v>796</v>
      </c>
      <c r="G9" s="285" t="str">
        <f>CONCATENATE("Jan 1,",I1-1,"")</f>
        <v>Jan 1,2014</v>
      </c>
      <c r="H9" s="256">
        <f>I1-1</f>
        <v>2014</v>
      </c>
      <c r="I9" s="256">
        <f>I1</f>
        <v>2015</v>
      </c>
    </row>
    <row r="10" spans="2:9" ht="15.75">
      <c r="B10" s="92" t="s">
        <v>190</v>
      </c>
      <c r="C10" s="451">
        <v>39301</v>
      </c>
      <c r="D10" s="286">
        <v>84</v>
      </c>
      <c r="E10" s="287">
        <v>4.34</v>
      </c>
      <c r="F10" s="93">
        <v>331653</v>
      </c>
      <c r="G10" s="93">
        <v>25481</v>
      </c>
      <c r="H10" s="93">
        <v>26022</v>
      </c>
      <c r="I10" s="93">
        <v>0</v>
      </c>
    </row>
    <row r="11" spans="2:9" ht="15.75">
      <c r="B11" s="92" t="s">
        <v>191</v>
      </c>
      <c r="C11" s="451">
        <v>40193</v>
      </c>
      <c r="D11" s="286">
        <v>48</v>
      </c>
      <c r="E11" s="287">
        <v>4.21</v>
      </c>
      <c r="F11" s="93">
        <v>170600</v>
      </c>
      <c r="G11" s="93">
        <v>0</v>
      </c>
      <c r="H11" s="93">
        <v>0</v>
      </c>
      <c r="I11" s="93">
        <v>0</v>
      </c>
    </row>
    <row r="12" spans="2:9" ht="15.75">
      <c r="B12" s="92" t="s">
        <v>192</v>
      </c>
      <c r="C12" s="451">
        <v>40708</v>
      </c>
      <c r="D12" s="286">
        <v>60</v>
      </c>
      <c r="E12" s="287">
        <v>2.93</v>
      </c>
      <c r="F12" s="93">
        <v>145000</v>
      </c>
      <c r="G12" s="93">
        <v>75187</v>
      </c>
      <c r="H12" s="93">
        <v>31316</v>
      </c>
      <c r="I12" s="93">
        <v>31316</v>
      </c>
    </row>
    <row r="13" spans="2:9" ht="15.75">
      <c r="B13" s="92" t="s">
        <v>193</v>
      </c>
      <c r="C13" s="451">
        <v>40494</v>
      </c>
      <c r="D13" s="286">
        <v>20</v>
      </c>
      <c r="E13" s="287">
        <v>3.63</v>
      </c>
      <c r="F13" s="93">
        <v>47560</v>
      </c>
      <c r="G13" s="93">
        <v>20074</v>
      </c>
      <c r="H13" s="93">
        <v>10440</v>
      </c>
      <c r="I13" s="93">
        <v>10440</v>
      </c>
    </row>
    <row r="14" spans="2:9" ht="15.75">
      <c r="B14" s="92" t="s">
        <v>191</v>
      </c>
      <c r="C14" s="451">
        <v>41423</v>
      </c>
      <c r="D14" s="286">
        <v>48</v>
      </c>
      <c r="E14" s="287">
        <v>2.67</v>
      </c>
      <c r="F14" s="93">
        <v>170600</v>
      </c>
      <c r="G14" s="93">
        <v>170600</v>
      </c>
      <c r="H14" s="93">
        <v>45451</v>
      </c>
      <c r="I14" s="93">
        <v>45451</v>
      </c>
    </row>
    <row r="15" spans="2:9" ht="15.75">
      <c r="B15" s="92"/>
      <c r="C15" s="92"/>
      <c r="D15" s="286"/>
      <c r="E15" s="287"/>
      <c r="F15" s="93"/>
      <c r="G15" s="93"/>
      <c r="H15" s="93"/>
      <c r="I15" s="93"/>
    </row>
    <row r="16" spans="2:9" ht="15.75">
      <c r="B16" s="92"/>
      <c r="C16" s="92"/>
      <c r="D16" s="286"/>
      <c r="E16" s="287"/>
      <c r="F16" s="93"/>
      <c r="G16" s="93"/>
      <c r="H16" s="93"/>
      <c r="I16" s="93"/>
    </row>
    <row r="17" spans="2:9" ht="15.75">
      <c r="B17" s="92"/>
      <c r="C17" s="92"/>
      <c r="D17" s="286"/>
      <c r="E17" s="287"/>
      <c r="F17" s="93"/>
      <c r="G17" s="93"/>
      <c r="H17" s="93"/>
      <c r="I17" s="93"/>
    </row>
    <row r="18" spans="2:9" ht="15.75">
      <c r="B18" s="92"/>
      <c r="C18" s="92"/>
      <c r="D18" s="286"/>
      <c r="E18" s="287"/>
      <c r="F18" s="93"/>
      <c r="G18" s="93"/>
      <c r="H18" s="93"/>
      <c r="I18" s="93"/>
    </row>
    <row r="19" spans="2:9" ht="15.75">
      <c r="B19" s="92"/>
      <c r="C19" s="92"/>
      <c r="D19" s="286"/>
      <c r="E19" s="287"/>
      <c r="F19" s="93"/>
      <c r="G19" s="93"/>
      <c r="H19" s="93"/>
      <c r="I19" s="93"/>
    </row>
    <row r="20" spans="2:9" ht="15.75">
      <c r="B20" s="92"/>
      <c r="C20" s="92"/>
      <c r="D20" s="286"/>
      <c r="E20" s="287"/>
      <c r="F20" s="93"/>
      <c r="G20" s="93"/>
      <c r="H20" s="93"/>
      <c r="I20" s="93"/>
    </row>
    <row r="21" spans="2:9" ht="15.75">
      <c r="B21" s="92"/>
      <c r="C21" s="92"/>
      <c r="D21" s="286"/>
      <c r="E21" s="287"/>
      <c r="F21" s="93"/>
      <c r="G21" s="93"/>
      <c r="H21" s="93"/>
      <c r="I21" s="93"/>
    </row>
    <row r="22" spans="2:9" ht="15.75">
      <c r="B22" s="92"/>
      <c r="C22" s="92"/>
      <c r="D22" s="286"/>
      <c r="E22" s="287"/>
      <c r="F22" s="93"/>
      <c r="G22" s="93"/>
      <c r="H22" s="93"/>
      <c r="I22" s="93"/>
    </row>
    <row r="23" spans="2:9" ht="15.75">
      <c r="B23" s="92"/>
      <c r="C23" s="92"/>
      <c r="D23" s="286"/>
      <c r="E23" s="287"/>
      <c r="F23" s="93"/>
      <c r="G23" s="93"/>
      <c r="H23" s="93"/>
      <c r="I23" s="93"/>
    </row>
    <row r="24" spans="2:9" ht="15.75">
      <c r="B24" s="92"/>
      <c r="C24" s="92"/>
      <c r="D24" s="286"/>
      <c r="E24" s="287"/>
      <c r="F24" s="93"/>
      <c r="G24" s="93"/>
      <c r="H24" s="93"/>
      <c r="I24" s="93"/>
    </row>
    <row r="25" spans="2:9" ht="15.75">
      <c r="B25" s="92"/>
      <c r="C25" s="92"/>
      <c r="D25" s="286"/>
      <c r="E25" s="287"/>
      <c r="F25" s="93"/>
      <c r="G25" s="93"/>
      <c r="H25" s="93"/>
      <c r="I25" s="93"/>
    </row>
    <row r="26" spans="2:9" ht="15.75">
      <c r="B26" s="92"/>
      <c r="C26" s="92"/>
      <c r="D26" s="286"/>
      <c r="E26" s="287"/>
      <c r="F26" s="93"/>
      <c r="G26" s="93"/>
      <c r="H26" s="93"/>
      <c r="I26" s="93"/>
    </row>
    <row r="27" spans="2:9" ht="15.75">
      <c r="B27" s="92"/>
      <c r="C27" s="92"/>
      <c r="D27" s="286"/>
      <c r="E27" s="287"/>
      <c r="F27" s="93"/>
      <c r="G27" s="93"/>
      <c r="H27" s="93"/>
      <c r="I27" s="93"/>
    </row>
    <row r="28" spans="2:9" ht="15.75">
      <c r="B28" s="92"/>
      <c r="C28" s="92"/>
      <c r="D28" s="286"/>
      <c r="E28" s="287"/>
      <c r="F28" s="93"/>
      <c r="G28" s="93"/>
      <c r="H28" s="93"/>
      <c r="I28" s="93"/>
    </row>
    <row r="29" spans="2:9" ht="15.75">
      <c r="B29" s="92"/>
      <c r="C29" s="92"/>
      <c r="D29" s="286"/>
      <c r="E29" s="287"/>
      <c r="F29" s="93"/>
      <c r="G29" s="93"/>
      <c r="H29" s="93"/>
      <c r="I29" s="93"/>
    </row>
    <row r="30" spans="2:9" ht="15.75">
      <c r="B30" s="92"/>
      <c r="C30" s="92"/>
      <c r="D30" s="286"/>
      <c r="E30" s="287"/>
      <c r="F30" s="93"/>
      <c r="G30" s="93"/>
      <c r="H30" s="93"/>
      <c r="I30" s="93"/>
    </row>
    <row r="31" spans="2:9" ht="15.75">
      <c r="B31" s="92"/>
      <c r="C31" s="92"/>
      <c r="D31" s="286"/>
      <c r="E31" s="287"/>
      <c r="F31" s="93"/>
      <c r="G31" s="93"/>
      <c r="H31" s="93"/>
      <c r="I31" s="93"/>
    </row>
    <row r="32" spans="2:9" ht="15.75">
      <c r="B32" s="92"/>
      <c r="C32" s="92"/>
      <c r="D32" s="286"/>
      <c r="E32" s="287"/>
      <c r="F32" s="93"/>
      <c r="G32" s="93"/>
      <c r="H32" s="93"/>
      <c r="I32" s="93"/>
    </row>
    <row r="33" spans="2:9" ht="15.75">
      <c r="B33" s="92"/>
      <c r="C33" s="92"/>
      <c r="D33" s="286"/>
      <c r="E33" s="287"/>
      <c r="F33" s="93"/>
      <c r="G33" s="93"/>
      <c r="H33" s="93"/>
      <c r="I33" s="93"/>
    </row>
    <row r="34" spans="2:9" ht="15.75">
      <c r="B34" s="92"/>
      <c r="C34" s="92"/>
      <c r="D34" s="286"/>
      <c r="E34" s="287"/>
      <c r="F34" s="93"/>
      <c r="G34" s="93"/>
      <c r="H34" s="93"/>
      <c r="I34" s="93"/>
    </row>
    <row r="35" spans="2:9" ht="15.75">
      <c r="B35" s="92"/>
      <c r="C35" s="92"/>
      <c r="D35" s="286"/>
      <c r="E35" s="287"/>
      <c r="F35" s="93"/>
      <c r="G35" s="93"/>
      <c r="H35" s="93"/>
      <c r="I35" s="93"/>
    </row>
    <row r="36" spans="2:9" ht="15.75">
      <c r="B36" s="92"/>
      <c r="C36" s="92"/>
      <c r="D36" s="286"/>
      <c r="E36" s="287"/>
      <c r="F36" s="93"/>
      <c r="G36" s="93"/>
      <c r="H36" s="93"/>
      <c r="I36" s="93"/>
    </row>
    <row r="37" spans="2:10" ht="16.5" thickBot="1">
      <c r="B37" s="66"/>
      <c r="C37" s="66"/>
      <c r="D37" s="66"/>
      <c r="E37" s="66"/>
      <c r="F37" s="245" t="s">
        <v>671</v>
      </c>
      <c r="G37" s="288">
        <f>SUM(G10:G36)</f>
        <v>291342</v>
      </c>
      <c r="H37" s="288">
        <f>SUM(H10:H36)</f>
        <v>113229</v>
      </c>
      <c r="I37" s="288">
        <f>SUM(I10:I36)</f>
        <v>87207</v>
      </c>
      <c r="J37" s="289"/>
    </row>
    <row r="38" spans="2:9" ht="16.5" thickTop="1">
      <c r="B38" s="66"/>
      <c r="C38" s="66"/>
      <c r="D38" s="66"/>
      <c r="E38" s="66"/>
      <c r="F38" s="66"/>
      <c r="G38" s="66"/>
      <c r="H38" s="199"/>
      <c r="I38" s="199"/>
    </row>
    <row r="39" spans="2:9" ht="15.75">
      <c r="B39" s="290" t="s">
        <v>952</v>
      </c>
      <c r="C39" s="291"/>
      <c r="D39" s="291"/>
      <c r="E39" s="291"/>
      <c r="F39" s="291"/>
      <c r="G39" s="291"/>
      <c r="H39" s="199"/>
      <c r="I39" s="199"/>
    </row>
    <row r="40" spans="2:9" ht="15.75">
      <c r="B40" s="123"/>
      <c r="C40" s="123"/>
      <c r="D40" s="278"/>
      <c r="E40" s="123"/>
      <c r="F40" s="123"/>
      <c r="G40" s="123"/>
      <c r="H40" s="277"/>
      <c r="I40" s="277"/>
    </row>
    <row r="41" spans="2:9" ht="15.75">
      <c r="B41" s="123"/>
      <c r="C41" s="123"/>
      <c r="D41" s="123"/>
      <c r="E41" s="123"/>
      <c r="F41" s="123"/>
      <c r="G41" s="123"/>
      <c r="H41" s="123"/>
      <c r="I41" s="123"/>
    </row>
    <row r="42" spans="2:9" ht="15.75">
      <c r="B42" s="123"/>
      <c r="C42" s="123"/>
      <c r="D42" s="123"/>
      <c r="E42" s="123"/>
      <c r="F42" s="123"/>
      <c r="G42" s="123"/>
      <c r="H42" s="123"/>
      <c r="I42" s="123"/>
    </row>
    <row r="43" spans="2:9" ht="15.75">
      <c r="B43" s="123"/>
      <c r="C43" s="123"/>
      <c r="D43" s="123"/>
      <c r="E43" s="123"/>
      <c r="F43" s="123"/>
      <c r="G43" s="123"/>
      <c r="H43" s="123"/>
      <c r="I43" s="123"/>
    </row>
    <row r="44" spans="2:9" ht="15.75">
      <c r="B44" s="123"/>
      <c r="C44" s="123"/>
      <c r="D44" s="123"/>
      <c r="E44" s="123"/>
      <c r="F44" s="123"/>
      <c r="G44" s="123"/>
      <c r="H44" s="123"/>
      <c r="I44" s="123"/>
    </row>
    <row r="45" spans="2:9" ht="15.75">
      <c r="B45" s="123"/>
      <c r="C45" s="123"/>
      <c r="D45" s="123"/>
      <c r="E45" s="123"/>
      <c r="F45" s="123"/>
      <c r="G45" s="123"/>
      <c r="H45" s="123"/>
      <c r="I45" s="123"/>
    </row>
    <row r="46" spans="2:9" ht="15.75">
      <c r="B46" s="123"/>
      <c r="C46" s="123"/>
      <c r="D46" s="123"/>
      <c r="E46" s="123"/>
      <c r="F46" s="123"/>
      <c r="G46" s="123"/>
      <c r="H46" s="123"/>
      <c r="I46" s="123"/>
    </row>
    <row r="47" spans="2:9" ht="15.75">
      <c r="B47" s="123"/>
      <c r="C47" s="123"/>
      <c r="D47" s="123"/>
      <c r="E47" s="123"/>
      <c r="F47" s="123"/>
      <c r="G47" s="123"/>
      <c r="H47" s="123"/>
      <c r="I47" s="123"/>
    </row>
    <row r="48" spans="2:9" ht="15.75">
      <c r="B48" s="123"/>
      <c r="C48" s="123"/>
      <c r="D48" s="123"/>
      <c r="E48" s="123"/>
      <c r="F48" s="123"/>
      <c r="G48" s="123"/>
      <c r="H48" s="123"/>
      <c r="I48" s="123"/>
    </row>
  </sheetData>
  <sheetProtection sheet="1"/>
  <printOptions/>
  <pageMargins left="0.24" right="0.82" top="0.78" bottom="0.4" header="0.5" footer="0"/>
  <pageSetup blackAndWhite="1" fitToHeight="1" fitToWidth="1" horizontalDpi="120" verticalDpi="120" orientation="landscape" scale="77"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34"/>
  <sheetViews>
    <sheetView zoomScalePageLayoutView="0" workbookViewId="0" topLeftCell="A22">
      <selection activeCell="E17" sqref="E17"/>
    </sheetView>
  </sheetViews>
  <sheetFormatPr defaultColWidth="8.796875" defaultRowHeight="15"/>
  <cols>
    <col min="1" max="1" width="2.3984375" style="52" customWidth="1"/>
    <col min="2" max="2" width="31.09765625" style="52" customWidth="1"/>
    <col min="3" max="4" width="15.796875" style="52" customWidth="1"/>
    <col min="5" max="5" width="16.09765625" style="52" customWidth="1"/>
    <col min="6" max="6" width="7.3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199" t="str">
        <f>inputPrYr!$C$3</f>
        <v>Montgomery County</v>
      </c>
      <c r="C1" s="66"/>
      <c r="D1" s="66"/>
      <c r="E1" s="279">
        <f>inputPrYr!C5</f>
        <v>2015</v>
      </c>
    </row>
    <row r="2" spans="2:5" ht="15.75">
      <c r="B2" s="66"/>
      <c r="C2" s="66"/>
      <c r="D2" s="66"/>
      <c r="E2" s="106"/>
    </row>
    <row r="3" spans="2:5" ht="15.75">
      <c r="B3" s="472" t="s">
        <v>748</v>
      </c>
      <c r="C3" s="66"/>
      <c r="D3" s="66"/>
      <c r="E3" s="292"/>
    </row>
    <row r="4" spans="2:5" ht="15.75">
      <c r="B4" s="185" t="s">
        <v>672</v>
      </c>
      <c r="C4" s="624" t="s">
        <v>595</v>
      </c>
      <c r="D4" s="625" t="s">
        <v>596</v>
      </c>
      <c r="E4" s="148" t="s">
        <v>597</v>
      </c>
    </row>
    <row r="5" spans="2:5" ht="15.75">
      <c r="B5" s="470" t="str">
        <f>inputPrYr!B16</f>
        <v>General</v>
      </c>
      <c r="C5" s="440" t="str">
        <f>CONCATENATE("Actual for ",E1-2,"")</f>
        <v>Actual for 2013</v>
      </c>
      <c r="D5" s="440" t="str">
        <f>CONCATENATE("Estimate for ",E1-1,"")</f>
        <v>Estimate for 2014</v>
      </c>
      <c r="E5" s="293" t="str">
        <f>CONCATENATE("Year for ",E1,"")</f>
        <v>Year for 2015</v>
      </c>
    </row>
    <row r="6" spans="2:5" ht="15.75">
      <c r="B6" s="294" t="s">
        <v>789</v>
      </c>
      <c r="C6" s="296">
        <v>5914529</v>
      </c>
      <c r="D6" s="439">
        <f>C116</f>
        <v>5926770</v>
      </c>
      <c r="E6" s="258">
        <f>D116</f>
        <v>2024799</v>
      </c>
    </row>
    <row r="7" spans="2:5" ht="15.75">
      <c r="B7" s="283" t="s">
        <v>791</v>
      </c>
      <c r="C7" s="166"/>
      <c r="D7" s="166"/>
      <c r="E7" s="109"/>
    </row>
    <row r="8" spans="2:5" ht="15.75">
      <c r="B8" s="294" t="s">
        <v>673</v>
      </c>
      <c r="C8" s="296">
        <v>5658720</v>
      </c>
      <c r="D8" s="439">
        <v>4971384</v>
      </c>
      <c r="E8" s="194" t="s">
        <v>660</v>
      </c>
    </row>
    <row r="9" spans="2:5" ht="15.75">
      <c r="B9" s="294" t="s">
        <v>674</v>
      </c>
      <c r="C9" s="296">
        <v>138156</v>
      </c>
      <c r="D9" s="296">
        <v>130000</v>
      </c>
      <c r="E9" s="297">
        <v>120000</v>
      </c>
    </row>
    <row r="10" spans="2:5" ht="15.75">
      <c r="B10" s="294" t="s">
        <v>675</v>
      </c>
      <c r="C10" s="296">
        <v>463418</v>
      </c>
      <c r="D10" s="296">
        <v>486296</v>
      </c>
      <c r="E10" s="258">
        <f>mvalloc!E10</f>
        <v>591795</v>
      </c>
    </row>
    <row r="11" spans="2:5" ht="15.75">
      <c r="B11" s="294" t="s">
        <v>676</v>
      </c>
      <c r="C11" s="296">
        <v>5820</v>
      </c>
      <c r="D11" s="296">
        <v>6783</v>
      </c>
      <c r="E11" s="258">
        <f>mvalloc!F10</f>
        <v>6306</v>
      </c>
    </row>
    <row r="12" spans="2:5" ht="15.75">
      <c r="B12" s="166" t="s">
        <v>772</v>
      </c>
      <c r="C12" s="296">
        <v>18030</v>
      </c>
      <c r="D12" s="296">
        <v>15488</v>
      </c>
      <c r="E12" s="258">
        <f>mvalloc!G10</f>
        <v>15935</v>
      </c>
    </row>
    <row r="13" spans="2:5" ht="15.75">
      <c r="B13" s="294" t="s">
        <v>774</v>
      </c>
      <c r="C13" s="296">
        <v>0</v>
      </c>
      <c r="D13" s="296">
        <v>0</v>
      </c>
      <c r="E13" s="258">
        <f>inputOth!E10</f>
        <v>0</v>
      </c>
    </row>
    <row r="14" spans="2:5" ht="15.75">
      <c r="B14" s="294" t="s">
        <v>844</v>
      </c>
      <c r="C14" s="296">
        <v>0</v>
      </c>
      <c r="D14" s="296">
        <v>0</v>
      </c>
      <c r="E14" s="258">
        <f>inputOth!E17</f>
        <v>0</v>
      </c>
    </row>
    <row r="15" spans="2:5" ht="15.75">
      <c r="B15" s="294" t="s">
        <v>845</v>
      </c>
      <c r="C15" s="296">
        <v>0</v>
      </c>
      <c r="D15" s="296">
        <v>0</v>
      </c>
      <c r="E15" s="258">
        <f>inputOth!E18</f>
        <v>0</v>
      </c>
    </row>
    <row r="16" spans="2:5" ht="15.75">
      <c r="B16" s="296" t="s">
        <v>679</v>
      </c>
      <c r="C16" s="296">
        <v>23230</v>
      </c>
      <c r="D16" s="296">
        <v>12000</v>
      </c>
      <c r="E16" s="297">
        <v>12000</v>
      </c>
    </row>
    <row r="17" spans="2:5" ht="15.75">
      <c r="B17" s="296" t="s">
        <v>677</v>
      </c>
      <c r="C17" s="296">
        <v>15603</v>
      </c>
      <c r="D17" s="296">
        <v>8000</v>
      </c>
      <c r="E17" s="297">
        <v>8000</v>
      </c>
    </row>
    <row r="18" spans="2:5" ht="15.75">
      <c r="B18" s="296" t="s">
        <v>211</v>
      </c>
      <c r="C18" s="296">
        <v>400</v>
      </c>
      <c r="D18" s="296">
        <v>0</v>
      </c>
      <c r="E18" s="297">
        <v>0</v>
      </c>
    </row>
    <row r="19" spans="2:5" ht="15.75">
      <c r="B19" s="298" t="s">
        <v>194</v>
      </c>
      <c r="C19" s="296">
        <v>2609</v>
      </c>
      <c r="D19" s="296">
        <v>2500</v>
      </c>
      <c r="E19" s="297">
        <v>2500</v>
      </c>
    </row>
    <row r="20" spans="2:5" ht="15.75">
      <c r="B20" s="298" t="s">
        <v>195</v>
      </c>
      <c r="C20" s="296">
        <v>195118</v>
      </c>
      <c r="D20" s="296">
        <v>190000</v>
      </c>
      <c r="E20" s="297">
        <v>180000</v>
      </c>
    </row>
    <row r="21" spans="2:5" ht="15.75">
      <c r="B21" s="298" t="s">
        <v>196</v>
      </c>
      <c r="C21" s="296">
        <v>18556</v>
      </c>
      <c r="D21" s="296">
        <v>3000</v>
      </c>
      <c r="E21" s="297">
        <v>3000</v>
      </c>
    </row>
    <row r="22" spans="2:5" ht="15.75">
      <c r="B22" s="296" t="s">
        <v>197</v>
      </c>
      <c r="C22" s="296">
        <v>64903</v>
      </c>
      <c r="D22" s="296">
        <v>65000</v>
      </c>
      <c r="E22" s="297">
        <v>65000</v>
      </c>
    </row>
    <row r="23" spans="2:5" ht="15.75">
      <c r="B23" s="296" t="s">
        <v>198</v>
      </c>
      <c r="C23" s="296">
        <v>204713</v>
      </c>
      <c r="D23" s="296">
        <v>126000</v>
      </c>
      <c r="E23" s="297">
        <v>72000</v>
      </c>
    </row>
    <row r="24" spans="2:5" ht="15.75">
      <c r="B24" s="296" t="s">
        <v>199</v>
      </c>
      <c r="C24" s="296">
        <v>27147</v>
      </c>
      <c r="D24" s="296">
        <v>5000</v>
      </c>
      <c r="E24" s="297">
        <v>10000</v>
      </c>
    </row>
    <row r="25" spans="2:5" ht="15.75">
      <c r="B25" s="296" t="s">
        <v>200</v>
      </c>
      <c r="C25" s="296">
        <v>8707</v>
      </c>
      <c r="D25" s="296">
        <v>8000</v>
      </c>
      <c r="E25" s="297">
        <v>6000</v>
      </c>
    </row>
    <row r="26" spans="2:5" ht="15.75">
      <c r="B26" s="296" t="s">
        <v>201</v>
      </c>
      <c r="C26" s="296">
        <v>14580</v>
      </c>
      <c r="D26" s="296">
        <v>10000</v>
      </c>
      <c r="E26" s="297">
        <v>10000</v>
      </c>
    </row>
    <row r="27" spans="2:5" ht="15.75">
      <c r="B27" s="296" t="s">
        <v>202</v>
      </c>
      <c r="C27" s="296">
        <v>12773</v>
      </c>
      <c r="D27" s="296">
        <v>0</v>
      </c>
      <c r="E27" s="297">
        <v>6000</v>
      </c>
    </row>
    <row r="28" spans="2:5" ht="15.75">
      <c r="B28" s="296" t="s">
        <v>98</v>
      </c>
      <c r="C28" s="296">
        <v>70908</v>
      </c>
      <c r="D28" s="296">
        <v>0</v>
      </c>
      <c r="E28" s="297">
        <v>0</v>
      </c>
    </row>
    <row r="29" spans="2:5" ht="15.75">
      <c r="B29" s="296" t="s">
        <v>203</v>
      </c>
      <c r="C29" s="296"/>
      <c r="D29" s="296">
        <v>0</v>
      </c>
      <c r="E29" s="297">
        <v>0</v>
      </c>
    </row>
    <row r="30" spans="2:5" ht="15.75">
      <c r="B30" s="296" t="s">
        <v>204</v>
      </c>
      <c r="C30" s="296">
        <v>179046</v>
      </c>
      <c r="D30" s="296">
        <v>175000</v>
      </c>
      <c r="E30" s="297">
        <v>175000</v>
      </c>
    </row>
    <row r="31" spans="2:5" ht="15.75">
      <c r="B31" s="296" t="s">
        <v>205</v>
      </c>
      <c r="C31" s="296">
        <v>12914</v>
      </c>
      <c r="D31" s="296">
        <v>5000</v>
      </c>
      <c r="E31" s="297">
        <v>5000</v>
      </c>
    </row>
    <row r="32" spans="2:5" ht="15.75">
      <c r="B32" s="296" t="s">
        <v>212</v>
      </c>
      <c r="C32" s="296">
        <v>786</v>
      </c>
      <c r="D32" s="296">
        <v>0</v>
      </c>
      <c r="E32" s="297">
        <v>0</v>
      </c>
    </row>
    <row r="33" spans="2:5" ht="15.75">
      <c r="B33" s="296" t="s">
        <v>207</v>
      </c>
      <c r="C33" s="296">
        <v>4080</v>
      </c>
      <c r="D33" s="296">
        <v>3000</v>
      </c>
      <c r="E33" s="297">
        <v>3000</v>
      </c>
    </row>
    <row r="34" spans="2:5" ht="15.75">
      <c r="B34" s="296" t="s">
        <v>208</v>
      </c>
      <c r="C34" s="296">
        <v>107</v>
      </c>
      <c r="D34" s="296">
        <v>0</v>
      </c>
      <c r="E34" s="297">
        <v>0</v>
      </c>
    </row>
    <row r="35" spans="2:5" ht="15.75">
      <c r="B35" s="296" t="s">
        <v>209</v>
      </c>
      <c r="C35" s="296">
        <v>45000</v>
      </c>
      <c r="D35" s="296">
        <v>0</v>
      </c>
      <c r="E35" s="297">
        <v>0</v>
      </c>
    </row>
    <row r="36" spans="2:5" ht="15.75">
      <c r="B36" s="296" t="s">
        <v>210</v>
      </c>
      <c r="C36" s="296">
        <v>19812</v>
      </c>
      <c r="D36" s="296">
        <v>0</v>
      </c>
      <c r="E36" s="297">
        <v>0</v>
      </c>
    </row>
    <row r="37" spans="2:5" ht="15.75">
      <c r="B37" s="296" t="s">
        <v>206</v>
      </c>
      <c r="C37" s="296">
        <v>0</v>
      </c>
      <c r="D37" s="296">
        <v>20431</v>
      </c>
      <c r="E37" s="297">
        <v>0</v>
      </c>
    </row>
    <row r="38" spans="2:5" ht="15.75">
      <c r="B38" s="296"/>
      <c r="C38" s="296"/>
      <c r="D38" s="296"/>
      <c r="E38" s="297"/>
    </row>
    <row r="39" spans="2:5" ht="15.75">
      <c r="B39" s="296"/>
      <c r="C39" s="296"/>
      <c r="D39" s="296"/>
      <c r="E39" s="297"/>
    </row>
    <row r="40" spans="2:5" ht="15.75">
      <c r="B40" s="296"/>
      <c r="C40" s="296"/>
      <c r="D40" s="296"/>
      <c r="E40" s="297"/>
    </row>
    <row r="41" spans="2:5" ht="15.75">
      <c r="B41" s="296"/>
      <c r="C41" s="296"/>
      <c r="D41" s="296"/>
      <c r="E41" s="297"/>
    </row>
    <row r="42" spans="2:5" ht="15.75">
      <c r="B42" s="296"/>
      <c r="C42" s="296"/>
      <c r="D42" s="296"/>
      <c r="E42" s="297"/>
    </row>
    <row r="43" spans="2:5" ht="15.75">
      <c r="B43" s="296"/>
      <c r="C43" s="296"/>
      <c r="D43" s="296"/>
      <c r="E43" s="297"/>
    </row>
    <row r="44" spans="2:5" ht="15.75">
      <c r="B44" s="296"/>
      <c r="C44" s="296"/>
      <c r="D44" s="296"/>
      <c r="E44" s="297"/>
    </row>
    <row r="45" spans="2:5" ht="15.75">
      <c r="B45" s="296"/>
      <c r="C45" s="296"/>
      <c r="D45" s="296"/>
      <c r="E45" s="297"/>
    </row>
    <row r="46" spans="2:5" ht="15.75">
      <c r="B46" s="296"/>
      <c r="C46" s="296"/>
      <c r="D46" s="296"/>
      <c r="E46" s="297"/>
    </row>
    <row r="47" spans="2:5" ht="15.75">
      <c r="B47" s="296"/>
      <c r="C47" s="296"/>
      <c r="D47" s="296"/>
      <c r="E47" s="297"/>
    </row>
    <row r="48" spans="2:5" ht="15.75">
      <c r="B48" s="296"/>
      <c r="C48" s="296"/>
      <c r="D48" s="296"/>
      <c r="E48" s="297"/>
    </row>
    <row r="49" spans="2:5" ht="15.75">
      <c r="B49" s="296"/>
      <c r="C49" s="296"/>
      <c r="D49" s="296"/>
      <c r="E49" s="297"/>
    </row>
    <row r="50" spans="2:5" ht="15.75">
      <c r="B50" s="296" t="s">
        <v>678</v>
      </c>
      <c r="C50" s="296">
        <v>12540</v>
      </c>
      <c r="D50" s="296">
        <v>9000</v>
      </c>
      <c r="E50" s="297">
        <v>9000</v>
      </c>
    </row>
    <row r="51" spans="2:5" ht="15.75">
      <c r="B51" s="298" t="s">
        <v>680</v>
      </c>
      <c r="C51" s="296">
        <v>34104</v>
      </c>
      <c r="D51" s="296">
        <v>30000</v>
      </c>
      <c r="E51" s="297">
        <v>30000</v>
      </c>
    </row>
    <row r="52" spans="2:5" ht="15.75">
      <c r="B52" s="299" t="s">
        <v>911</v>
      </c>
      <c r="C52" s="296">
        <v>115012</v>
      </c>
      <c r="D52" s="296">
        <v>75000</v>
      </c>
      <c r="E52" s="297">
        <v>75000</v>
      </c>
    </row>
    <row r="53" spans="2:5" ht="15.75">
      <c r="B53" s="299" t="s">
        <v>451</v>
      </c>
      <c r="C53" s="438">
        <f>IF(C54*0.1&lt;C52,"Exceed 10% Rule","")</f>
      </c>
      <c r="D53" s="438">
        <f>IF(D54*0.1&lt;D52,"Exceed 10% Rule","")</f>
      </c>
      <c r="E53" s="327">
        <f>IF(E54*0.1+E122&lt;E52,"Exceed 10% Rule","")</f>
      </c>
    </row>
    <row r="54" spans="2:5" ht="15.75">
      <c r="B54" s="301" t="s">
        <v>681</v>
      </c>
      <c r="C54" s="442">
        <f>SUM(C8:C52)</f>
        <v>7366792</v>
      </c>
      <c r="D54" s="442">
        <f>SUM(D8:D52)</f>
        <v>6356882</v>
      </c>
      <c r="E54" s="347">
        <f>SUM(E9:E52)</f>
        <v>1405536</v>
      </c>
    </row>
    <row r="55" spans="2:5" ht="15.75">
      <c r="B55" s="301" t="s">
        <v>682</v>
      </c>
      <c r="C55" s="442">
        <f>C6+C54</f>
        <v>13281321</v>
      </c>
      <c r="D55" s="442">
        <f>D6+D54</f>
        <v>12283652</v>
      </c>
      <c r="E55" s="347">
        <f>E6+E54</f>
        <v>3430335</v>
      </c>
    </row>
    <row r="56" spans="2:5" ht="15.75">
      <c r="B56" s="66"/>
      <c r="C56" s="199"/>
      <c r="D56" s="199"/>
      <c r="E56" s="199"/>
    </row>
    <row r="57" spans="2:5" ht="15.75">
      <c r="B57" s="742" t="s">
        <v>814</v>
      </c>
      <c r="C57" s="742"/>
      <c r="D57" s="742"/>
      <c r="E57" s="742"/>
    </row>
    <row r="58" spans="2:5" ht="15.75">
      <c r="B58" s="199" t="str">
        <f>inputPrYr!C3</f>
        <v>Montgomery County</v>
      </c>
      <c r="C58" s="199"/>
      <c r="D58" s="199"/>
      <c r="E58" s="279">
        <f>E1</f>
        <v>2015</v>
      </c>
    </row>
    <row r="59" spans="2:5" ht="15.75">
      <c r="B59" s="66"/>
      <c r="C59" s="199"/>
      <c r="D59" s="199"/>
      <c r="E59" s="106"/>
    </row>
    <row r="60" spans="2:5" ht="15.75">
      <c r="B60" s="303" t="s">
        <v>745</v>
      </c>
      <c r="C60" s="304"/>
      <c r="D60" s="304"/>
      <c r="E60" s="304"/>
    </row>
    <row r="61" spans="2:5" ht="15.75">
      <c r="B61" s="66" t="s">
        <v>672</v>
      </c>
      <c r="C61" s="507" t="str">
        <f aca="true" t="shared" si="0" ref="C61:E62">C4</f>
        <v>Prior Year </v>
      </c>
      <c r="D61" s="508" t="str">
        <f t="shared" si="0"/>
        <v>Current Year </v>
      </c>
      <c r="E61" s="506" t="str">
        <f t="shared" si="0"/>
        <v>Proposed Budget </v>
      </c>
    </row>
    <row r="62" spans="2:5" ht="15.75">
      <c r="B62" s="95" t="s">
        <v>684</v>
      </c>
      <c r="C62" s="440" t="str">
        <f t="shared" si="0"/>
        <v>Actual for 2013</v>
      </c>
      <c r="D62" s="440" t="str">
        <f t="shared" si="0"/>
        <v>Estimate for 2014</v>
      </c>
      <c r="E62" s="305" t="str">
        <f t="shared" si="0"/>
        <v>Year for 2015</v>
      </c>
    </row>
    <row r="63" spans="2:5" ht="15.75">
      <c r="B63" s="301" t="s">
        <v>682</v>
      </c>
      <c r="C63" s="439">
        <f>C55</f>
        <v>13281321</v>
      </c>
      <c r="D63" s="439">
        <f>D55</f>
        <v>12283652</v>
      </c>
      <c r="E63" s="258">
        <f>E55</f>
        <v>3430335</v>
      </c>
    </row>
    <row r="64" spans="2:5" ht="15.75">
      <c r="B64" s="294" t="s">
        <v>685</v>
      </c>
      <c r="C64" s="166"/>
      <c r="D64" s="166"/>
      <c r="E64" s="109"/>
    </row>
    <row r="65" spans="2:5" ht="15.75">
      <c r="B65" s="166" t="str">
        <f>'gen-detail'!B7</f>
        <v>County Commissioners         (Dept #1)    </v>
      </c>
      <c r="C65" s="439">
        <f>'gen-detail'!C13</f>
        <v>63900</v>
      </c>
      <c r="D65" s="439">
        <f>'gen-detail'!D13</f>
        <v>63197</v>
      </c>
      <c r="E65" s="258">
        <f>'gen-detail'!E13</f>
        <v>65182</v>
      </c>
    </row>
    <row r="66" spans="2:5" ht="15.75">
      <c r="B66" s="166" t="str">
        <f>'gen-detail'!B14</f>
        <v>County Clerk                     (Dept #2)</v>
      </c>
      <c r="C66" s="439">
        <f>'gen-detail'!C19</f>
        <v>207640</v>
      </c>
      <c r="D66" s="439">
        <f>'gen-detail'!D19</f>
        <v>198951</v>
      </c>
      <c r="E66" s="258">
        <f>'gen-detail'!E19</f>
        <v>198951</v>
      </c>
    </row>
    <row r="67" spans="2:5" ht="15.75">
      <c r="B67" s="166" t="str">
        <f>'gen-detail'!B20</f>
        <v>County Treasurer               (Dept #3)</v>
      </c>
      <c r="C67" s="439">
        <f>'gen-detail'!C25</f>
        <v>212386</v>
      </c>
      <c r="D67" s="439">
        <f>'gen-detail'!D25</f>
        <v>209915</v>
      </c>
      <c r="E67" s="258">
        <f>'gen-detail'!E25</f>
        <v>216077</v>
      </c>
    </row>
    <row r="68" spans="2:5" ht="15.75">
      <c r="B68" s="166" t="str">
        <f>'gen-detail'!B26</f>
        <v>Register of Deeds              (Dept #4)</v>
      </c>
      <c r="C68" s="439">
        <f>'gen-detail'!C31</f>
        <v>130470</v>
      </c>
      <c r="D68" s="439">
        <f>'gen-detail'!D31</f>
        <v>128010</v>
      </c>
      <c r="E68" s="258">
        <f>'gen-detail'!E31</f>
        <v>132010</v>
      </c>
    </row>
    <row r="69" spans="2:5" ht="15.75">
      <c r="B69" s="166" t="str">
        <f>'gen-detail'!B32</f>
        <v>District Court                     (Dept #5)</v>
      </c>
      <c r="C69" s="439">
        <f>'gen-detail'!C37</f>
        <v>359507</v>
      </c>
      <c r="D69" s="439">
        <f>'gen-detail'!D37</f>
        <v>398183</v>
      </c>
      <c r="E69" s="258">
        <f>'gen-detail'!E37</f>
        <v>398183</v>
      </c>
    </row>
    <row r="70" spans="2:5" ht="15.75">
      <c r="B70" s="166" t="str">
        <f>'gen-detail'!B38</f>
        <v>County Coroner                (Dept #6)</v>
      </c>
      <c r="C70" s="439">
        <f>'gen-detail'!C43</f>
        <v>53817</v>
      </c>
      <c r="D70" s="439">
        <f>'gen-detail'!D43</f>
        <v>47142</v>
      </c>
      <c r="E70" s="258">
        <f>'gen-detail'!E43</f>
        <v>47142</v>
      </c>
    </row>
    <row r="71" spans="2:5" ht="15.75">
      <c r="B71" s="166" t="str">
        <f>'gen-detail'!B44</f>
        <v>Building Maintenance         (Dept #7)         </v>
      </c>
      <c r="C71" s="439">
        <f>'gen-detail'!C49</f>
        <v>383445</v>
      </c>
      <c r="D71" s="439">
        <f>'gen-detail'!D49</f>
        <v>334940</v>
      </c>
      <c r="E71" s="258">
        <f>'gen-detail'!E49</f>
        <v>382100</v>
      </c>
    </row>
    <row r="72" spans="2:5" ht="15.75">
      <c r="B72" s="166" t="str">
        <f>'gen-detail'!B50</f>
        <v>County Auditor                 (Dept #8)</v>
      </c>
      <c r="C72" s="439">
        <f>'gen-detail'!C55</f>
        <v>3477</v>
      </c>
      <c r="D72" s="439">
        <f>'gen-detail'!D55</f>
        <v>3512</v>
      </c>
      <c r="E72" s="258">
        <f>'gen-detail'!E55</f>
        <v>3512</v>
      </c>
    </row>
    <row r="73" spans="2:5" ht="15.75">
      <c r="B73" s="166" t="str">
        <f>'gen-detail'!B67</f>
        <v>Compliance Officer            (Dept #9)</v>
      </c>
      <c r="C73" s="439">
        <f>'gen-detail'!C72</f>
        <v>2400</v>
      </c>
      <c r="D73" s="439">
        <f>'gen-detail'!D72</f>
        <v>2400</v>
      </c>
      <c r="E73" s="258">
        <f>'gen-detail'!E72</f>
        <v>2400</v>
      </c>
    </row>
    <row r="74" spans="2:5" ht="15.75">
      <c r="B74" s="166" t="str">
        <f>'gen-detail'!B73</f>
        <v>Law Enforcement - Sheriff   (Dept #10)</v>
      </c>
      <c r="C74" s="439">
        <f>'gen-detail'!C78</f>
        <v>1560221</v>
      </c>
      <c r="D74" s="439">
        <f>'gen-detail'!D78</f>
        <v>1635269</v>
      </c>
      <c r="E74" s="258">
        <f>'gen-detail'!E78</f>
        <v>1711860</v>
      </c>
    </row>
    <row r="75" spans="2:5" ht="15.75">
      <c r="B75" s="166" t="str">
        <f>'gen-detail'!B79</f>
        <v>County Attorney                 (Dept #11)</v>
      </c>
      <c r="C75" s="439">
        <f>'gen-detail'!C84</f>
        <v>440366</v>
      </c>
      <c r="D75" s="439">
        <f>'gen-detail'!D84</f>
        <v>416941</v>
      </c>
      <c r="E75" s="258">
        <f>'gen-detail'!E84</f>
        <v>430150</v>
      </c>
    </row>
    <row r="76" spans="2:5" ht="15.75">
      <c r="B76" s="166" t="str">
        <f>'gen-detail'!B85</f>
        <v>Emergency Preparedness    (Dept #12)</v>
      </c>
      <c r="C76" s="439">
        <f>'gen-detail'!C90</f>
        <v>62544</v>
      </c>
      <c r="D76" s="439">
        <f>'gen-detail'!D90</f>
        <v>65357</v>
      </c>
      <c r="E76" s="258">
        <f>'gen-detail'!E90</f>
        <v>68000</v>
      </c>
    </row>
    <row r="77" spans="2:5" ht="15.75">
      <c r="B77" s="166" t="str">
        <f>'gen-detail'!B91</f>
        <v>GIS                                    (Dept #13)</v>
      </c>
      <c r="C77" s="439">
        <f>'gen-detail'!C96</f>
        <v>105051</v>
      </c>
      <c r="D77" s="439">
        <f>'gen-detail'!D96</f>
        <v>65505</v>
      </c>
      <c r="E77" s="258">
        <f>'gen-detail'!E96</f>
        <v>110477</v>
      </c>
    </row>
    <row r="78" spans="2:5" ht="15.75">
      <c r="B78" s="166" t="str">
        <f>'gen-detail'!B97</f>
        <v>Soil Conservation               (Dept #14)</v>
      </c>
      <c r="C78" s="439">
        <f>'gen-detail'!C102</f>
        <v>26205</v>
      </c>
      <c r="D78" s="439">
        <f>'gen-detail'!D102</f>
        <v>25500</v>
      </c>
      <c r="E78" s="258">
        <f>'gen-detail'!E102</f>
        <v>25500</v>
      </c>
    </row>
    <row r="79" spans="2:5" ht="15.75">
      <c r="B79" s="166" t="str">
        <f>'gen-detail'!B103</f>
        <v>4-H Awards                      (Dept #15)</v>
      </c>
      <c r="C79" s="439">
        <f>'gen-detail'!C108</f>
        <v>3022</v>
      </c>
      <c r="D79" s="439">
        <f>'gen-detail'!D108</f>
        <v>3000</v>
      </c>
      <c r="E79" s="258">
        <f>'gen-detail'!E108</f>
        <v>3000</v>
      </c>
    </row>
    <row r="80" spans="2:5" ht="15.75">
      <c r="B80" s="166" t="str">
        <f>'gen-detail'!B109</f>
        <v>Juvenile Detention              (Dept #16)</v>
      </c>
      <c r="C80" s="439">
        <f>'gen-detail'!C114</f>
        <v>264562</v>
      </c>
      <c r="D80" s="439">
        <f>'gen-detail'!D114</f>
        <v>190633</v>
      </c>
      <c r="E80" s="258">
        <f>'gen-detail'!E114</f>
        <v>190633</v>
      </c>
    </row>
    <row r="81" spans="2:5" ht="15.75">
      <c r="B81" s="166" t="str">
        <f>'gen-detail'!B125</f>
        <v>County Appraiser          (Dept #17)</v>
      </c>
      <c r="C81" s="439">
        <f>'gen-detail'!C132</f>
        <v>414208</v>
      </c>
      <c r="D81" s="439">
        <f>'gen-detail'!D132</f>
        <v>416324</v>
      </c>
      <c r="E81" s="258">
        <f>'gen-detail'!E132</f>
        <v>427795</v>
      </c>
    </row>
    <row r="82" spans="2:5" ht="15.75">
      <c r="B82" s="166" t="str">
        <f>'gen-detail'!B133</f>
        <v>Department of Corrections     (Dept #20)</v>
      </c>
      <c r="C82" s="439">
        <f>'gen-detail'!C138</f>
        <v>1417719</v>
      </c>
      <c r="D82" s="439">
        <f>'gen-detail'!D138</f>
        <v>1442121</v>
      </c>
      <c r="E82" s="258">
        <f>'gen-detail'!E138</f>
        <v>1472352</v>
      </c>
    </row>
    <row r="83" spans="2:5" ht="15.75">
      <c r="B83" s="166" t="str">
        <f>'gen-detail'!B139</f>
        <v>Computer Department          (Dept #21)</v>
      </c>
      <c r="C83" s="439">
        <f>'gen-detail'!C144</f>
        <v>128423</v>
      </c>
      <c r="D83" s="439">
        <f>'gen-detail'!D144</f>
        <v>101269</v>
      </c>
      <c r="E83" s="258">
        <f>'gen-detail'!E144</f>
        <v>101269</v>
      </c>
    </row>
    <row r="84" spans="2:5" ht="15.75">
      <c r="B84" s="166" t="str">
        <f>'gen-detail'!B145</f>
        <v>County Building                    (Dept #22)</v>
      </c>
      <c r="C84" s="439">
        <f>'gen-detail'!C150</f>
        <v>19934</v>
      </c>
      <c r="D84" s="439">
        <f>'gen-detail'!D150</f>
        <v>20000</v>
      </c>
      <c r="E84" s="258">
        <f>'gen-detail'!E150</f>
        <v>20000</v>
      </c>
    </row>
    <row r="85" spans="2:5" ht="15.75">
      <c r="B85" s="166" t="str">
        <f>'gen-detail'!B151</f>
        <v>Indirect Election                 (Dept #23)</v>
      </c>
      <c r="C85" s="439">
        <f>'gen-detail'!C156</f>
        <v>44263</v>
      </c>
      <c r="D85" s="439">
        <f>'gen-detail'!D156</f>
        <v>42997</v>
      </c>
      <c r="E85" s="258">
        <f>'gen-detail'!E156</f>
        <v>43460</v>
      </c>
    </row>
    <row r="86" spans="2:5" ht="15.75">
      <c r="B86" s="166" t="str">
        <f>'gen-detail'!B157</f>
        <v>Direct Election                   (Dept #24)</v>
      </c>
      <c r="C86" s="439">
        <f>'gen-detail'!C162</f>
        <v>46613</v>
      </c>
      <c r="D86" s="439">
        <f>'gen-detail'!D162</f>
        <v>111468</v>
      </c>
      <c r="E86" s="258">
        <f>'gen-detail'!E162</f>
        <v>111468</v>
      </c>
    </row>
    <row r="87" spans="2:5" ht="15.75">
      <c r="B87" s="166" t="str">
        <f>'gen-detail'!B163</f>
        <v>Fair Board                         (Dept #25)</v>
      </c>
      <c r="C87" s="439">
        <f>'gen-detail'!C168</f>
        <v>12578</v>
      </c>
      <c r="D87" s="439">
        <f>'gen-detail'!D168</f>
        <v>12578</v>
      </c>
      <c r="E87" s="258">
        <f>'gen-detail'!E168</f>
        <v>12578</v>
      </c>
    </row>
    <row r="88" spans="2:5" ht="15.75">
      <c r="B88" s="166" t="str">
        <f>'gen-detail'!B169</f>
        <v>Fair Building                      (Dept #26)</v>
      </c>
      <c r="C88" s="439">
        <f>'gen-detail'!C174</f>
        <v>699</v>
      </c>
      <c r="D88" s="439">
        <f>'gen-detail'!D174</f>
        <v>700</v>
      </c>
      <c r="E88" s="258">
        <f>'gen-detail'!E174</f>
        <v>700</v>
      </c>
    </row>
    <row r="89" spans="2:5" ht="15.75">
      <c r="B89" s="166" t="str">
        <f>'gen-detail'!B185</f>
        <v>Historical Collection         (Dept #27)</v>
      </c>
      <c r="C89" s="439">
        <f>'gen-detail'!C190</f>
        <v>18119</v>
      </c>
      <c r="D89" s="439">
        <f>'gen-detail'!D190</f>
        <v>17470</v>
      </c>
      <c r="E89" s="258">
        <f>'gen-detail'!E190</f>
        <v>17470</v>
      </c>
    </row>
    <row r="90" spans="2:5" ht="15.75">
      <c r="B90" s="166" t="str">
        <f>'gen-detail'!B191</f>
        <v>Household Solid Waste     (Dept #29)</v>
      </c>
      <c r="C90" s="439">
        <f>'gen-detail'!C196</f>
        <v>28490</v>
      </c>
      <c r="D90" s="439">
        <f>'gen-detail'!D196</f>
        <v>16744</v>
      </c>
      <c r="E90" s="258">
        <f>'gen-detail'!E196</f>
        <v>16819</v>
      </c>
    </row>
    <row r="91" spans="2:5" ht="15.75">
      <c r="B91" s="166" t="str">
        <f>'gen-detail'!B197</f>
        <v>Environmental Health          (Dept #31)</v>
      </c>
      <c r="C91" s="439">
        <f>'gen-detail'!C202</f>
        <v>99797</v>
      </c>
      <c r="D91" s="439">
        <f>'gen-detail'!D202</f>
        <v>98034</v>
      </c>
      <c r="E91" s="258">
        <f>'gen-detail'!E202</f>
        <v>100464</v>
      </c>
    </row>
    <row r="92" spans="2:5" ht="15.75">
      <c r="B92" s="166" t="str">
        <f>'gen-detail'!B203</f>
        <v>County General Operating    (Dept #32)</v>
      </c>
      <c r="C92" s="439">
        <f>'gen-detail'!C208</f>
        <v>716273</v>
      </c>
      <c r="D92" s="439">
        <f>'gen-detail'!D208</f>
        <v>1000000</v>
      </c>
      <c r="E92" s="258">
        <f>'gen-detail'!E208</f>
        <v>1050000</v>
      </c>
    </row>
    <row r="93" spans="2:5" ht="15.75">
      <c r="B93" s="166" t="str">
        <f>'gen-detail'!B209</f>
        <v>County General Capital Outlay   (Dept #33)</v>
      </c>
      <c r="C93" s="439">
        <f>'gen-detail'!C214</f>
        <v>183238</v>
      </c>
      <c r="D93" s="439">
        <f>'gen-detail'!D214</f>
        <v>400000</v>
      </c>
      <c r="E93" s="258">
        <f>'gen-detail'!E214</f>
        <v>400000</v>
      </c>
    </row>
    <row r="94" spans="2:5" ht="15.75">
      <c r="B94" s="166" t="str">
        <f>'gen-detail'!B215</f>
        <v>Human Resources             (Dept #35)</v>
      </c>
      <c r="C94" s="439">
        <f>'gen-detail'!C220</f>
        <v>38326</v>
      </c>
      <c r="D94" s="439">
        <f>'gen-detail'!D220</f>
        <v>39345</v>
      </c>
      <c r="E94" s="258">
        <f>'gen-detail'!E220</f>
        <v>40612</v>
      </c>
    </row>
    <row r="95" spans="2:5" ht="15.75">
      <c r="B95" s="166" t="str">
        <f>'gen-detail'!B221</f>
        <v>Cessna Inducement Payment  (Dept #39)</v>
      </c>
      <c r="C95" s="439">
        <f>'gen-detail'!C222</f>
        <v>43136</v>
      </c>
      <c r="D95" s="439">
        <f>'gen-detail'!D222</f>
        <v>75000</v>
      </c>
      <c r="E95" s="258">
        <f>'gen-detail'!E222</f>
        <v>75000</v>
      </c>
    </row>
    <row r="96" spans="2:5" ht="15.75">
      <c r="B96" s="166" t="str">
        <f>'gen-detail'!B227</f>
        <v>Auto Tag Payroll                 (Dept #40)</v>
      </c>
      <c r="C96" s="439">
        <f>'gen-detail'!C232</f>
        <v>179046</v>
      </c>
      <c r="D96" s="439">
        <f>'gen-detail'!D232</f>
        <v>175000</v>
      </c>
      <c r="E96" s="258">
        <f>'gen-detail'!E232</f>
        <v>175000</v>
      </c>
    </row>
    <row r="97" spans="2:5" ht="15.75">
      <c r="B97" s="166" t="str">
        <f>'gen-detail'!B233</f>
        <v>Special Funds                    Dept #38)</v>
      </c>
      <c r="C97" s="439">
        <f>'gen-detail'!C238</f>
        <v>0</v>
      </c>
      <c r="D97" s="439">
        <f>'gen-detail'!D238</f>
        <v>2387200</v>
      </c>
      <c r="E97" s="258">
        <f>'gen-detail'!E238</f>
        <v>453200</v>
      </c>
    </row>
    <row r="98" spans="2:5" ht="15.75">
      <c r="B98" s="166" t="str">
        <f>'gen-detail'!B249</f>
        <v>Inmate Housing                  (Dept #32)</v>
      </c>
      <c r="C98" s="439">
        <f>'gen-detail'!C254</f>
        <v>0</v>
      </c>
      <c r="D98" s="439">
        <f>'gen-detail'!D254</f>
        <v>13500</v>
      </c>
      <c r="E98" s="258">
        <f>'gen-detail'!E254</f>
        <v>13500</v>
      </c>
    </row>
    <row r="99" spans="2:5" ht="15.75">
      <c r="B99" s="166" t="str">
        <f>'gen-detail'!B255</f>
        <v>Mail Room                      (Dept #42)</v>
      </c>
      <c r="C99" s="439">
        <f>'gen-detail'!C260</f>
        <v>5215</v>
      </c>
      <c r="D99" s="439">
        <f>'gen-detail'!D260</f>
        <v>5648</v>
      </c>
      <c r="E99" s="258">
        <f>'gen-detail'!E260</f>
        <v>5648</v>
      </c>
    </row>
    <row r="100" spans="2:5" ht="15.75">
      <c r="B100" s="166" t="str">
        <f>'gen-detail'!B261</f>
        <v>Neighborhood Revitalization   (Dept #32)</v>
      </c>
      <c r="C100" s="439">
        <f>'gen-detail'!C266</f>
        <v>79461</v>
      </c>
      <c r="D100" s="439">
        <f>'gen-detail'!D266</f>
        <v>95000</v>
      </c>
      <c r="E100" s="258">
        <f>'gen-detail'!E266</f>
        <v>95000</v>
      </c>
    </row>
    <row r="101" spans="2:5" ht="15.75">
      <c r="B101" s="166">
        <f>'gen-detail'!B267</f>
        <v>0</v>
      </c>
      <c r="C101" s="439">
        <f>'gen-detail'!C272</f>
        <v>0</v>
      </c>
      <c r="D101" s="439">
        <f>'gen-detail'!D272</f>
        <v>0</v>
      </c>
      <c r="E101" s="258">
        <f>'gen-detail'!E272</f>
        <v>0</v>
      </c>
    </row>
    <row r="102" spans="2:5" ht="15.75">
      <c r="B102" s="166">
        <f>'gen-detail'!B273</f>
        <v>0</v>
      </c>
      <c r="C102" s="439">
        <f>'gen-detail'!C276</f>
        <v>0</v>
      </c>
      <c r="D102" s="439">
        <f>'gen-detail'!D276</f>
        <v>0</v>
      </c>
      <c r="E102" s="258">
        <f>'gen-detail'!E276</f>
        <v>0</v>
      </c>
    </row>
    <row r="103" spans="2:5" ht="15.75">
      <c r="B103" s="166">
        <f>'gen-detail'!B277</f>
        <v>0</v>
      </c>
      <c r="C103" s="439">
        <f>'gen-detail'!C282</f>
        <v>0</v>
      </c>
      <c r="D103" s="439">
        <f>'gen-detail'!D282</f>
        <v>0</v>
      </c>
      <c r="E103" s="258">
        <f>'gen-detail'!E282</f>
        <v>0</v>
      </c>
    </row>
    <row r="104" spans="2:5" ht="15.75">
      <c r="B104" s="166">
        <f>'gen-detail'!B283</f>
        <v>0</v>
      </c>
      <c r="C104" s="439">
        <f>'gen-detail'!C288</f>
        <v>0</v>
      </c>
      <c r="D104" s="439">
        <f>'gen-detail'!D288</f>
        <v>0</v>
      </c>
      <c r="E104" s="258">
        <f>'gen-detail'!E288</f>
        <v>0</v>
      </c>
    </row>
    <row r="105" spans="2:5" ht="15.75">
      <c r="B105" s="306" t="s">
        <v>872</v>
      </c>
      <c r="C105" s="450">
        <f>SUM(C65:C104)</f>
        <v>7354551</v>
      </c>
      <c r="D105" s="450">
        <f>SUM(D65:D104)</f>
        <v>10258853</v>
      </c>
      <c r="E105" s="332">
        <f>SUM(E65:E104)</f>
        <v>8617512</v>
      </c>
    </row>
    <row r="106" spans="2:5" ht="15.75">
      <c r="B106" s="308"/>
      <c r="C106" s="296"/>
      <c r="D106" s="296"/>
      <c r="E106" s="309"/>
    </row>
    <row r="107" spans="2:10" ht="15.75">
      <c r="B107" s="310"/>
      <c r="C107" s="296"/>
      <c r="D107" s="296"/>
      <c r="E107" s="297"/>
      <c r="G107" s="752" t="str">
        <f>CONCATENATE("Desired Carryover Into ",E1+1,"")</f>
        <v>Desired Carryover Into 2016</v>
      </c>
      <c r="H107" s="753"/>
      <c r="I107" s="753"/>
      <c r="J107" s="754"/>
    </row>
    <row r="108" spans="2:10" ht="15.75">
      <c r="B108" s="310"/>
      <c r="C108" s="296"/>
      <c r="D108" s="296"/>
      <c r="E108" s="297"/>
      <c r="G108" s="628"/>
      <c r="H108" s="68"/>
      <c r="I108" s="629"/>
      <c r="J108" s="630"/>
    </row>
    <row r="109" spans="2:10" ht="15.75">
      <c r="B109" s="310"/>
      <c r="C109" s="296"/>
      <c r="D109" s="296"/>
      <c r="E109" s="297"/>
      <c r="G109" s="631" t="s">
        <v>461</v>
      </c>
      <c r="H109" s="629"/>
      <c r="I109" s="629"/>
      <c r="J109" s="632">
        <v>0</v>
      </c>
    </row>
    <row r="110" spans="2:10" ht="15.75">
      <c r="B110" s="310"/>
      <c r="C110" s="296"/>
      <c r="D110" s="296"/>
      <c r="E110" s="297"/>
      <c r="G110" s="628" t="s">
        <v>462</v>
      </c>
      <c r="H110" s="68"/>
      <c r="I110" s="68"/>
      <c r="J110" s="633">
        <f>IF(J109=0,"",ROUND((J109+E122-G122)/inputOth!E5*1000,3)-G127)</f>
      </c>
    </row>
    <row r="111" spans="2:10" ht="15.75">
      <c r="B111" s="310"/>
      <c r="C111" s="296"/>
      <c r="D111" s="296"/>
      <c r="E111" s="297"/>
      <c r="G111" s="634" t="str">
        <f>CONCATENATE("",E1," Tot Exp/Non-Appr Must Be:")</f>
        <v>2015 Tot Exp/Non-Appr Must Be:</v>
      </c>
      <c r="H111" s="635"/>
      <c r="I111" s="636"/>
      <c r="J111" s="637">
        <f>IF(J109&gt;0,IF(E119&lt;E55,IF(J109=G122,E119,((J109-G122)*(1-D121))+E55),E119+(J109-G122)),0)</f>
        <v>0</v>
      </c>
    </row>
    <row r="112" spans="2:10" ht="15.75">
      <c r="B112" s="299" t="s">
        <v>910</v>
      </c>
      <c r="C112" s="296"/>
      <c r="D112" s="296"/>
      <c r="E112" s="311">
        <f>Nhood!E6</f>
        <v>1366</v>
      </c>
      <c r="G112" s="638" t="s">
        <v>598</v>
      </c>
      <c r="H112" s="639"/>
      <c r="I112" s="639"/>
      <c r="J112" s="640">
        <f>IF(J109&gt;0,J111-E119,0)</f>
        <v>0</v>
      </c>
    </row>
    <row r="113" spans="2:5" ht="15.75">
      <c r="B113" s="299" t="s">
        <v>911</v>
      </c>
      <c r="C113" s="468"/>
      <c r="D113" s="468"/>
      <c r="E113" s="93"/>
    </row>
    <row r="114" spans="2:10" ht="15.75">
      <c r="B114" s="299" t="s">
        <v>452</v>
      </c>
      <c r="C114" s="438">
        <f>IF(C115*0.1&lt;C113,"Exceed 10% Rule","")</f>
      </c>
      <c r="D114" s="438">
        <f>IF(D115*0.1&lt;D113,"Exceed 10% Rule","")</f>
      </c>
      <c r="E114" s="327">
        <f>IF(E115*0.1&lt;E113,"Exceed 10% Rule","")</f>
      </c>
      <c r="G114" s="739" t="str">
        <f>CONCATENATE("Projected Carryover Into ",E1+1,"")</f>
        <v>Projected Carryover Into 2016</v>
      </c>
      <c r="H114" s="740"/>
      <c r="I114" s="740"/>
      <c r="J114" s="741"/>
    </row>
    <row r="115" spans="2:10" ht="15.75">
      <c r="B115" s="301" t="s">
        <v>686</v>
      </c>
      <c r="C115" s="442">
        <f>SUM(C105:C113)</f>
        <v>7354551</v>
      </c>
      <c r="D115" s="442">
        <f>SUM(D105:D113)</f>
        <v>10258853</v>
      </c>
      <c r="E115" s="347">
        <f>SUM(E105:E113)</f>
        <v>8618878</v>
      </c>
      <c r="G115" s="484"/>
      <c r="H115" s="483"/>
      <c r="I115" s="483"/>
      <c r="J115" s="485"/>
    </row>
    <row r="116" spans="2:10" ht="15.75">
      <c r="B116" s="152" t="s">
        <v>790</v>
      </c>
      <c r="C116" s="437">
        <f>C55-C115</f>
        <v>5926770</v>
      </c>
      <c r="D116" s="437">
        <f>D55-D115</f>
        <v>2024799</v>
      </c>
      <c r="E116" s="194" t="s">
        <v>660</v>
      </c>
      <c r="G116" s="486">
        <f>D116</f>
        <v>2024799</v>
      </c>
      <c r="H116" s="487" t="str">
        <f>CONCATENATE("",E1-1," Ending Cash Balance (est.)")</f>
        <v>2014 Ending Cash Balance (est.)</v>
      </c>
      <c r="I116" s="488"/>
      <c r="J116" s="485"/>
    </row>
    <row r="117" spans="2:10" ht="15.75">
      <c r="B117" s="280" t="str">
        <f>CONCATENATE("",$E$1-2,"/",$E$1-1," Budget Authority Amount:")</f>
        <v>2013/2014 Budget Authority Amount:</v>
      </c>
      <c r="C117" s="272">
        <f>inputOth!B29</f>
        <v>9215158</v>
      </c>
      <c r="D117" s="312">
        <f>inputPrYr!D16</f>
        <v>10258853</v>
      </c>
      <c r="E117" s="194" t="s">
        <v>660</v>
      </c>
      <c r="F117" s="313"/>
      <c r="G117" s="486">
        <f>E54</f>
        <v>1405536</v>
      </c>
      <c r="H117" s="489" t="str">
        <f>CONCATENATE("",E1," Non-AV Receipts (est.)")</f>
        <v>2015 Non-AV Receipts (est.)</v>
      </c>
      <c r="I117" s="488"/>
      <c r="J117" s="485"/>
    </row>
    <row r="118" spans="2:11" ht="15.75">
      <c r="B118" s="280"/>
      <c r="C118" s="745" t="s">
        <v>453</v>
      </c>
      <c r="D118" s="746"/>
      <c r="E118" s="93"/>
      <c r="F118" s="481">
        <f>IF(E115/0.95-E115&lt;E118,"Exceeds 5%","")</f>
      </c>
      <c r="G118" s="490">
        <f>IF(E121&gt;0,E120,E122)</f>
        <v>5188543</v>
      </c>
      <c r="H118" s="489" t="str">
        <f>CONCATENATE("",E1," Ad Valorem Tax (est.)")</f>
        <v>2015 Ad Valorem Tax (est.)</v>
      </c>
      <c r="I118" s="488"/>
      <c r="J118" s="485"/>
      <c r="K118" s="680" t="str">
        <f>IF(G118=E122,"","Note: Does not include Delinquent Taxes")</f>
        <v>Note: Does not include Delinquent Taxes</v>
      </c>
    </row>
    <row r="119" spans="2:10" ht="15.75">
      <c r="B119" s="475" t="str">
        <f>CONCATENATE(C133,"     ",D133)</f>
        <v>     </v>
      </c>
      <c r="C119" s="747" t="s">
        <v>454</v>
      </c>
      <c r="D119" s="748"/>
      <c r="E119" s="258">
        <f>E115+E118</f>
        <v>8618878</v>
      </c>
      <c r="G119" s="486">
        <f>SUM(G116:G118)</f>
        <v>8618878</v>
      </c>
      <c r="H119" s="489" t="str">
        <f>CONCATENATE("Total ",E1," Resources Available")</f>
        <v>Total 2015 Resources Available</v>
      </c>
      <c r="I119" s="488"/>
      <c r="J119" s="485"/>
    </row>
    <row r="120" spans="2:10" ht="15.75">
      <c r="B120" s="475" t="str">
        <f>CONCATENATE(C134,"     ",D134)</f>
        <v>     </v>
      </c>
      <c r="C120" s="314"/>
      <c r="D120" s="106" t="s">
        <v>687</v>
      </c>
      <c r="E120" s="97">
        <f>IF(E119-E55&gt;0,E119-E55,0)</f>
        <v>5188543</v>
      </c>
      <c r="G120" s="491"/>
      <c r="H120" s="489"/>
      <c r="I120" s="489"/>
      <c r="J120" s="485"/>
    </row>
    <row r="121" spans="2:10" ht="15.75">
      <c r="B121" s="315"/>
      <c r="C121" s="457" t="s">
        <v>455</v>
      </c>
      <c r="D121" s="683">
        <f>inputOth!$E$22</f>
        <v>0.07</v>
      </c>
      <c r="E121" s="258">
        <f>IF(D121&gt;0,(E120*D121),0)</f>
        <v>363198.01</v>
      </c>
      <c r="G121" s="490">
        <f>C115*0.05+C115</f>
        <v>7722278.55</v>
      </c>
      <c r="H121" s="489" t="str">
        <f>CONCATENATE("Less ",E1-2," Expenditures + 5%")</f>
        <v>Less 2013 Expenditures + 5%</v>
      </c>
      <c r="I121" s="488"/>
      <c r="J121" s="485"/>
    </row>
    <row r="122" spans="2:10" ht="15.75">
      <c r="B122" s="66"/>
      <c r="C122" s="743" t="str">
        <f>CONCATENATE("Amount of  ",$E$1-1," Ad Valorem Tax")</f>
        <v>Amount of  2014 Ad Valorem Tax</v>
      </c>
      <c r="D122" s="744"/>
      <c r="E122" s="332">
        <f>E120+E121</f>
        <v>5551741.01</v>
      </c>
      <c r="G122" s="495">
        <f>G119-G121</f>
        <v>896599.4500000002</v>
      </c>
      <c r="H122" s="492" t="str">
        <f>CONCATENATE("Projected ",E1," Carryover (est.)")</f>
        <v>Projected 2015 Carryover (est.)</v>
      </c>
      <c r="I122" s="493"/>
      <c r="J122" s="494"/>
    </row>
    <row r="123" spans="2:10" ht="15.75">
      <c r="B123" s="66"/>
      <c r="C123" s="66"/>
      <c r="D123" s="66"/>
      <c r="E123" s="66"/>
      <c r="G123" s="482"/>
      <c r="H123" s="482"/>
      <c r="I123" s="482"/>
      <c r="J123" s="482"/>
    </row>
    <row r="124" spans="2:10" ht="15.75">
      <c r="B124" s="742" t="s">
        <v>815</v>
      </c>
      <c r="C124" s="742"/>
      <c r="D124" s="742"/>
      <c r="E124" s="742"/>
      <c r="G124" s="749" t="s">
        <v>599</v>
      </c>
      <c r="H124" s="750"/>
      <c r="I124" s="750"/>
      <c r="J124" s="751"/>
    </row>
    <row r="125" spans="7:10" ht="15.75">
      <c r="G125" s="652"/>
      <c r="H125" s="644"/>
      <c r="I125" s="653"/>
      <c r="J125" s="654"/>
    </row>
    <row r="126" spans="7:10" ht="15.75">
      <c r="G126" s="655">
        <f>summ!H16</f>
        <v>19.344</v>
      </c>
      <c r="H126" s="644" t="str">
        <f>CONCATENATE("",E1," Fund Mill Rate")</f>
        <v>2015 Fund Mill Rate</v>
      </c>
      <c r="I126" s="653"/>
      <c r="J126" s="654"/>
    </row>
    <row r="127" spans="7:10" ht="15.75">
      <c r="G127" s="656">
        <f>summ!E16</f>
        <v>18.176</v>
      </c>
      <c r="H127" s="644" t="str">
        <f>CONCATENATE("",E1-1," Fund Mill Rate")</f>
        <v>2014 Fund Mill Rate</v>
      </c>
      <c r="I127" s="653"/>
      <c r="J127" s="654"/>
    </row>
    <row r="128" spans="7:10" ht="15.75">
      <c r="G128" s="657">
        <f>summ!H52</f>
        <v>42.268</v>
      </c>
      <c r="H128" s="644" t="str">
        <f>CONCATENATE("Total ",E1," Mill Rate")</f>
        <v>Total 2015 Mill Rate</v>
      </c>
      <c r="I128" s="653"/>
      <c r="J128" s="654"/>
    </row>
    <row r="129" spans="7:10" ht="15.75">
      <c r="G129" s="656">
        <f>summ!E52</f>
        <v>40.64399999999999</v>
      </c>
      <c r="H129" s="658" t="str">
        <f>CONCATENATE("Total ",E1-1," Mill Rate")</f>
        <v>Total 2014 Mill Rate</v>
      </c>
      <c r="I129" s="659"/>
      <c r="J129" s="660"/>
    </row>
    <row r="130" spans="7:10" ht="15.75">
      <c r="G130" s="671"/>
      <c r="H130" s="496"/>
      <c r="I130" s="670"/>
      <c r="J130" s="672"/>
    </row>
    <row r="131" spans="7:9" ht="15.75">
      <c r="G131" s="696" t="s">
        <v>53</v>
      </c>
      <c r="H131" s="695"/>
      <c r="I131" s="694" t="str">
        <f>cert!F60</f>
        <v>Yes</v>
      </c>
    </row>
    <row r="133" spans="3:4" ht="15.75" hidden="1">
      <c r="C133" s="52">
        <f>IF(C115&gt;C117,"See Tab A","")</f>
      </c>
      <c r="D133" s="52">
        <f>IF(D115&gt;D117,"See Tab C","")</f>
      </c>
    </row>
    <row r="134" spans="3:4" ht="15.75" hidden="1">
      <c r="C134" s="52">
        <f>IF(C116&lt;0,"See Tab B","")</f>
      </c>
      <c r="D134" s="52">
        <f>IF(D116&lt;0,"See Tab D","")</f>
      </c>
    </row>
  </sheetData>
  <sheetProtection/>
  <mergeCells count="8">
    <mergeCell ref="G114:J114"/>
    <mergeCell ref="B124:E124"/>
    <mergeCell ref="B57:E57"/>
    <mergeCell ref="C122:D122"/>
    <mergeCell ref="C118:D118"/>
    <mergeCell ref="C119:D119"/>
    <mergeCell ref="G124:J124"/>
    <mergeCell ref="G107:J107"/>
  </mergeCells>
  <conditionalFormatting sqref="E118">
    <cfRule type="cellIs" priority="2" dxfId="309" operator="greaterThan" stopIfTrue="1">
      <formula>$E$115/0.95-$E$115</formula>
    </cfRule>
  </conditionalFormatting>
  <conditionalFormatting sqref="E113">
    <cfRule type="cellIs" priority="3" dxfId="309" operator="greaterThan" stopIfTrue="1">
      <formula>$E$115*0.1</formula>
    </cfRule>
  </conditionalFormatting>
  <conditionalFormatting sqref="E52">
    <cfRule type="cellIs" priority="4" dxfId="309" operator="greaterThan" stopIfTrue="1">
      <formula>$E$54*0.1+E122</formula>
    </cfRule>
  </conditionalFormatting>
  <conditionalFormatting sqref="D52">
    <cfRule type="cellIs" priority="5" dxfId="2" operator="greaterThan" stopIfTrue="1">
      <formula>$D$54*0.1</formula>
    </cfRule>
  </conditionalFormatting>
  <conditionalFormatting sqref="C52">
    <cfRule type="cellIs" priority="6" dxfId="2" operator="greaterThan" stopIfTrue="1">
      <formula>$C$54*0.1</formula>
    </cfRule>
  </conditionalFormatting>
  <conditionalFormatting sqref="C116">
    <cfRule type="cellIs" priority="7" dxfId="2" operator="lessThan" stopIfTrue="1">
      <formula>0</formula>
    </cfRule>
  </conditionalFormatting>
  <conditionalFormatting sqref="D113">
    <cfRule type="cellIs" priority="8" dxfId="2" operator="greaterThan" stopIfTrue="1">
      <formula>$D$115*0.1</formula>
    </cfRule>
  </conditionalFormatting>
  <conditionalFormatting sqref="C113">
    <cfRule type="cellIs" priority="9" dxfId="2" operator="greaterThan" stopIfTrue="1">
      <formula>$C$115*0.1</formula>
    </cfRule>
  </conditionalFormatting>
  <conditionalFormatting sqref="C115">
    <cfRule type="cellIs" priority="10" dxfId="2" operator="greaterThan" stopIfTrue="1">
      <formula>$C$117</formula>
    </cfRule>
  </conditionalFormatting>
  <conditionalFormatting sqref="D115">
    <cfRule type="cellIs" priority="11" dxfId="2" operator="greaterThan" stopIfTrue="1">
      <formula>$D$117</formula>
    </cfRule>
  </conditionalFormatting>
  <conditionalFormatting sqref="D116">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7"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B1:E405"/>
  <sheetViews>
    <sheetView zoomScalePageLayoutView="0" workbookViewId="0" topLeftCell="A46">
      <selection activeCell="B49" sqref="B49"/>
    </sheetView>
  </sheetViews>
  <sheetFormatPr defaultColWidth="8.796875" defaultRowHeight="15"/>
  <cols>
    <col min="1" max="1" width="2.3984375" style="52" customWidth="1"/>
    <col min="2" max="2" width="30.796875" style="52" customWidth="1"/>
    <col min="3" max="5" width="15.796875" style="52" customWidth="1"/>
    <col min="6" max="16384" width="8.8984375" style="52" customWidth="1"/>
  </cols>
  <sheetData>
    <row r="1" spans="2:5" ht="15.75">
      <c r="B1" s="199" t="str">
        <f>inputPrYr!C3</f>
        <v>Montgomery County</v>
      </c>
      <c r="C1" s="66"/>
      <c r="D1" s="185"/>
      <c r="E1" s="66">
        <f>inputPrYr!C5</f>
        <v>2015</v>
      </c>
    </row>
    <row r="2" spans="2:5" ht="15.75">
      <c r="B2" s="66"/>
      <c r="C2" s="66"/>
      <c r="D2" s="66"/>
      <c r="E2" s="185"/>
    </row>
    <row r="3" spans="2:5" ht="15.75">
      <c r="B3" s="208" t="s">
        <v>746</v>
      </c>
      <c r="C3" s="304"/>
      <c r="D3" s="304"/>
      <c r="E3" s="304"/>
    </row>
    <row r="4" spans="2:5" ht="15.75">
      <c r="B4" s="185" t="s">
        <v>672</v>
      </c>
      <c r="C4" s="334" t="s">
        <v>595</v>
      </c>
      <c r="D4" s="148" t="s">
        <v>596</v>
      </c>
      <c r="E4" s="148" t="s">
        <v>597</v>
      </c>
    </row>
    <row r="5" spans="2:5" ht="15.75">
      <c r="B5" s="459" t="s">
        <v>457</v>
      </c>
      <c r="C5" s="305" t="str">
        <f>CONCATENATE("Actual for ",E1-2,"")</f>
        <v>Actual for 2013</v>
      </c>
      <c r="D5" s="305" t="str">
        <f>CONCATENATE("Estimate for ",E1-1,"")</f>
        <v>Estimate for 2014</v>
      </c>
      <c r="E5" s="305" t="str">
        <f>CONCATENATE("Year for ",E1,"")</f>
        <v>Year for 2015</v>
      </c>
    </row>
    <row r="6" spans="2:5" ht="15.75">
      <c r="B6" s="255" t="s">
        <v>685</v>
      </c>
      <c r="C6" s="109"/>
      <c r="D6" s="109"/>
      <c r="E6" s="109"/>
    </row>
    <row r="7" spans="2:5" ht="15.75">
      <c r="B7" s="335" t="s">
        <v>63</v>
      </c>
      <c r="C7" s="109"/>
      <c r="D7" s="109"/>
      <c r="E7" s="109"/>
    </row>
    <row r="8" spans="2:5" ht="15.75">
      <c r="B8" s="336" t="s">
        <v>690</v>
      </c>
      <c r="C8" s="297">
        <v>58450</v>
      </c>
      <c r="D8" s="297">
        <v>56703</v>
      </c>
      <c r="E8" s="297">
        <v>58688</v>
      </c>
    </row>
    <row r="9" spans="2:5" ht="15.75">
      <c r="B9" s="336" t="s">
        <v>691</v>
      </c>
      <c r="C9" s="297">
        <v>5209</v>
      </c>
      <c r="D9" s="297">
        <v>6494</v>
      </c>
      <c r="E9" s="297">
        <v>6494</v>
      </c>
    </row>
    <row r="10" spans="2:5" ht="15.75">
      <c r="B10" s="336" t="s">
        <v>692</v>
      </c>
      <c r="C10" s="297">
        <v>241</v>
      </c>
      <c r="D10" s="297"/>
      <c r="E10" s="297"/>
    </row>
    <row r="11" spans="2:5" ht="15.75">
      <c r="B11" s="336" t="s">
        <v>693</v>
      </c>
      <c r="C11" s="297"/>
      <c r="D11" s="297"/>
      <c r="E11" s="297"/>
    </row>
    <row r="12" spans="2:5" ht="15.75">
      <c r="B12" s="92"/>
      <c r="C12" s="297"/>
      <c r="D12" s="297"/>
      <c r="E12" s="297"/>
    </row>
    <row r="13" spans="2:5" ht="15.75">
      <c r="B13" s="185" t="s">
        <v>644</v>
      </c>
      <c r="C13" s="337">
        <f>SUM(C8:C12)</f>
        <v>63900</v>
      </c>
      <c r="D13" s="337">
        <f>SUM(D8:D12)</f>
        <v>63197</v>
      </c>
      <c r="E13" s="337">
        <f>SUM(E8:E12)</f>
        <v>65182</v>
      </c>
    </row>
    <row r="14" spans="2:5" ht="15.75">
      <c r="B14" s="335" t="s">
        <v>60</v>
      </c>
      <c r="C14" s="109"/>
      <c r="D14" s="109"/>
      <c r="E14" s="109"/>
    </row>
    <row r="15" spans="2:5" ht="15.75">
      <c r="B15" s="336" t="s">
        <v>690</v>
      </c>
      <c r="C15" s="297">
        <v>198968</v>
      </c>
      <c r="D15" s="297">
        <v>190190</v>
      </c>
      <c r="E15" s="297">
        <v>190190</v>
      </c>
    </row>
    <row r="16" spans="2:5" ht="15.75">
      <c r="B16" s="336" t="s">
        <v>691</v>
      </c>
      <c r="C16" s="297">
        <v>4223</v>
      </c>
      <c r="D16" s="297">
        <v>4912</v>
      </c>
      <c r="E16" s="297">
        <v>4912</v>
      </c>
    </row>
    <row r="17" spans="2:5" ht="15.75">
      <c r="B17" s="336" t="s">
        <v>692</v>
      </c>
      <c r="C17" s="297">
        <v>4449</v>
      </c>
      <c r="D17" s="297">
        <v>3849</v>
      </c>
      <c r="E17" s="297">
        <v>3849</v>
      </c>
    </row>
    <row r="18" spans="2:5" ht="15.75">
      <c r="B18" s="336" t="s">
        <v>693</v>
      </c>
      <c r="C18" s="297"/>
      <c r="D18" s="297"/>
      <c r="E18" s="297"/>
    </row>
    <row r="19" spans="2:5" ht="15.75">
      <c r="B19" s="185" t="s">
        <v>644</v>
      </c>
      <c r="C19" s="337">
        <f>SUM(C15:C18)</f>
        <v>207640</v>
      </c>
      <c r="D19" s="337">
        <f>SUM(D15:D18)</f>
        <v>198951</v>
      </c>
      <c r="E19" s="337">
        <f>SUM(E15:E18)</f>
        <v>198951</v>
      </c>
    </row>
    <row r="20" spans="2:5" ht="15.75">
      <c r="B20" s="335" t="s">
        <v>61</v>
      </c>
      <c r="C20" s="109"/>
      <c r="D20" s="109"/>
      <c r="E20" s="109"/>
    </row>
    <row r="21" spans="2:5" ht="15.75">
      <c r="B21" s="336" t="s">
        <v>690</v>
      </c>
      <c r="C21" s="297">
        <v>177044</v>
      </c>
      <c r="D21" s="297">
        <v>176069</v>
      </c>
      <c r="E21" s="297">
        <v>182231</v>
      </c>
    </row>
    <row r="22" spans="2:5" ht="15.75">
      <c r="B22" s="336" t="s">
        <v>691</v>
      </c>
      <c r="C22" s="297">
        <v>20852</v>
      </c>
      <c r="D22" s="297">
        <v>22523</v>
      </c>
      <c r="E22" s="297">
        <v>22523</v>
      </c>
    </row>
    <row r="23" spans="2:5" ht="15.75">
      <c r="B23" s="336" t="s">
        <v>692</v>
      </c>
      <c r="C23" s="297">
        <v>14490</v>
      </c>
      <c r="D23" s="297">
        <v>11323</v>
      </c>
      <c r="E23" s="297">
        <v>11323</v>
      </c>
    </row>
    <row r="24" spans="2:5" ht="15.75">
      <c r="B24" s="336" t="s">
        <v>693</v>
      </c>
      <c r="C24" s="297"/>
      <c r="D24" s="297"/>
      <c r="E24" s="297"/>
    </row>
    <row r="25" spans="2:5" ht="15.75">
      <c r="B25" s="185" t="s">
        <v>644</v>
      </c>
      <c r="C25" s="337">
        <f>SUM(C21:C24)</f>
        <v>212386</v>
      </c>
      <c r="D25" s="337">
        <f>SUM(D21:D24)</f>
        <v>209915</v>
      </c>
      <c r="E25" s="337">
        <f>SUM(E21:E24)</f>
        <v>216077</v>
      </c>
    </row>
    <row r="26" spans="2:5" ht="15.75">
      <c r="B26" s="335" t="s">
        <v>62</v>
      </c>
      <c r="C26" s="109"/>
      <c r="D26" s="109"/>
      <c r="E26" s="109"/>
    </row>
    <row r="27" spans="2:5" ht="15.75">
      <c r="B27" s="336" t="s">
        <v>690</v>
      </c>
      <c r="C27" s="297">
        <v>124475</v>
      </c>
      <c r="D27" s="297">
        <v>120604</v>
      </c>
      <c r="E27" s="297">
        <v>124604</v>
      </c>
    </row>
    <row r="28" spans="2:5" ht="15.75">
      <c r="B28" s="336" t="s">
        <v>691</v>
      </c>
      <c r="C28" s="297">
        <v>5436</v>
      </c>
      <c r="D28" s="297">
        <v>5830</v>
      </c>
      <c r="E28" s="297">
        <v>5830</v>
      </c>
    </row>
    <row r="29" spans="2:5" ht="15.75">
      <c r="B29" s="336" t="s">
        <v>692</v>
      </c>
      <c r="C29" s="297">
        <v>559</v>
      </c>
      <c r="D29" s="297">
        <v>1576</v>
      </c>
      <c r="E29" s="297">
        <v>1576</v>
      </c>
    </row>
    <row r="30" spans="2:5" ht="15.75">
      <c r="B30" s="336" t="s">
        <v>693</v>
      </c>
      <c r="C30" s="297"/>
      <c r="D30" s="297"/>
      <c r="E30" s="297"/>
    </row>
    <row r="31" spans="2:5" ht="15.75">
      <c r="B31" s="185" t="s">
        <v>644</v>
      </c>
      <c r="C31" s="337">
        <f>SUM(C27:C30)</f>
        <v>130470</v>
      </c>
      <c r="D31" s="337">
        <f>SUM(D27:D30)</f>
        <v>128010</v>
      </c>
      <c r="E31" s="337">
        <f>SUM(E27:E30)</f>
        <v>132010</v>
      </c>
    </row>
    <row r="32" spans="2:5" ht="15.75">
      <c r="B32" s="335" t="s">
        <v>64</v>
      </c>
      <c r="C32" s="109"/>
      <c r="D32" s="109"/>
      <c r="E32" s="109"/>
    </row>
    <row r="33" spans="2:5" ht="15.75">
      <c r="B33" s="336" t="s">
        <v>690</v>
      </c>
      <c r="C33" s="297">
        <v>318371</v>
      </c>
      <c r="D33" s="297">
        <v>0</v>
      </c>
      <c r="E33" s="297">
        <v>0</v>
      </c>
    </row>
    <row r="34" spans="2:5" ht="15.75">
      <c r="B34" s="336" t="s">
        <v>691</v>
      </c>
      <c r="C34" s="297">
        <v>41136</v>
      </c>
      <c r="D34" s="297">
        <v>372073</v>
      </c>
      <c r="E34" s="297">
        <v>372073</v>
      </c>
    </row>
    <row r="35" spans="2:5" ht="15.75">
      <c r="B35" s="336" t="s">
        <v>692</v>
      </c>
      <c r="C35" s="297">
        <v>0</v>
      </c>
      <c r="D35" s="297">
        <v>26110</v>
      </c>
      <c r="E35" s="297">
        <v>26110</v>
      </c>
    </row>
    <row r="36" spans="2:5" ht="15.75">
      <c r="B36" s="298" t="s">
        <v>693</v>
      </c>
      <c r="C36" s="297">
        <v>0</v>
      </c>
      <c r="D36" s="297"/>
      <c r="E36" s="297"/>
    </row>
    <row r="37" spans="2:5" ht="15.75">
      <c r="B37" s="185" t="s">
        <v>644</v>
      </c>
      <c r="C37" s="337">
        <f>SUM(C33:C36)</f>
        <v>359507</v>
      </c>
      <c r="D37" s="337">
        <f>SUM(D33:D36)</f>
        <v>398183</v>
      </c>
      <c r="E37" s="337">
        <f>SUM(E33:E36)</f>
        <v>398183</v>
      </c>
    </row>
    <row r="38" spans="2:5" ht="15.75">
      <c r="B38" s="335" t="s">
        <v>66</v>
      </c>
      <c r="C38" s="109"/>
      <c r="D38" s="109"/>
      <c r="E38" s="109"/>
    </row>
    <row r="39" spans="2:5" ht="15.75">
      <c r="B39" s="336" t="s">
        <v>690</v>
      </c>
      <c r="C39" s="297">
        <v>2342</v>
      </c>
      <c r="D39" s="297">
        <v>2342</v>
      </c>
      <c r="E39" s="297">
        <v>2342</v>
      </c>
    </row>
    <row r="40" spans="2:5" ht="15.75">
      <c r="B40" s="336" t="s">
        <v>691</v>
      </c>
      <c r="C40" s="297">
        <v>51475</v>
      </c>
      <c r="D40" s="297">
        <v>44800</v>
      </c>
      <c r="E40" s="297">
        <v>44800</v>
      </c>
    </row>
    <row r="41" spans="2:5" ht="15.75">
      <c r="B41" s="336" t="s">
        <v>692</v>
      </c>
      <c r="C41" s="297">
        <v>0</v>
      </c>
      <c r="D41" s="297"/>
      <c r="E41" s="297">
        <v>0</v>
      </c>
    </row>
    <row r="42" spans="2:5" ht="15.75">
      <c r="B42" s="336" t="s">
        <v>693</v>
      </c>
      <c r="C42" s="297">
        <v>0</v>
      </c>
      <c r="D42" s="297"/>
      <c r="E42" s="297"/>
    </row>
    <row r="43" spans="2:5" ht="15.75">
      <c r="B43" s="185" t="s">
        <v>644</v>
      </c>
      <c r="C43" s="337">
        <f>SUM(C39:C42)</f>
        <v>53817</v>
      </c>
      <c r="D43" s="337">
        <f>SUM(D39:D42)</f>
        <v>47142</v>
      </c>
      <c r="E43" s="337">
        <f>SUM(E39:E42)</f>
        <v>47142</v>
      </c>
    </row>
    <row r="44" spans="2:5" ht="15.75">
      <c r="B44" s="335" t="s">
        <v>65</v>
      </c>
      <c r="C44" s="109"/>
      <c r="D44" s="109"/>
      <c r="E44" s="109"/>
    </row>
    <row r="45" spans="2:5" ht="15.75">
      <c r="B45" s="336" t="s">
        <v>690</v>
      </c>
      <c r="C45" s="297">
        <v>112883</v>
      </c>
      <c r="D45" s="297">
        <v>104720</v>
      </c>
      <c r="E45" s="297">
        <v>106880</v>
      </c>
    </row>
    <row r="46" spans="2:5" ht="15.75">
      <c r="B46" s="336" t="s">
        <v>691</v>
      </c>
      <c r="C46" s="297">
        <v>187385</v>
      </c>
      <c r="D46" s="297">
        <v>212524</v>
      </c>
      <c r="E46" s="297">
        <v>212524</v>
      </c>
    </row>
    <row r="47" spans="2:5" ht="15.75">
      <c r="B47" s="336" t="s">
        <v>692</v>
      </c>
      <c r="C47" s="297">
        <v>33177</v>
      </c>
      <c r="D47" s="297">
        <v>17696</v>
      </c>
      <c r="E47" s="297">
        <v>17696</v>
      </c>
    </row>
    <row r="48" spans="2:5" ht="15.75">
      <c r="B48" s="336" t="s">
        <v>693</v>
      </c>
      <c r="C48" s="297">
        <v>50000</v>
      </c>
      <c r="D48" s="297"/>
      <c r="E48" s="297">
        <v>45000</v>
      </c>
    </row>
    <row r="49" spans="2:5" ht="15.75">
      <c r="B49" s="185" t="s">
        <v>644</v>
      </c>
      <c r="C49" s="337">
        <f>SUM(C45:C48)</f>
        <v>383445</v>
      </c>
      <c r="D49" s="337">
        <f>SUM(D45:D48)</f>
        <v>334940</v>
      </c>
      <c r="E49" s="337">
        <f>SUM(E45:E48)</f>
        <v>382100</v>
      </c>
    </row>
    <row r="50" spans="2:5" ht="15.75">
      <c r="B50" s="335" t="s">
        <v>67</v>
      </c>
      <c r="C50" s="109"/>
      <c r="D50" s="109"/>
      <c r="E50" s="109"/>
    </row>
    <row r="51" spans="2:5" ht="15.75">
      <c r="B51" s="336" t="s">
        <v>690</v>
      </c>
      <c r="C51" s="297">
        <v>3000</v>
      </c>
      <c r="D51" s="297">
        <v>3000</v>
      </c>
      <c r="E51" s="297">
        <v>3000</v>
      </c>
    </row>
    <row r="52" spans="2:5" ht="15.75">
      <c r="B52" s="336" t="s">
        <v>691</v>
      </c>
      <c r="C52" s="297">
        <v>477</v>
      </c>
      <c r="D52" s="297">
        <v>512</v>
      </c>
      <c r="E52" s="297">
        <v>512</v>
      </c>
    </row>
    <row r="53" spans="2:5" ht="15.75">
      <c r="B53" s="336" t="s">
        <v>692</v>
      </c>
      <c r="C53" s="297"/>
      <c r="D53" s="297"/>
      <c r="E53" s="297"/>
    </row>
    <row r="54" spans="2:5" ht="15.75">
      <c r="B54" s="336" t="s">
        <v>693</v>
      </c>
      <c r="C54" s="297"/>
      <c r="D54" s="297"/>
      <c r="E54" s="297"/>
    </row>
    <row r="55" spans="2:5" ht="15.75">
      <c r="B55" s="185" t="s">
        <v>644</v>
      </c>
      <c r="C55" s="311">
        <f>SUM(C51:C54)</f>
        <v>3477</v>
      </c>
      <c r="D55" s="311">
        <f>SUM(D51:D54)</f>
        <v>3512</v>
      </c>
      <c r="E55" s="311">
        <f>SUM(E51:E54)</f>
        <v>3512</v>
      </c>
    </row>
    <row r="56" spans="2:5" ht="15.75">
      <c r="B56" s="66"/>
      <c r="C56" s="109"/>
      <c r="D56" s="109"/>
      <c r="E56" s="109"/>
    </row>
    <row r="57" spans="2:5" ht="15.75">
      <c r="B57" s="185" t="s">
        <v>816</v>
      </c>
      <c r="C57" s="302">
        <f>C13+C19+C25+C31+C37+C43+C49+C55</f>
        <v>1414642</v>
      </c>
      <c r="D57" s="302">
        <f>D13+D19+D25+D31+D37+D43+D49+D55</f>
        <v>1383850</v>
      </c>
      <c r="E57" s="302">
        <f>E13+E19+E25+E31+E37+E43+E49+E55</f>
        <v>1443157</v>
      </c>
    </row>
    <row r="58" spans="2:5" ht="15.75">
      <c r="B58" s="66"/>
      <c r="C58" s="199"/>
      <c r="D58" s="199"/>
      <c r="E58" s="199"/>
    </row>
    <row r="59" spans="2:5" ht="15.75">
      <c r="B59" s="723" t="s">
        <v>569</v>
      </c>
      <c r="C59" s="723"/>
      <c r="D59" s="723"/>
      <c r="E59" s="723"/>
    </row>
    <row r="60" spans="2:5" ht="15.75">
      <c r="B60" s="66"/>
      <c r="C60" s="199"/>
      <c r="D60" s="199"/>
      <c r="E60" s="199"/>
    </row>
    <row r="61" spans="2:5" ht="15.75">
      <c r="B61" s="199" t="str">
        <f>inputPrYr!C3</f>
        <v>Montgomery County</v>
      </c>
      <c r="C61" s="199"/>
      <c r="D61" s="65"/>
      <c r="E61" s="338">
        <f>E1</f>
        <v>2015</v>
      </c>
    </row>
    <row r="62" spans="2:5" ht="15.75">
      <c r="B62" s="66"/>
      <c r="C62" s="199"/>
      <c r="D62" s="199"/>
      <c r="E62" s="65"/>
    </row>
    <row r="63" spans="2:5" ht="15.75">
      <c r="B63" s="303" t="s">
        <v>745</v>
      </c>
      <c r="C63" s="144"/>
      <c r="D63" s="144"/>
      <c r="E63" s="144"/>
    </row>
    <row r="64" spans="2:5" ht="15.75">
      <c r="B64" s="66" t="s">
        <v>672</v>
      </c>
      <c r="C64" s="505" t="str">
        <f aca="true" t="shared" si="0" ref="C64:E65">C4</f>
        <v>Prior Year </v>
      </c>
      <c r="D64" s="506" t="str">
        <f t="shared" si="0"/>
        <v>Current Year </v>
      </c>
      <c r="E64" s="506" t="str">
        <f t="shared" si="0"/>
        <v>Proposed Budget </v>
      </c>
    </row>
    <row r="65" spans="2:5" ht="15.75">
      <c r="B65" s="95" t="s">
        <v>689</v>
      </c>
      <c r="C65" s="305" t="str">
        <f t="shared" si="0"/>
        <v>Actual for 2013</v>
      </c>
      <c r="D65" s="305" t="str">
        <f t="shared" si="0"/>
        <v>Estimate for 2014</v>
      </c>
      <c r="E65" s="305" t="str">
        <f t="shared" si="0"/>
        <v>Year for 2015</v>
      </c>
    </row>
    <row r="66" spans="2:5" ht="15.75">
      <c r="B66" s="185" t="s">
        <v>685</v>
      </c>
      <c r="C66" s="109"/>
      <c r="D66" s="109"/>
      <c r="E66" s="109"/>
    </row>
    <row r="67" spans="2:5" ht="15.75">
      <c r="B67" s="335" t="s">
        <v>69</v>
      </c>
      <c r="C67" s="109"/>
      <c r="D67" s="109"/>
      <c r="E67" s="109"/>
    </row>
    <row r="68" spans="2:5" ht="15.75">
      <c r="B68" s="336" t="s">
        <v>690</v>
      </c>
      <c r="C68" s="297">
        <v>2400</v>
      </c>
      <c r="D68" s="297">
        <v>2400</v>
      </c>
      <c r="E68" s="297">
        <v>2400</v>
      </c>
    </row>
    <row r="69" spans="2:5" ht="15.75">
      <c r="B69" s="336" t="s">
        <v>691</v>
      </c>
      <c r="C69" s="297"/>
      <c r="D69" s="297"/>
      <c r="E69" s="297"/>
    </row>
    <row r="70" spans="2:5" ht="15.75">
      <c r="B70" s="336" t="s">
        <v>692</v>
      </c>
      <c r="C70" s="297"/>
      <c r="D70" s="297"/>
      <c r="E70" s="297"/>
    </row>
    <row r="71" spans="2:5" ht="15.75">
      <c r="B71" s="336" t="s">
        <v>693</v>
      </c>
      <c r="C71" s="297"/>
      <c r="D71" s="297"/>
      <c r="E71" s="297"/>
    </row>
    <row r="72" spans="2:5" ht="15.75">
      <c r="B72" s="185" t="s">
        <v>644</v>
      </c>
      <c r="C72" s="337">
        <f>SUM(C68:C71)</f>
        <v>2400</v>
      </c>
      <c r="D72" s="337">
        <f>SUM(D68:D71)</f>
        <v>2400</v>
      </c>
      <c r="E72" s="337">
        <f>SUM(E68:E71)</f>
        <v>2400</v>
      </c>
    </row>
    <row r="73" spans="2:5" ht="15.75">
      <c r="B73" s="335" t="s">
        <v>68</v>
      </c>
      <c r="C73" s="109"/>
      <c r="D73" s="109"/>
      <c r="E73" s="109"/>
    </row>
    <row r="74" spans="2:5" ht="15.75">
      <c r="B74" s="336" t="s">
        <v>690</v>
      </c>
      <c r="C74" s="297">
        <v>1199271</v>
      </c>
      <c r="D74" s="297">
        <v>1244591</v>
      </c>
      <c r="E74" s="297">
        <v>1288152</v>
      </c>
    </row>
    <row r="75" spans="2:5" ht="15.75">
      <c r="B75" s="336" t="s">
        <v>691</v>
      </c>
      <c r="C75" s="297">
        <v>117531</v>
      </c>
      <c r="D75" s="297">
        <v>148505</v>
      </c>
      <c r="E75" s="297">
        <v>181535</v>
      </c>
    </row>
    <row r="76" spans="2:5" ht="15.75">
      <c r="B76" s="336" t="s">
        <v>692</v>
      </c>
      <c r="C76" s="297">
        <v>243419</v>
      </c>
      <c r="D76" s="297">
        <v>242173</v>
      </c>
      <c r="E76" s="297">
        <v>242173</v>
      </c>
    </row>
    <row r="77" spans="2:5" ht="15.75">
      <c r="B77" s="336" t="s">
        <v>693</v>
      </c>
      <c r="C77" s="297"/>
      <c r="D77" s="297"/>
      <c r="E77" s="297">
        <v>0</v>
      </c>
    </row>
    <row r="78" spans="2:5" ht="15.75">
      <c r="B78" s="185" t="s">
        <v>644</v>
      </c>
      <c r="C78" s="311">
        <f>SUM(C74:C77)</f>
        <v>1560221</v>
      </c>
      <c r="D78" s="311">
        <f>SUM(D74:D77)</f>
        <v>1635269</v>
      </c>
      <c r="E78" s="311">
        <f>SUM(E74:E77)</f>
        <v>1711860</v>
      </c>
    </row>
    <row r="79" spans="2:5" ht="15.75">
      <c r="B79" s="335" t="s">
        <v>70</v>
      </c>
      <c r="C79" s="109"/>
      <c r="D79" s="109"/>
      <c r="E79" s="109"/>
    </row>
    <row r="80" spans="2:5" ht="15.75">
      <c r="B80" s="336" t="s">
        <v>690</v>
      </c>
      <c r="C80" s="297">
        <v>394262</v>
      </c>
      <c r="D80" s="297">
        <v>377405</v>
      </c>
      <c r="E80" s="297">
        <v>390614</v>
      </c>
    </row>
    <row r="81" spans="2:5" ht="15.75">
      <c r="B81" s="336" t="s">
        <v>691</v>
      </c>
      <c r="C81" s="297">
        <v>36066</v>
      </c>
      <c r="D81" s="297">
        <v>31932</v>
      </c>
      <c r="E81" s="297">
        <v>31932</v>
      </c>
    </row>
    <row r="82" spans="2:5" ht="15.75">
      <c r="B82" s="336" t="s">
        <v>692</v>
      </c>
      <c r="C82" s="297">
        <v>10038</v>
      </c>
      <c r="D82" s="297">
        <v>7604</v>
      </c>
      <c r="E82" s="297">
        <v>7604</v>
      </c>
    </row>
    <row r="83" spans="2:5" ht="15.75">
      <c r="B83" s="336" t="s">
        <v>693</v>
      </c>
      <c r="C83" s="297"/>
      <c r="D83" s="297"/>
      <c r="E83" s="297">
        <v>0</v>
      </c>
    </row>
    <row r="84" spans="2:5" ht="15.75">
      <c r="B84" s="185" t="s">
        <v>644</v>
      </c>
      <c r="C84" s="311">
        <f>SUM(C80:C83)</f>
        <v>440366</v>
      </c>
      <c r="D84" s="311">
        <f>SUM(D80:D83)</f>
        <v>416941</v>
      </c>
      <c r="E84" s="311">
        <f>SUM(E80:E83)</f>
        <v>430150</v>
      </c>
    </row>
    <row r="85" spans="2:5" ht="15.75">
      <c r="B85" s="335" t="s">
        <v>71</v>
      </c>
      <c r="C85" s="109"/>
      <c r="D85" s="109"/>
      <c r="E85" s="109"/>
    </row>
    <row r="86" spans="2:5" ht="15.75">
      <c r="B86" s="336" t="s">
        <v>690</v>
      </c>
      <c r="C86" s="297">
        <v>47479</v>
      </c>
      <c r="D86" s="297">
        <v>46182</v>
      </c>
      <c r="E86" s="297">
        <v>48825</v>
      </c>
    </row>
    <row r="87" spans="2:5" ht="15.75">
      <c r="B87" s="336" t="s">
        <v>691</v>
      </c>
      <c r="C87" s="297">
        <v>5009</v>
      </c>
      <c r="D87" s="297">
        <v>6977</v>
      </c>
      <c r="E87" s="297">
        <v>6977</v>
      </c>
    </row>
    <row r="88" spans="2:5" ht="15.75">
      <c r="B88" s="336" t="s">
        <v>692</v>
      </c>
      <c r="C88" s="297">
        <v>10056</v>
      </c>
      <c r="D88" s="297">
        <v>12198</v>
      </c>
      <c r="E88" s="297">
        <v>12198</v>
      </c>
    </row>
    <row r="89" spans="2:5" ht="15.75">
      <c r="B89" s="92" t="s">
        <v>693</v>
      </c>
      <c r="C89" s="297"/>
      <c r="D89" s="297"/>
      <c r="E89" s="297"/>
    </row>
    <row r="90" spans="2:5" ht="15.75">
      <c r="B90" s="185" t="s">
        <v>644</v>
      </c>
      <c r="C90" s="311">
        <f>SUM(C86:C89)</f>
        <v>62544</v>
      </c>
      <c r="D90" s="311">
        <f>SUM(D86:D89)</f>
        <v>65357</v>
      </c>
      <c r="E90" s="311">
        <f>SUM(E86:E89)</f>
        <v>68000</v>
      </c>
    </row>
    <row r="91" spans="2:5" ht="15.75">
      <c r="B91" s="335" t="s">
        <v>72</v>
      </c>
      <c r="C91" s="109"/>
      <c r="D91" s="109"/>
      <c r="E91" s="109"/>
    </row>
    <row r="92" spans="2:5" ht="15.75">
      <c r="B92" s="336" t="s">
        <v>690</v>
      </c>
      <c r="C92" s="297">
        <v>87034</v>
      </c>
      <c r="D92" s="297">
        <v>54210</v>
      </c>
      <c r="E92" s="297">
        <v>95777</v>
      </c>
    </row>
    <row r="93" spans="2:5" ht="15.75">
      <c r="B93" s="336" t="s">
        <v>691</v>
      </c>
      <c r="C93" s="297">
        <v>15668</v>
      </c>
      <c r="D93" s="297">
        <v>10031</v>
      </c>
      <c r="E93" s="297">
        <v>12850</v>
      </c>
    </row>
    <row r="94" spans="2:5" ht="15.75">
      <c r="B94" s="336" t="s">
        <v>692</v>
      </c>
      <c r="C94" s="297">
        <v>2349</v>
      </c>
      <c r="D94" s="297">
        <v>1264</v>
      </c>
      <c r="E94" s="297">
        <v>1850</v>
      </c>
    </row>
    <row r="95" spans="2:5" ht="15.75">
      <c r="B95" s="336" t="s">
        <v>693</v>
      </c>
      <c r="C95" s="297"/>
      <c r="D95" s="297"/>
      <c r="E95" s="297">
        <v>0</v>
      </c>
    </row>
    <row r="96" spans="2:5" ht="15.75">
      <c r="B96" s="185" t="s">
        <v>644</v>
      </c>
      <c r="C96" s="311">
        <f>SUM(C92:C95)</f>
        <v>105051</v>
      </c>
      <c r="D96" s="311">
        <f>SUM(D92:D95)</f>
        <v>65505</v>
      </c>
      <c r="E96" s="311">
        <f>SUM(E92:E95)</f>
        <v>110477</v>
      </c>
    </row>
    <row r="97" spans="2:5" ht="15.75">
      <c r="B97" s="335" t="s">
        <v>73</v>
      </c>
      <c r="C97" s="109"/>
      <c r="D97" s="109"/>
      <c r="E97" s="109"/>
    </row>
    <row r="98" spans="2:5" ht="15.75">
      <c r="B98" s="336" t="s">
        <v>75</v>
      </c>
      <c r="C98" s="297">
        <v>26205</v>
      </c>
      <c r="D98" s="297">
        <v>25500</v>
      </c>
      <c r="E98" s="297">
        <v>25500</v>
      </c>
    </row>
    <row r="99" spans="2:5" ht="15.75">
      <c r="B99" s="336"/>
      <c r="C99" s="297"/>
      <c r="D99" s="297"/>
      <c r="E99" s="297"/>
    </row>
    <row r="100" spans="2:5" ht="15.75">
      <c r="B100" s="336"/>
      <c r="C100" s="297"/>
      <c r="D100" s="297"/>
      <c r="E100" s="297"/>
    </row>
    <row r="101" spans="2:5" ht="15.75">
      <c r="B101" s="336"/>
      <c r="C101" s="297"/>
      <c r="D101" s="297"/>
      <c r="E101" s="297"/>
    </row>
    <row r="102" spans="2:5" ht="15.75">
      <c r="B102" s="185" t="s">
        <v>644</v>
      </c>
      <c r="C102" s="311">
        <f>SUM(C98:C101)</f>
        <v>26205</v>
      </c>
      <c r="D102" s="311">
        <f>SUM(D98:D101)</f>
        <v>25500</v>
      </c>
      <c r="E102" s="311">
        <f>SUM(E98:E101)</f>
        <v>25500</v>
      </c>
    </row>
    <row r="103" spans="2:5" ht="15.75">
      <c r="B103" s="335" t="s">
        <v>74</v>
      </c>
      <c r="C103" s="109"/>
      <c r="D103" s="109"/>
      <c r="E103" s="109"/>
    </row>
    <row r="104" spans="2:5" ht="15.75">
      <c r="B104" s="336" t="s">
        <v>75</v>
      </c>
      <c r="C104" s="297">
        <v>3022</v>
      </c>
      <c r="D104" s="297">
        <v>3000</v>
      </c>
      <c r="E104" s="297">
        <v>3000</v>
      </c>
    </row>
    <row r="105" spans="2:5" ht="15.75">
      <c r="B105" s="336"/>
      <c r="C105" s="297"/>
      <c r="D105" s="297"/>
      <c r="E105" s="297"/>
    </row>
    <row r="106" spans="2:5" ht="15.75">
      <c r="B106" s="336"/>
      <c r="C106" s="297"/>
      <c r="D106" s="297"/>
      <c r="E106" s="297"/>
    </row>
    <row r="107" spans="2:5" ht="15.75">
      <c r="B107" s="336"/>
      <c r="C107" s="297"/>
      <c r="D107" s="297"/>
      <c r="E107" s="297"/>
    </row>
    <row r="108" spans="2:5" ht="15.75">
      <c r="B108" s="185" t="s">
        <v>644</v>
      </c>
      <c r="C108" s="311">
        <f>SUM(C104:C107)</f>
        <v>3022</v>
      </c>
      <c r="D108" s="311">
        <f>SUM(D104:D107)</f>
        <v>3000</v>
      </c>
      <c r="E108" s="311">
        <f>SUM(E104:E107)</f>
        <v>3000</v>
      </c>
    </row>
    <row r="109" spans="2:5" ht="15.75">
      <c r="B109" s="335" t="s">
        <v>76</v>
      </c>
      <c r="C109" s="109"/>
      <c r="D109" s="109"/>
      <c r="E109" s="109"/>
    </row>
    <row r="110" spans="2:5" ht="15.75">
      <c r="B110" s="336" t="s">
        <v>690</v>
      </c>
      <c r="C110" s="297">
        <v>2601</v>
      </c>
      <c r="D110" s="297">
        <v>2061</v>
      </c>
      <c r="E110" s="297">
        <v>2061</v>
      </c>
    </row>
    <row r="111" spans="2:5" ht="15.75">
      <c r="B111" s="336" t="s">
        <v>691</v>
      </c>
      <c r="C111" s="297">
        <v>261961</v>
      </c>
      <c r="D111" s="297">
        <v>188572</v>
      </c>
      <c r="E111" s="297">
        <v>188572</v>
      </c>
    </row>
    <row r="112" spans="2:5" ht="15.75">
      <c r="B112" s="336" t="s">
        <v>692</v>
      </c>
      <c r="C112" s="297"/>
      <c r="D112" s="297"/>
      <c r="E112" s="297"/>
    </row>
    <row r="113" spans="2:5" ht="15.75">
      <c r="B113" s="336" t="s">
        <v>693</v>
      </c>
      <c r="C113" s="297"/>
      <c r="D113" s="297"/>
      <c r="E113" s="297"/>
    </row>
    <row r="114" spans="2:5" ht="15.75">
      <c r="B114" s="185" t="s">
        <v>644</v>
      </c>
      <c r="C114" s="311">
        <f>SUM(C110:C113)</f>
        <v>264562</v>
      </c>
      <c r="D114" s="311">
        <f>SUM(D110:D113)</f>
        <v>190633</v>
      </c>
      <c r="E114" s="311">
        <f>SUM(E110:E113)</f>
        <v>190633</v>
      </c>
    </row>
    <row r="115" spans="2:5" ht="15.75">
      <c r="B115" s="66"/>
      <c r="C115" s="109"/>
      <c r="D115" s="109"/>
      <c r="E115" s="109"/>
    </row>
    <row r="116" spans="2:5" ht="15.75">
      <c r="B116" s="185" t="s">
        <v>817</v>
      </c>
      <c r="C116" s="302">
        <f>C72+C78+C84+C90+C96+C102+C108+C114</f>
        <v>2464371</v>
      </c>
      <c r="D116" s="302">
        <f>D72+D78+D84+D90+D96+D102+D108+D114</f>
        <v>2404605</v>
      </c>
      <c r="E116" s="302">
        <f>E72+E78+E84+E90+E96+E102+E108+E114</f>
        <v>2542020</v>
      </c>
    </row>
    <row r="117" spans="2:5" ht="15.75">
      <c r="B117" s="66"/>
      <c r="C117" s="199"/>
      <c r="D117" s="199"/>
      <c r="E117" s="199"/>
    </row>
    <row r="118" spans="2:5" ht="15.75">
      <c r="B118" s="723" t="s">
        <v>568</v>
      </c>
      <c r="C118" s="723"/>
      <c r="D118" s="723"/>
      <c r="E118" s="723"/>
    </row>
    <row r="119" spans="2:5" ht="15.75">
      <c r="B119" s="199" t="str">
        <f>inputPrYr!C3</f>
        <v>Montgomery County</v>
      </c>
      <c r="C119" s="199"/>
      <c r="D119" s="65"/>
      <c r="E119" s="338">
        <f>E1</f>
        <v>2015</v>
      </c>
    </row>
    <row r="120" spans="2:5" ht="15.75">
      <c r="B120" s="66"/>
      <c r="C120" s="199"/>
      <c r="D120" s="199"/>
      <c r="E120" s="65"/>
    </row>
    <row r="121" spans="2:5" ht="15.75">
      <c r="B121" s="303" t="s">
        <v>745</v>
      </c>
      <c r="C121" s="144"/>
      <c r="D121" s="144"/>
      <c r="E121" s="144"/>
    </row>
    <row r="122" spans="2:5" ht="15.75">
      <c r="B122" s="66" t="s">
        <v>672</v>
      </c>
      <c r="C122" s="505" t="str">
        <f aca="true" t="shared" si="1" ref="C122:E123">C4</f>
        <v>Prior Year </v>
      </c>
      <c r="D122" s="506" t="str">
        <f t="shared" si="1"/>
        <v>Current Year </v>
      </c>
      <c r="E122" s="506" t="str">
        <f t="shared" si="1"/>
        <v>Proposed Budget </v>
      </c>
    </row>
    <row r="123" spans="2:5" ht="15.75">
      <c r="B123" s="95" t="s">
        <v>689</v>
      </c>
      <c r="C123" s="305" t="str">
        <f t="shared" si="1"/>
        <v>Actual for 2013</v>
      </c>
      <c r="D123" s="305" t="str">
        <f t="shared" si="1"/>
        <v>Estimate for 2014</v>
      </c>
      <c r="E123" s="305" t="str">
        <f t="shared" si="1"/>
        <v>Year for 2015</v>
      </c>
    </row>
    <row r="124" spans="2:5" ht="15.75">
      <c r="B124" s="185" t="s">
        <v>685</v>
      </c>
      <c r="C124" s="109"/>
      <c r="D124" s="109"/>
      <c r="E124" s="109"/>
    </row>
    <row r="125" spans="2:5" ht="15.75">
      <c r="B125" s="335" t="s">
        <v>77</v>
      </c>
      <c r="C125" s="109"/>
      <c r="D125" s="109"/>
      <c r="E125" s="109"/>
    </row>
    <row r="126" spans="2:5" ht="15.75">
      <c r="B126" s="336" t="s">
        <v>690</v>
      </c>
      <c r="C126" s="297">
        <v>330156</v>
      </c>
      <c r="D126" s="297">
        <v>327756</v>
      </c>
      <c r="E126" s="297">
        <v>339227</v>
      </c>
    </row>
    <row r="127" spans="2:5" ht="15.75">
      <c r="B127" s="336" t="s">
        <v>691</v>
      </c>
      <c r="C127" s="297">
        <v>52376</v>
      </c>
      <c r="D127" s="297">
        <v>65580</v>
      </c>
      <c r="E127" s="297">
        <v>65580</v>
      </c>
    </row>
    <row r="128" spans="2:5" ht="15.75">
      <c r="B128" s="336" t="s">
        <v>692</v>
      </c>
      <c r="C128" s="297">
        <v>31676</v>
      </c>
      <c r="D128" s="297">
        <v>22988</v>
      </c>
      <c r="E128" s="297">
        <v>22988</v>
      </c>
    </row>
    <row r="129" spans="2:5" ht="15.75">
      <c r="B129" s="336" t="s">
        <v>693</v>
      </c>
      <c r="C129" s="297"/>
      <c r="D129" s="297"/>
      <c r="E129" s="297"/>
    </row>
    <row r="130" spans="2:5" ht="15.75">
      <c r="B130" s="336"/>
      <c r="C130" s="297"/>
      <c r="D130" s="297"/>
      <c r="E130" s="297"/>
    </row>
    <row r="131" spans="2:5" ht="15.75">
      <c r="B131" s="336"/>
      <c r="C131" s="297"/>
      <c r="D131" s="297"/>
      <c r="E131" s="297"/>
    </row>
    <row r="132" spans="2:5" ht="15.75">
      <c r="B132" s="185" t="s">
        <v>644</v>
      </c>
      <c r="C132" s="311">
        <f>SUM(C126:C131)</f>
        <v>414208</v>
      </c>
      <c r="D132" s="311">
        <f>SUM(D126:D131)</f>
        <v>416324</v>
      </c>
      <c r="E132" s="311">
        <f>SUM(E126:E131)</f>
        <v>427795</v>
      </c>
    </row>
    <row r="133" spans="2:5" ht="15.75">
      <c r="B133" s="335" t="s">
        <v>79</v>
      </c>
      <c r="C133" s="109"/>
      <c r="D133" s="109"/>
      <c r="E133" s="109"/>
    </row>
    <row r="134" spans="2:5" ht="15.75">
      <c r="B134" s="336" t="s">
        <v>690</v>
      </c>
      <c r="C134" s="297">
        <v>836492</v>
      </c>
      <c r="D134" s="297">
        <v>863742</v>
      </c>
      <c r="E134" s="297">
        <v>893973</v>
      </c>
    </row>
    <row r="135" spans="2:5" ht="15.75">
      <c r="B135" s="336" t="s">
        <v>691</v>
      </c>
      <c r="C135" s="297">
        <v>462523</v>
      </c>
      <c r="D135" s="297">
        <v>482519</v>
      </c>
      <c r="E135" s="297">
        <v>482519</v>
      </c>
    </row>
    <row r="136" spans="2:5" ht="15.75">
      <c r="B136" s="336" t="s">
        <v>692</v>
      </c>
      <c r="C136" s="297">
        <v>118704</v>
      </c>
      <c r="D136" s="297">
        <v>95860</v>
      </c>
      <c r="E136" s="297">
        <v>95860</v>
      </c>
    </row>
    <row r="137" spans="2:5" ht="15.75">
      <c r="B137" s="336" t="s">
        <v>693</v>
      </c>
      <c r="C137" s="297"/>
      <c r="D137" s="297"/>
      <c r="E137" s="297">
        <v>0</v>
      </c>
    </row>
    <row r="138" spans="2:5" ht="15.75">
      <c r="B138" s="185" t="s">
        <v>644</v>
      </c>
      <c r="C138" s="311">
        <f>SUM(C134:C137)</f>
        <v>1417719</v>
      </c>
      <c r="D138" s="311">
        <f>SUM(D134:D137)</f>
        <v>1442121</v>
      </c>
      <c r="E138" s="311">
        <f>SUM(E134:E137)</f>
        <v>1472352</v>
      </c>
    </row>
    <row r="139" spans="2:5" ht="15.75">
      <c r="B139" s="335" t="s">
        <v>78</v>
      </c>
      <c r="C139" s="109"/>
      <c r="D139" s="109"/>
      <c r="E139" s="109"/>
    </row>
    <row r="140" spans="2:5" ht="15.75">
      <c r="B140" s="336" t="s">
        <v>690</v>
      </c>
      <c r="C140" s="297">
        <v>85121</v>
      </c>
      <c r="D140" s="297">
        <v>88510</v>
      </c>
      <c r="E140" s="297">
        <v>88510</v>
      </c>
    </row>
    <row r="141" spans="2:5" ht="15.75">
      <c r="B141" s="336" t="s">
        <v>691</v>
      </c>
      <c r="C141" s="297">
        <v>13782</v>
      </c>
      <c r="D141" s="297">
        <v>6600</v>
      </c>
      <c r="E141" s="297">
        <v>6600</v>
      </c>
    </row>
    <row r="142" spans="2:5" ht="15.75">
      <c r="B142" s="336" t="s">
        <v>692</v>
      </c>
      <c r="C142" s="297">
        <v>29520</v>
      </c>
      <c r="D142" s="297">
        <v>6159</v>
      </c>
      <c r="E142" s="297">
        <v>6159</v>
      </c>
    </row>
    <row r="143" spans="2:5" ht="15.75">
      <c r="B143" s="336" t="s">
        <v>693</v>
      </c>
      <c r="C143" s="297"/>
      <c r="D143" s="297"/>
      <c r="E143" s="297"/>
    </row>
    <row r="144" spans="2:5" ht="15.75">
      <c r="B144" s="185" t="s">
        <v>644</v>
      </c>
      <c r="C144" s="311">
        <f>SUM(C140:C143)</f>
        <v>128423</v>
      </c>
      <c r="D144" s="311">
        <f>SUM(D140:D143)</f>
        <v>101269</v>
      </c>
      <c r="E144" s="311">
        <f>SUM(E140:E143)</f>
        <v>101269</v>
      </c>
    </row>
    <row r="145" spans="2:5" ht="15.75">
      <c r="B145" s="335" t="s">
        <v>81</v>
      </c>
      <c r="C145" s="109"/>
      <c r="D145" s="109"/>
      <c r="E145" s="109"/>
    </row>
    <row r="146" spans="2:5" ht="15.75">
      <c r="B146" s="336" t="s">
        <v>690</v>
      </c>
      <c r="C146" s="297">
        <v>7146</v>
      </c>
      <c r="D146" s="297">
        <v>0</v>
      </c>
      <c r="E146" s="297">
        <v>0</v>
      </c>
    </row>
    <row r="147" spans="2:5" ht="15.75">
      <c r="B147" s="336" t="s">
        <v>691</v>
      </c>
      <c r="C147" s="297">
        <v>12788</v>
      </c>
      <c r="D147" s="297">
        <v>10000</v>
      </c>
      <c r="E147" s="297">
        <v>10000</v>
      </c>
    </row>
    <row r="148" spans="2:5" ht="15.75">
      <c r="B148" s="336" t="s">
        <v>692</v>
      </c>
      <c r="C148" s="297"/>
      <c r="D148" s="297">
        <v>10000</v>
      </c>
      <c r="E148" s="297">
        <v>10000</v>
      </c>
    </row>
    <row r="149" spans="2:5" ht="15.75">
      <c r="B149" s="336" t="s">
        <v>693</v>
      </c>
      <c r="C149" s="297"/>
      <c r="D149" s="297" t="s">
        <v>701</v>
      </c>
      <c r="E149" s="297" t="s">
        <v>701</v>
      </c>
    </row>
    <row r="150" spans="2:5" ht="15.75">
      <c r="B150" s="185" t="s">
        <v>644</v>
      </c>
      <c r="C150" s="311">
        <f>SUM(C146:C149)</f>
        <v>19934</v>
      </c>
      <c r="D150" s="311">
        <f>SUM(D146:D149)</f>
        <v>20000</v>
      </c>
      <c r="E150" s="311">
        <f>SUM(E146:E149)</f>
        <v>20000</v>
      </c>
    </row>
    <row r="151" spans="2:5" ht="15.75">
      <c r="B151" s="335" t="s">
        <v>80</v>
      </c>
      <c r="C151" s="109"/>
      <c r="D151" s="109"/>
      <c r="E151" s="109"/>
    </row>
    <row r="152" spans="2:5" ht="15.75">
      <c r="B152" s="336" t="s">
        <v>690</v>
      </c>
      <c r="C152" s="297">
        <v>44263</v>
      </c>
      <c r="D152" s="297">
        <v>42997</v>
      </c>
      <c r="E152" s="297">
        <v>43460</v>
      </c>
    </row>
    <row r="153" spans="2:5" ht="15.75">
      <c r="B153" s="336" t="s">
        <v>691</v>
      </c>
      <c r="C153" s="297"/>
      <c r="D153" s="297">
        <v>0</v>
      </c>
      <c r="E153" s="297">
        <v>0</v>
      </c>
    </row>
    <row r="154" spans="2:5" ht="15.75">
      <c r="B154" s="336" t="s">
        <v>692</v>
      </c>
      <c r="C154" s="297"/>
      <c r="D154" s="297">
        <v>0</v>
      </c>
      <c r="E154" s="297">
        <v>0</v>
      </c>
    </row>
    <row r="155" spans="2:5" ht="15.75">
      <c r="B155" s="336" t="s">
        <v>693</v>
      </c>
      <c r="C155" s="297"/>
      <c r="D155" s="297">
        <v>0</v>
      </c>
      <c r="E155" s="297">
        <v>0</v>
      </c>
    </row>
    <row r="156" spans="2:5" ht="15.75">
      <c r="B156" s="185" t="s">
        <v>644</v>
      </c>
      <c r="C156" s="311">
        <f>SUM(C152:C155)</f>
        <v>44263</v>
      </c>
      <c r="D156" s="311">
        <f>SUM(D152:D155)</f>
        <v>42997</v>
      </c>
      <c r="E156" s="311">
        <f>SUM(E152:E155)</f>
        <v>43460</v>
      </c>
    </row>
    <row r="157" spans="2:5" ht="15.75">
      <c r="B157" s="335" t="s">
        <v>82</v>
      </c>
      <c r="C157" s="109"/>
      <c r="D157" s="109"/>
      <c r="E157" s="109"/>
    </row>
    <row r="158" spans="2:5" ht="15.75">
      <c r="B158" s="336" t="s">
        <v>690</v>
      </c>
      <c r="C158" s="297">
        <v>12753</v>
      </c>
      <c r="D158" s="297">
        <v>26968</v>
      </c>
      <c r="E158" s="297">
        <v>26968</v>
      </c>
    </row>
    <row r="159" spans="2:5" ht="15.75">
      <c r="B159" s="336" t="s">
        <v>691</v>
      </c>
      <c r="C159" s="297">
        <v>30384</v>
      </c>
      <c r="D159" s="297">
        <v>72000</v>
      </c>
      <c r="E159" s="297">
        <v>72000</v>
      </c>
    </row>
    <row r="160" spans="2:5" ht="15.75">
      <c r="B160" s="336" t="s">
        <v>692</v>
      </c>
      <c r="C160" s="297">
        <v>3476</v>
      </c>
      <c r="D160" s="297">
        <v>12500</v>
      </c>
      <c r="E160" s="297">
        <v>12500</v>
      </c>
    </row>
    <row r="161" spans="2:5" ht="15.75">
      <c r="B161" s="336" t="s">
        <v>693</v>
      </c>
      <c r="C161" s="297"/>
      <c r="D161" s="297"/>
      <c r="E161" s="297"/>
    </row>
    <row r="162" spans="2:5" ht="15.75">
      <c r="B162" s="185" t="s">
        <v>644</v>
      </c>
      <c r="C162" s="311">
        <f>SUM(C158:C161)</f>
        <v>46613</v>
      </c>
      <c r="D162" s="311">
        <f>SUM(D158:D161)</f>
        <v>111468</v>
      </c>
      <c r="E162" s="311">
        <f>SUM(E158:E161)</f>
        <v>111468</v>
      </c>
    </row>
    <row r="163" spans="2:5" ht="15.75">
      <c r="B163" s="335" t="s">
        <v>83</v>
      </c>
      <c r="C163" s="109"/>
      <c r="D163" s="109"/>
      <c r="E163" s="109"/>
    </row>
    <row r="164" spans="2:5" ht="15.75">
      <c r="B164" s="336" t="s">
        <v>75</v>
      </c>
      <c r="C164" s="297">
        <v>12578</v>
      </c>
      <c r="D164" s="297">
        <v>12578</v>
      </c>
      <c r="E164" s="297">
        <v>12578</v>
      </c>
    </row>
    <row r="165" spans="2:5" ht="15.75">
      <c r="B165" s="336"/>
      <c r="C165" s="297"/>
      <c r="D165" s="297"/>
      <c r="E165" s="297"/>
    </row>
    <row r="166" spans="2:5" ht="15.75">
      <c r="B166" s="336"/>
      <c r="C166" s="297"/>
      <c r="D166" s="297"/>
      <c r="E166" s="297"/>
    </row>
    <row r="167" spans="2:5" ht="15.75">
      <c r="B167" s="336"/>
      <c r="C167" s="297"/>
      <c r="D167" s="297"/>
      <c r="E167" s="297"/>
    </row>
    <row r="168" spans="2:5" ht="15.75">
      <c r="B168" s="185" t="s">
        <v>644</v>
      </c>
      <c r="C168" s="311">
        <f>SUM(C164:C167)</f>
        <v>12578</v>
      </c>
      <c r="D168" s="311">
        <f>SUM(D164:D167)</f>
        <v>12578</v>
      </c>
      <c r="E168" s="311">
        <f>SUM(E164:E167)</f>
        <v>12578</v>
      </c>
    </row>
    <row r="169" spans="2:5" ht="15.75">
      <c r="B169" s="335" t="s">
        <v>84</v>
      </c>
      <c r="C169" s="109"/>
      <c r="D169" s="109"/>
      <c r="E169" s="109"/>
    </row>
    <row r="170" spans="2:5" ht="15.75">
      <c r="B170" s="336" t="s">
        <v>75</v>
      </c>
      <c r="C170" s="297">
        <v>699</v>
      </c>
      <c r="D170" s="297">
        <v>700</v>
      </c>
      <c r="E170" s="297">
        <v>700</v>
      </c>
    </row>
    <row r="171" spans="2:5" ht="15.75">
      <c r="B171" s="336"/>
      <c r="C171" s="297"/>
      <c r="D171" s="297"/>
      <c r="E171" s="297"/>
    </row>
    <row r="172" spans="2:5" ht="15.75">
      <c r="B172" s="336"/>
      <c r="C172" s="297"/>
      <c r="D172" s="297"/>
      <c r="E172" s="297"/>
    </row>
    <row r="173" spans="2:5" ht="15.75">
      <c r="B173" s="336"/>
      <c r="C173" s="297"/>
      <c r="D173" s="297"/>
      <c r="E173" s="297"/>
    </row>
    <row r="174" spans="2:5" ht="15.75">
      <c r="B174" s="185" t="s">
        <v>644</v>
      </c>
      <c r="C174" s="311">
        <f>SUM(C170:C173)</f>
        <v>699</v>
      </c>
      <c r="D174" s="311">
        <f>SUM(D170:D173)</f>
        <v>700</v>
      </c>
      <c r="E174" s="311">
        <f>SUM(E170:E173)</f>
        <v>700</v>
      </c>
    </row>
    <row r="175" spans="2:5" ht="15.75">
      <c r="B175" s="185"/>
      <c r="C175" s="109"/>
      <c r="D175" s="109"/>
      <c r="E175" s="109"/>
    </row>
    <row r="176" spans="2:5" ht="15.75">
      <c r="B176" s="185" t="s">
        <v>818</v>
      </c>
      <c r="C176" s="302">
        <f>C132+C138+C144+C150+C156+C162+C168+C174</f>
        <v>2084437</v>
      </c>
      <c r="D176" s="302">
        <f>D132+D138+D144+D150+D156+D162+D168+D174</f>
        <v>2147457</v>
      </c>
      <c r="E176" s="302">
        <f>E132+E138+E144+E150+E156+E162+E168+E174</f>
        <v>2189622</v>
      </c>
    </row>
    <row r="177" spans="2:5" ht="15.75">
      <c r="B177" s="66"/>
      <c r="C177" s="199"/>
      <c r="D177" s="199"/>
      <c r="E177" s="199"/>
    </row>
    <row r="178" spans="2:5" ht="15.75">
      <c r="B178" s="723" t="s">
        <v>567</v>
      </c>
      <c r="C178" s="723"/>
      <c r="D178" s="723"/>
      <c r="E178" s="723"/>
    </row>
    <row r="179" spans="2:5" ht="15.75">
      <c r="B179" s="199" t="str">
        <f>inputPrYr!C3</f>
        <v>Montgomery County</v>
      </c>
      <c r="C179" s="199"/>
      <c r="D179" s="65"/>
      <c r="E179" s="338">
        <f>E1</f>
        <v>2015</v>
      </c>
    </row>
    <row r="180" spans="2:5" ht="15.75">
      <c r="B180" s="66"/>
      <c r="C180" s="199"/>
      <c r="D180" s="199"/>
      <c r="E180" s="65"/>
    </row>
    <row r="181" spans="2:5" ht="15.75">
      <c r="B181" s="303" t="s">
        <v>745</v>
      </c>
      <c r="C181" s="144"/>
      <c r="D181" s="144"/>
      <c r="E181" s="144"/>
    </row>
    <row r="182" spans="2:5" ht="15.75">
      <c r="B182" s="66" t="s">
        <v>672</v>
      </c>
      <c r="C182" s="505" t="str">
        <f aca="true" t="shared" si="2" ref="C182:E183">C4</f>
        <v>Prior Year </v>
      </c>
      <c r="D182" s="506" t="str">
        <f t="shared" si="2"/>
        <v>Current Year </v>
      </c>
      <c r="E182" s="506" t="str">
        <f t="shared" si="2"/>
        <v>Proposed Budget </v>
      </c>
    </row>
    <row r="183" spans="2:5" ht="15.75">
      <c r="B183" s="95" t="s">
        <v>689</v>
      </c>
      <c r="C183" s="305" t="str">
        <f t="shared" si="2"/>
        <v>Actual for 2013</v>
      </c>
      <c r="D183" s="305" t="str">
        <f t="shared" si="2"/>
        <v>Estimate for 2014</v>
      </c>
      <c r="E183" s="305" t="str">
        <f t="shared" si="2"/>
        <v>Year for 2015</v>
      </c>
    </row>
    <row r="184" spans="2:5" ht="15.75">
      <c r="B184" s="185" t="s">
        <v>685</v>
      </c>
      <c r="C184" s="109"/>
      <c r="D184" s="109"/>
      <c r="E184" s="109"/>
    </row>
    <row r="185" spans="2:5" ht="15.75">
      <c r="B185" s="335" t="s">
        <v>85</v>
      </c>
      <c r="C185" s="109"/>
      <c r="D185" s="109"/>
      <c r="E185" s="109"/>
    </row>
    <row r="186" spans="2:5" ht="15.75">
      <c r="B186" s="336" t="s">
        <v>75</v>
      </c>
      <c r="C186" s="297">
        <v>18119</v>
      </c>
      <c r="D186" s="297">
        <v>17470</v>
      </c>
      <c r="E186" s="297">
        <v>17470</v>
      </c>
    </row>
    <row r="187" spans="2:5" ht="15.75">
      <c r="B187" s="336"/>
      <c r="C187" s="297"/>
      <c r="D187" s="297"/>
      <c r="E187" s="297"/>
    </row>
    <row r="188" spans="2:5" ht="15.75">
      <c r="B188" s="336"/>
      <c r="C188" s="297"/>
      <c r="D188" s="297"/>
      <c r="E188" s="297"/>
    </row>
    <row r="189" spans="2:5" ht="15.75">
      <c r="B189" s="336"/>
      <c r="C189" s="297"/>
      <c r="D189" s="297"/>
      <c r="E189" s="297"/>
    </row>
    <row r="190" spans="2:5" ht="15.75">
      <c r="B190" s="185" t="s">
        <v>644</v>
      </c>
      <c r="C190" s="311">
        <f>SUM(C186:C189)</f>
        <v>18119</v>
      </c>
      <c r="D190" s="311">
        <f>SUM(D186:D189)</f>
        <v>17470</v>
      </c>
      <c r="E190" s="311">
        <f>SUM(E186:E189)</f>
        <v>17470</v>
      </c>
    </row>
    <row r="191" spans="2:5" ht="15.75">
      <c r="B191" s="335" t="s">
        <v>86</v>
      </c>
      <c r="C191" s="109"/>
      <c r="D191" s="109"/>
      <c r="E191" s="109"/>
    </row>
    <row r="192" spans="2:5" ht="15.75">
      <c r="B192" s="336" t="s">
        <v>690</v>
      </c>
      <c r="C192" s="297">
        <v>5000</v>
      </c>
      <c r="D192" s="297">
        <v>5000</v>
      </c>
      <c r="E192" s="297">
        <v>5075</v>
      </c>
    </row>
    <row r="193" spans="2:5" ht="15.75">
      <c r="B193" s="336" t="s">
        <v>691</v>
      </c>
      <c r="C193" s="297">
        <v>22720</v>
      </c>
      <c r="D193" s="297">
        <v>11744</v>
      </c>
      <c r="E193" s="297">
        <v>11744</v>
      </c>
    </row>
    <row r="194" spans="2:5" ht="15.75">
      <c r="B194" s="336" t="s">
        <v>692</v>
      </c>
      <c r="C194" s="297">
        <v>770</v>
      </c>
      <c r="D194" s="297">
        <v>0</v>
      </c>
      <c r="E194" s="297">
        <v>0</v>
      </c>
    </row>
    <row r="195" spans="2:5" ht="15.75">
      <c r="B195" s="336" t="s">
        <v>693</v>
      </c>
      <c r="C195" s="297"/>
      <c r="D195" s="297"/>
      <c r="E195" s="297"/>
    </row>
    <row r="196" spans="2:5" ht="15.75">
      <c r="B196" s="185" t="s">
        <v>644</v>
      </c>
      <c r="C196" s="311">
        <f>SUM(C192:C195)</f>
        <v>28490</v>
      </c>
      <c r="D196" s="311">
        <f>SUM(D192:D195)</f>
        <v>16744</v>
      </c>
      <c r="E196" s="311">
        <f>SUM(E192:E195)</f>
        <v>16819</v>
      </c>
    </row>
    <row r="197" spans="2:5" ht="15.75">
      <c r="B197" s="335" t="s">
        <v>87</v>
      </c>
      <c r="C197" s="109"/>
      <c r="D197" s="109"/>
      <c r="E197" s="109"/>
    </row>
    <row r="198" spans="2:5" ht="15.75">
      <c r="B198" s="336" t="s">
        <v>690</v>
      </c>
      <c r="C198" s="297">
        <v>86220</v>
      </c>
      <c r="D198" s="297">
        <v>86070</v>
      </c>
      <c r="E198" s="297">
        <v>88500</v>
      </c>
    </row>
    <row r="199" spans="2:5" ht="15.75">
      <c r="B199" s="336" t="s">
        <v>691</v>
      </c>
      <c r="C199" s="297">
        <v>10498</v>
      </c>
      <c r="D199" s="297">
        <v>9599</v>
      </c>
      <c r="E199" s="297">
        <v>9599</v>
      </c>
    </row>
    <row r="200" spans="2:5" ht="15.75">
      <c r="B200" s="336" t="s">
        <v>692</v>
      </c>
      <c r="C200" s="297">
        <v>3079</v>
      </c>
      <c r="D200" s="297">
        <v>2365</v>
      </c>
      <c r="E200" s="297">
        <v>2365</v>
      </c>
    </row>
    <row r="201" spans="2:5" ht="15.75">
      <c r="B201" s="336" t="s">
        <v>693</v>
      </c>
      <c r="C201" s="297"/>
      <c r="D201" s="297"/>
      <c r="E201" s="297"/>
    </row>
    <row r="202" spans="2:5" ht="15.75">
      <c r="B202" s="185" t="s">
        <v>644</v>
      </c>
      <c r="C202" s="311">
        <f>SUM(C198:C201)</f>
        <v>99797</v>
      </c>
      <c r="D202" s="311">
        <f>SUM(D198:D201)</f>
        <v>98034</v>
      </c>
      <c r="E202" s="311">
        <f>SUM(E198:E201)</f>
        <v>100464</v>
      </c>
    </row>
    <row r="203" spans="2:5" ht="15.75">
      <c r="B203" s="335" t="s">
        <v>88</v>
      </c>
      <c r="C203" s="109"/>
      <c r="D203" s="109"/>
      <c r="E203" s="109"/>
    </row>
    <row r="204" spans="2:5" ht="15.75">
      <c r="B204" s="336" t="s">
        <v>690</v>
      </c>
      <c r="C204" s="297">
        <v>0</v>
      </c>
      <c r="D204" s="297">
        <v>170000</v>
      </c>
      <c r="E204" s="297">
        <v>220000</v>
      </c>
    </row>
    <row r="205" spans="2:5" ht="15.75">
      <c r="B205" s="336" t="s">
        <v>691</v>
      </c>
      <c r="C205" s="297">
        <v>709935</v>
      </c>
      <c r="D205" s="297">
        <v>822500</v>
      </c>
      <c r="E205" s="297">
        <v>822500</v>
      </c>
    </row>
    <row r="206" spans="2:5" ht="15.75">
      <c r="B206" s="336" t="s">
        <v>692</v>
      </c>
      <c r="C206" s="297">
        <v>6338</v>
      </c>
      <c r="D206" s="297">
        <v>7500</v>
      </c>
      <c r="E206" s="297">
        <v>7500</v>
      </c>
    </row>
    <row r="207" spans="2:5" ht="15.75">
      <c r="B207" s="336" t="s">
        <v>693</v>
      </c>
      <c r="C207" s="297">
        <v>0</v>
      </c>
      <c r="D207" s="297"/>
      <c r="E207" s="297"/>
    </row>
    <row r="208" spans="2:5" ht="15.75">
      <c r="B208" s="185" t="s">
        <v>644</v>
      </c>
      <c r="C208" s="311">
        <f>SUM(C204:C207)</f>
        <v>716273</v>
      </c>
      <c r="D208" s="311">
        <f>SUM(D204:D207)</f>
        <v>1000000</v>
      </c>
      <c r="E208" s="311">
        <f>SUM(E204:E207)</f>
        <v>1050000</v>
      </c>
    </row>
    <row r="209" spans="2:5" ht="15.75">
      <c r="B209" s="335" t="s">
        <v>89</v>
      </c>
      <c r="C209" s="109"/>
      <c r="D209" s="109"/>
      <c r="E209" s="109"/>
    </row>
    <row r="210" spans="2:5" ht="15.75">
      <c r="B210" s="336" t="s">
        <v>693</v>
      </c>
      <c r="C210" s="297">
        <v>183238</v>
      </c>
      <c r="D210" s="297">
        <v>400000</v>
      </c>
      <c r="E210" s="297">
        <v>400000</v>
      </c>
    </row>
    <row r="211" spans="2:5" ht="15.75">
      <c r="B211" s="336"/>
      <c r="C211" s="297"/>
      <c r="D211" s="297"/>
      <c r="E211" s="297"/>
    </row>
    <row r="212" spans="2:5" ht="15.75">
      <c r="B212" s="336"/>
      <c r="C212" s="297"/>
      <c r="D212" s="297"/>
      <c r="E212" s="297"/>
    </row>
    <row r="213" spans="2:5" ht="15.75">
      <c r="B213" s="336"/>
      <c r="C213" s="297"/>
      <c r="D213" s="297"/>
      <c r="E213" s="297"/>
    </row>
    <row r="214" spans="2:5" ht="15.75">
      <c r="B214" s="185" t="s">
        <v>644</v>
      </c>
      <c r="C214" s="311">
        <f>SUM(C210:C213)</f>
        <v>183238</v>
      </c>
      <c r="D214" s="311">
        <f>SUM(D210:D213)</f>
        <v>400000</v>
      </c>
      <c r="E214" s="311">
        <f>SUM(E210:E213)</f>
        <v>400000</v>
      </c>
    </row>
    <row r="215" spans="2:5" ht="15.75">
      <c r="B215" s="335" t="s">
        <v>90</v>
      </c>
      <c r="C215" s="109"/>
      <c r="D215" s="109"/>
      <c r="E215" s="109"/>
    </row>
    <row r="216" spans="2:5" ht="15.75">
      <c r="B216" s="336" t="s">
        <v>690</v>
      </c>
      <c r="C216" s="297">
        <v>36023</v>
      </c>
      <c r="D216" s="297">
        <v>36180</v>
      </c>
      <c r="E216" s="297">
        <v>37447</v>
      </c>
    </row>
    <row r="217" spans="2:5" ht="15.75">
      <c r="B217" s="336" t="s">
        <v>691</v>
      </c>
      <c r="C217" s="297">
        <v>1704</v>
      </c>
      <c r="D217" s="297">
        <v>2135</v>
      </c>
      <c r="E217" s="297">
        <v>2135</v>
      </c>
    </row>
    <row r="218" spans="2:5" ht="15.75">
      <c r="B218" s="336" t="s">
        <v>692</v>
      </c>
      <c r="C218" s="297">
        <v>599</v>
      </c>
      <c r="D218" s="297">
        <v>1030</v>
      </c>
      <c r="E218" s="297">
        <v>1030</v>
      </c>
    </row>
    <row r="219" spans="2:5" ht="15.75">
      <c r="B219" s="336" t="s">
        <v>693</v>
      </c>
      <c r="C219" s="297"/>
      <c r="D219" s="297"/>
      <c r="E219" s="297" t="s">
        <v>701</v>
      </c>
    </row>
    <row r="220" spans="2:5" ht="15.75">
      <c r="B220" s="185" t="s">
        <v>644</v>
      </c>
      <c r="C220" s="311">
        <f>SUM(C216:C219)</f>
        <v>38326</v>
      </c>
      <c r="D220" s="311">
        <f>SUM(D216:D219)</f>
        <v>39345</v>
      </c>
      <c r="E220" s="311">
        <f>SUM(E216:E219)</f>
        <v>40612</v>
      </c>
    </row>
    <row r="221" spans="2:5" ht="15.75">
      <c r="B221" s="335" t="s">
        <v>91</v>
      </c>
      <c r="C221" s="109"/>
      <c r="D221" s="109"/>
      <c r="E221" s="109"/>
    </row>
    <row r="222" spans="2:5" ht="15.75">
      <c r="B222" s="336" t="s">
        <v>691</v>
      </c>
      <c r="C222" s="297">
        <v>43136</v>
      </c>
      <c r="D222" s="297">
        <v>75000</v>
      </c>
      <c r="E222" s="297">
        <v>75000</v>
      </c>
    </row>
    <row r="223" spans="2:5" ht="15.75">
      <c r="B223" s="336" t="s">
        <v>701</v>
      </c>
      <c r="C223" s="297"/>
      <c r="D223" s="297"/>
      <c r="E223" s="297"/>
    </row>
    <row r="224" spans="2:5" ht="15.75">
      <c r="B224" s="336" t="s">
        <v>701</v>
      </c>
      <c r="C224" s="297"/>
      <c r="D224" s="297"/>
      <c r="E224" s="297"/>
    </row>
    <row r="225" spans="2:5" ht="15.75">
      <c r="B225" s="336" t="s">
        <v>701</v>
      </c>
      <c r="C225" s="297"/>
      <c r="D225" s="297"/>
      <c r="E225" s="297"/>
    </row>
    <row r="226" spans="2:5" ht="15.75">
      <c r="B226" s="185" t="s">
        <v>644</v>
      </c>
      <c r="C226" s="311">
        <f>SUM(C222:C225)</f>
        <v>43136</v>
      </c>
      <c r="D226" s="311">
        <f>SUM(D222:D225)</f>
        <v>75000</v>
      </c>
      <c r="E226" s="311">
        <f>SUM(E222:E225)</f>
        <v>75000</v>
      </c>
    </row>
    <row r="227" spans="2:5" ht="15.75">
      <c r="B227" s="335" t="s">
        <v>92</v>
      </c>
      <c r="C227" s="109"/>
      <c r="D227" s="109"/>
      <c r="E227" s="109"/>
    </row>
    <row r="228" spans="2:5" ht="15.75">
      <c r="B228" s="336" t="s">
        <v>690</v>
      </c>
      <c r="C228" s="297">
        <v>179046</v>
      </c>
      <c r="D228" s="297">
        <v>175000</v>
      </c>
      <c r="E228" s="297">
        <v>175000</v>
      </c>
    </row>
    <row r="229" spans="2:5" ht="15.75">
      <c r="B229" s="336" t="s">
        <v>691</v>
      </c>
      <c r="C229" s="297"/>
      <c r="D229" s="297"/>
      <c r="E229" s="297"/>
    </row>
    <row r="230" spans="2:5" ht="15.75">
      <c r="B230" s="336" t="s">
        <v>692</v>
      </c>
      <c r="C230" s="297"/>
      <c r="D230" s="297"/>
      <c r="E230" s="297"/>
    </row>
    <row r="231" spans="2:5" ht="15.75">
      <c r="B231" s="336" t="s">
        <v>693</v>
      </c>
      <c r="C231" s="297"/>
      <c r="D231" s="297"/>
      <c r="E231" s="297"/>
    </row>
    <row r="232" spans="2:5" ht="15.75">
      <c r="B232" s="185" t="s">
        <v>644</v>
      </c>
      <c r="C232" s="311">
        <f>SUM(C228:C231)</f>
        <v>179046</v>
      </c>
      <c r="D232" s="311">
        <f>SUM(D228:D231)</f>
        <v>175000</v>
      </c>
      <c r="E232" s="311">
        <f>SUM(E228:E231)</f>
        <v>175000</v>
      </c>
    </row>
    <row r="233" spans="2:5" ht="15.75">
      <c r="B233" s="335" t="s">
        <v>93</v>
      </c>
      <c r="C233" s="109"/>
      <c r="D233" s="109"/>
      <c r="E233" s="109"/>
    </row>
    <row r="234" spans="2:5" ht="15.75">
      <c r="B234" s="336" t="s">
        <v>690</v>
      </c>
      <c r="C234" s="297">
        <v>0</v>
      </c>
      <c r="D234" s="297">
        <v>2387200</v>
      </c>
      <c r="E234" s="297">
        <v>453200</v>
      </c>
    </row>
    <row r="235" spans="2:5" ht="15.75">
      <c r="B235" s="336" t="s">
        <v>691</v>
      </c>
      <c r="C235" s="297"/>
      <c r="D235" s="297"/>
      <c r="E235" s="297"/>
    </row>
    <row r="236" spans="2:5" ht="15.75">
      <c r="B236" s="336" t="s">
        <v>692</v>
      </c>
      <c r="C236" s="297"/>
      <c r="D236" s="297"/>
      <c r="E236" s="297"/>
    </row>
    <row r="237" spans="2:5" ht="15.75">
      <c r="B237" s="336" t="s">
        <v>693</v>
      </c>
      <c r="C237" s="297"/>
      <c r="D237" s="297"/>
      <c r="E237" s="297"/>
    </row>
    <row r="238" spans="2:5" ht="15.75">
      <c r="B238" s="185" t="s">
        <v>644</v>
      </c>
      <c r="C238" s="311">
        <f>SUM(C234:C237)</f>
        <v>0</v>
      </c>
      <c r="D238" s="311">
        <f>SUM(D234:D237)</f>
        <v>2387200</v>
      </c>
      <c r="E238" s="311">
        <f>SUM(E234:E237)</f>
        <v>453200</v>
      </c>
    </row>
    <row r="239" spans="2:5" ht="15.75">
      <c r="B239" s="185"/>
      <c r="C239" s="109"/>
      <c r="D239" s="109"/>
      <c r="E239" s="109"/>
    </row>
    <row r="240" spans="2:5" ht="15.75">
      <c r="B240" s="185" t="s">
        <v>819</v>
      </c>
      <c r="C240" s="302">
        <f>C190+C196+C202+C208+C214+C220+C222+C232+C238</f>
        <v>1306425</v>
      </c>
      <c r="D240" s="302">
        <f>D190+D196+D202+D208+D214+D220+D222+D232+D238</f>
        <v>4208793</v>
      </c>
      <c r="E240" s="302">
        <f>E190+E196+E202+E208+E214+E220+E222+E232+E238</f>
        <v>2328565</v>
      </c>
    </row>
    <row r="241" spans="2:5" ht="15.75">
      <c r="B241" s="66"/>
      <c r="C241" s="199"/>
      <c r="D241" s="199"/>
      <c r="E241" s="199"/>
    </row>
    <row r="242" spans="2:5" ht="15.75">
      <c r="B242" s="723" t="s">
        <v>566</v>
      </c>
      <c r="C242" s="723"/>
      <c r="D242" s="723"/>
      <c r="E242" s="723"/>
    </row>
    <row r="243" spans="2:5" ht="15.75">
      <c r="B243" s="199" t="str">
        <f>inputPrYr!C3</f>
        <v>Montgomery County</v>
      </c>
      <c r="C243" s="199"/>
      <c r="D243" s="65"/>
      <c r="E243" s="338">
        <f>E1</f>
        <v>2015</v>
      </c>
    </row>
    <row r="244" spans="2:5" ht="15.75">
      <c r="B244" s="66"/>
      <c r="C244" s="199"/>
      <c r="D244" s="199"/>
      <c r="E244" s="65"/>
    </row>
    <row r="245" spans="2:5" ht="15.75">
      <c r="B245" s="303" t="s">
        <v>745</v>
      </c>
      <c r="C245" s="144"/>
      <c r="D245" s="144"/>
      <c r="E245" s="144"/>
    </row>
    <row r="246" spans="2:5" ht="15.75">
      <c r="B246" s="66" t="s">
        <v>672</v>
      </c>
      <c r="C246" s="505" t="str">
        <f aca="true" t="shared" si="3" ref="C246:E247">C4</f>
        <v>Prior Year </v>
      </c>
      <c r="D246" s="506" t="str">
        <f t="shared" si="3"/>
        <v>Current Year </v>
      </c>
      <c r="E246" s="506" t="str">
        <f t="shared" si="3"/>
        <v>Proposed Budget </v>
      </c>
    </row>
    <row r="247" spans="2:5" ht="15.75">
      <c r="B247" s="95" t="s">
        <v>689</v>
      </c>
      <c r="C247" s="305" t="str">
        <f t="shared" si="3"/>
        <v>Actual for 2013</v>
      </c>
      <c r="D247" s="305" t="str">
        <f t="shared" si="3"/>
        <v>Estimate for 2014</v>
      </c>
      <c r="E247" s="305" t="str">
        <f t="shared" si="3"/>
        <v>Year for 2015</v>
      </c>
    </row>
    <row r="248" spans="2:5" ht="15.75">
      <c r="B248" s="255" t="s">
        <v>685</v>
      </c>
      <c r="C248" s="109"/>
      <c r="D248" s="109"/>
      <c r="E248" s="109"/>
    </row>
    <row r="249" spans="2:5" ht="15.75">
      <c r="B249" s="335" t="s">
        <v>94</v>
      </c>
      <c r="C249" s="109"/>
      <c r="D249" s="109"/>
      <c r="E249" s="109"/>
    </row>
    <row r="250" spans="2:5" ht="15.75">
      <c r="B250" s="336" t="s">
        <v>691</v>
      </c>
      <c r="C250" s="297">
        <v>0</v>
      </c>
      <c r="D250" s="297">
        <v>13500</v>
      </c>
      <c r="E250" s="297">
        <v>13500</v>
      </c>
    </row>
    <row r="251" spans="2:5" ht="15.75">
      <c r="B251" s="336" t="s">
        <v>701</v>
      </c>
      <c r="C251" s="297"/>
      <c r="D251" s="297"/>
      <c r="E251" s="297"/>
    </row>
    <row r="252" spans="2:5" ht="15.75">
      <c r="B252" s="336" t="s">
        <v>701</v>
      </c>
      <c r="C252" s="297"/>
      <c r="D252" s="297"/>
      <c r="E252" s="297"/>
    </row>
    <row r="253" spans="2:5" ht="15.75">
      <c r="B253" s="336" t="s">
        <v>701</v>
      </c>
      <c r="C253" s="297"/>
      <c r="D253" s="297"/>
      <c r="E253" s="297"/>
    </row>
    <row r="254" spans="2:5" ht="15.75">
      <c r="B254" s="185" t="s">
        <v>644</v>
      </c>
      <c r="C254" s="311">
        <f>SUM(C250:C253)</f>
        <v>0</v>
      </c>
      <c r="D254" s="311">
        <f>SUM(D250:D253)</f>
        <v>13500</v>
      </c>
      <c r="E254" s="311">
        <f>SUM(E250:E253)</f>
        <v>13500</v>
      </c>
    </row>
    <row r="255" spans="2:5" ht="15.75">
      <c r="B255" s="335" t="s">
        <v>95</v>
      </c>
      <c r="C255" s="109"/>
      <c r="D255" s="109"/>
      <c r="E255" s="109"/>
    </row>
    <row r="256" spans="2:5" ht="15.75">
      <c r="B256" s="336" t="s">
        <v>690</v>
      </c>
      <c r="C256" s="297">
        <v>5215</v>
      </c>
      <c r="D256" s="297">
        <v>5648</v>
      </c>
      <c r="E256" s="297">
        <v>5648</v>
      </c>
    </row>
    <row r="257" spans="2:5" ht="15.75">
      <c r="B257" s="336" t="s">
        <v>691</v>
      </c>
      <c r="C257" s="297"/>
      <c r="D257" s="297"/>
      <c r="E257" s="297"/>
    </row>
    <row r="258" spans="2:5" ht="15.75">
      <c r="B258" s="336" t="s">
        <v>692</v>
      </c>
      <c r="C258" s="297"/>
      <c r="D258" s="297"/>
      <c r="E258" s="297"/>
    </row>
    <row r="259" spans="2:5" ht="15.75">
      <c r="B259" s="336" t="s">
        <v>693</v>
      </c>
      <c r="C259" s="297"/>
      <c r="D259" s="297"/>
      <c r="E259" s="297"/>
    </row>
    <row r="260" spans="2:5" ht="15.75">
      <c r="B260" s="185" t="s">
        <v>644</v>
      </c>
      <c r="C260" s="311">
        <f>SUM(C256:C259)</f>
        <v>5215</v>
      </c>
      <c r="D260" s="311">
        <f>SUM(D256:D259)</f>
        <v>5648</v>
      </c>
      <c r="E260" s="311">
        <f>SUM(E256:E259)</f>
        <v>5648</v>
      </c>
    </row>
    <row r="261" spans="2:5" ht="15.75">
      <c r="B261" s="335" t="s">
        <v>96</v>
      </c>
      <c r="C261" s="109"/>
      <c r="D261" s="109"/>
      <c r="E261" s="109"/>
    </row>
    <row r="262" spans="2:5" ht="15.75">
      <c r="B262" s="336" t="s">
        <v>97</v>
      </c>
      <c r="C262" s="297">
        <v>79461</v>
      </c>
      <c r="D262" s="297">
        <v>95000</v>
      </c>
      <c r="E262" s="297">
        <v>95000</v>
      </c>
    </row>
    <row r="263" spans="2:5" ht="15.75">
      <c r="B263" s="336" t="s">
        <v>701</v>
      </c>
      <c r="C263" s="297"/>
      <c r="D263" s="297"/>
      <c r="E263" s="297"/>
    </row>
    <row r="264" spans="2:5" ht="15.75">
      <c r="B264" s="336" t="s">
        <v>701</v>
      </c>
      <c r="C264" s="297"/>
      <c r="D264" s="297"/>
      <c r="E264" s="297"/>
    </row>
    <row r="265" spans="2:5" ht="15.75">
      <c r="B265" s="336" t="s">
        <v>701</v>
      </c>
      <c r="C265" s="297"/>
      <c r="D265" s="297"/>
      <c r="E265" s="297"/>
    </row>
    <row r="266" spans="2:5" ht="15.75">
      <c r="B266" s="185" t="s">
        <v>644</v>
      </c>
      <c r="C266" s="311">
        <f>SUM(C262:C265)</f>
        <v>79461</v>
      </c>
      <c r="D266" s="311">
        <f>SUM(D262:D265)</f>
        <v>95000</v>
      </c>
      <c r="E266" s="311">
        <f>SUM(E262:E265)</f>
        <v>95000</v>
      </c>
    </row>
    <row r="267" spans="2:5" ht="15.75">
      <c r="B267" s="335"/>
      <c r="C267" s="109"/>
      <c r="D267" s="109"/>
      <c r="E267" s="109"/>
    </row>
    <row r="268" spans="2:5" ht="15.75">
      <c r="B268" s="336"/>
      <c r="C268" s="297"/>
      <c r="D268" s="297"/>
      <c r="E268" s="297"/>
    </row>
    <row r="269" spans="2:5" ht="15.75">
      <c r="B269" s="336"/>
      <c r="C269" s="297"/>
      <c r="D269" s="297"/>
      <c r="E269" s="297"/>
    </row>
    <row r="270" spans="2:5" ht="15.75">
      <c r="B270" s="336"/>
      <c r="C270" s="297"/>
      <c r="D270" s="297"/>
      <c r="E270" s="297"/>
    </row>
    <row r="271" spans="2:5" ht="15.75">
      <c r="B271" s="336"/>
      <c r="C271" s="297"/>
      <c r="D271" s="297"/>
      <c r="E271" s="297"/>
    </row>
    <row r="272" spans="2:5" ht="15.75">
      <c r="B272" s="185" t="s">
        <v>644</v>
      </c>
      <c r="C272" s="311">
        <f>SUM(C268:C271)</f>
        <v>0</v>
      </c>
      <c r="D272" s="311">
        <f>SUM(D268:D271)</f>
        <v>0</v>
      </c>
      <c r="E272" s="311">
        <f>SUM(E268:E271)</f>
        <v>0</v>
      </c>
    </row>
    <row r="273" spans="2:5" ht="15.75">
      <c r="B273" s="335"/>
      <c r="C273" s="109"/>
      <c r="D273" s="109"/>
      <c r="E273" s="109"/>
    </row>
    <row r="274" spans="2:5" ht="15.75">
      <c r="B274" s="336"/>
      <c r="C274" s="297"/>
      <c r="D274" s="297"/>
      <c r="E274" s="297"/>
    </row>
    <row r="275" spans="2:5" ht="15.75">
      <c r="B275" s="336"/>
      <c r="C275" s="297"/>
      <c r="D275" s="297"/>
      <c r="E275" s="297"/>
    </row>
    <row r="276" spans="2:5" ht="15.75">
      <c r="B276" s="185" t="s">
        <v>644</v>
      </c>
      <c r="C276" s="311">
        <f>SUM(C274:C275)</f>
        <v>0</v>
      </c>
      <c r="D276" s="311">
        <f>SUM(D274:D275)</f>
        <v>0</v>
      </c>
      <c r="E276" s="311">
        <f>SUM(E274:E275)</f>
        <v>0</v>
      </c>
    </row>
    <row r="277" spans="2:5" ht="15.75">
      <c r="B277" s="335"/>
      <c r="C277" s="109"/>
      <c r="D277" s="109"/>
      <c r="E277" s="109"/>
    </row>
    <row r="278" spans="2:5" ht="15.75">
      <c r="B278" s="336"/>
      <c r="C278" s="297"/>
      <c r="D278" s="297"/>
      <c r="E278" s="297"/>
    </row>
    <row r="279" spans="2:5" ht="15.75">
      <c r="B279" s="336"/>
      <c r="C279" s="297"/>
      <c r="D279" s="297"/>
      <c r="E279" s="297"/>
    </row>
    <row r="280" spans="2:5" ht="15.75">
      <c r="B280" s="336"/>
      <c r="C280" s="297"/>
      <c r="D280" s="297"/>
      <c r="E280" s="297"/>
    </row>
    <row r="281" spans="2:5" ht="15.75">
      <c r="B281" s="336"/>
      <c r="C281" s="297"/>
      <c r="D281" s="297"/>
      <c r="E281" s="297"/>
    </row>
    <row r="282" spans="2:5" ht="15.75">
      <c r="B282" s="185" t="s">
        <v>644</v>
      </c>
      <c r="C282" s="311">
        <f>SUM(C278:C281)</f>
        <v>0</v>
      </c>
      <c r="D282" s="311">
        <f>SUM(D278:D281)</f>
        <v>0</v>
      </c>
      <c r="E282" s="311">
        <f>SUM(E278:E281)</f>
        <v>0</v>
      </c>
    </row>
    <row r="283" spans="2:5" ht="15.75">
      <c r="B283" s="335"/>
      <c r="C283" s="109"/>
      <c r="D283" s="109"/>
      <c r="E283" s="109"/>
    </row>
    <row r="284" spans="2:5" ht="15.75">
      <c r="B284" s="336"/>
      <c r="C284" s="297"/>
      <c r="D284" s="297"/>
      <c r="E284" s="297" t="s">
        <v>701</v>
      </c>
    </row>
    <row r="285" spans="2:5" ht="15.75">
      <c r="B285" s="336"/>
      <c r="C285" s="297"/>
      <c r="D285" s="297"/>
      <c r="E285" s="297"/>
    </row>
    <row r="286" spans="2:5" ht="15.75">
      <c r="B286" s="336"/>
      <c r="C286" s="297"/>
      <c r="D286" s="297"/>
      <c r="E286" s="297"/>
    </row>
    <row r="287" spans="2:5" ht="15.75">
      <c r="B287" s="336"/>
      <c r="C287" s="297"/>
      <c r="D287" s="297"/>
      <c r="E287" s="297"/>
    </row>
    <row r="288" spans="2:5" ht="15.75">
      <c r="B288" s="295" t="s">
        <v>644</v>
      </c>
      <c r="C288" s="311">
        <f>SUM(C284:C287)</f>
        <v>0</v>
      </c>
      <c r="D288" s="311">
        <f>SUM(D284:D287)</f>
        <v>0</v>
      </c>
      <c r="E288" s="311">
        <f>SUM(E284:E287)</f>
        <v>0</v>
      </c>
    </row>
    <row r="289" spans="2:5" ht="15.75">
      <c r="B289" s="185"/>
      <c r="C289" s="109"/>
      <c r="D289" s="109"/>
      <c r="E289" s="109"/>
    </row>
    <row r="290" spans="2:5" ht="15.75">
      <c r="B290" s="185" t="s">
        <v>820</v>
      </c>
      <c r="C290" s="311">
        <f>C254+C260+C266+C272+C276+C282+C288</f>
        <v>84676</v>
      </c>
      <c r="D290" s="311">
        <f>D254+D260+D266+D272+D276+D282+D288</f>
        <v>114148</v>
      </c>
      <c r="E290" s="311">
        <f>E254+E260+E266+E272+E276+E282+E288</f>
        <v>114148</v>
      </c>
    </row>
    <row r="291" spans="2:5" ht="15.75">
      <c r="B291" s="185"/>
      <c r="C291" s="109"/>
      <c r="D291" s="109"/>
      <c r="E291" s="109"/>
    </row>
    <row r="292" spans="2:5" ht="15.75">
      <c r="B292" s="185" t="s">
        <v>821</v>
      </c>
      <c r="C292" s="311">
        <f>C57</f>
        <v>1414642</v>
      </c>
      <c r="D292" s="311">
        <f>D57</f>
        <v>1383850</v>
      </c>
      <c r="E292" s="311">
        <f>E57</f>
        <v>1443157</v>
      </c>
    </row>
    <row r="293" spans="2:5" ht="15.75">
      <c r="B293" s="66"/>
      <c r="C293" s="109"/>
      <c r="D293" s="109"/>
      <c r="E293" s="109"/>
    </row>
    <row r="294" spans="2:5" ht="15.75">
      <c r="B294" s="185" t="s">
        <v>817</v>
      </c>
      <c r="C294" s="311">
        <f>C116</f>
        <v>2464371</v>
      </c>
      <c r="D294" s="311">
        <f>D116</f>
        <v>2404605</v>
      </c>
      <c r="E294" s="311">
        <f>E116</f>
        <v>2542020</v>
      </c>
    </row>
    <row r="295" spans="2:5" ht="15.75">
      <c r="B295" s="66"/>
      <c r="C295" s="109"/>
      <c r="D295" s="109"/>
      <c r="E295" s="109"/>
    </row>
    <row r="296" spans="2:5" ht="15.75">
      <c r="B296" s="185" t="s">
        <v>818</v>
      </c>
      <c r="C296" s="311">
        <f>C176</f>
        <v>2084437</v>
      </c>
      <c r="D296" s="311">
        <f>D176</f>
        <v>2147457</v>
      </c>
      <c r="E296" s="311">
        <f>E176</f>
        <v>2189622</v>
      </c>
    </row>
    <row r="297" spans="2:5" ht="15.75">
      <c r="B297" s="66"/>
      <c r="C297" s="109"/>
      <c r="D297" s="109"/>
      <c r="E297" s="109"/>
    </row>
    <row r="298" spans="2:5" ht="15.75">
      <c r="B298" s="185" t="s">
        <v>819</v>
      </c>
      <c r="C298" s="311">
        <f>C240</f>
        <v>1306425</v>
      </c>
      <c r="D298" s="311">
        <f>D240</f>
        <v>4208793</v>
      </c>
      <c r="E298" s="311">
        <f>E240</f>
        <v>2328565</v>
      </c>
    </row>
    <row r="299" spans="2:5" ht="15.75">
      <c r="B299" s="66"/>
      <c r="C299" s="109"/>
      <c r="D299" s="109"/>
      <c r="E299" s="109"/>
    </row>
    <row r="300" spans="2:5" ht="16.5" thickBot="1">
      <c r="B300" s="185" t="s">
        <v>874</v>
      </c>
      <c r="C300" s="339">
        <f>SUM(C290:C299)</f>
        <v>7354551</v>
      </c>
      <c r="D300" s="339">
        <f>SUM(D290:D299)</f>
        <v>10258853</v>
      </c>
      <c r="E300" s="339">
        <f>SUM(E290:E299)</f>
        <v>8617512</v>
      </c>
    </row>
    <row r="301" spans="2:5" ht="16.5" thickTop="1">
      <c r="B301" s="340" t="s">
        <v>873</v>
      </c>
      <c r="C301" s="341"/>
      <c r="D301" s="341"/>
      <c r="E301" s="124"/>
    </row>
    <row r="302" spans="2:5" ht="15.75">
      <c r="B302" s="723" t="s">
        <v>565</v>
      </c>
      <c r="C302" s="723"/>
      <c r="D302" s="723"/>
      <c r="E302" s="723"/>
    </row>
    <row r="303" spans="3:5" ht="15.75">
      <c r="C303" s="342"/>
      <c r="D303" s="342"/>
      <c r="E303" s="342"/>
    </row>
    <row r="304" spans="3:5" ht="15.75">
      <c r="C304" s="342"/>
      <c r="D304" s="342"/>
      <c r="E304" s="342"/>
    </row>
    <row r="305" spans="3:5" ht="15.75">
      <c r="C305" s="342"/>
      <c r="D305" s="342"/>
      <c r="E305" s="342"/>
    </row>
    <row r="306" spans="3:5" ht="15.75">
      <c r="C306" s="342"/>
      <c r="D306" s="342"/>
      <c r="E306" s="342"/>
    </row>
    <row r="307" spans="3:5" ht="15.75">
      <c r="C307" s="342"/>
      <c r="D307" s="342"/>
      <c r="E307" s="342"/>
    </row>
    <row r="308" spans="3:5" ht="15.75">
      <c r="C308" s="342"/>
      <c r="D308" s="342"/>
      <c r="E308" s="342"/>
    </row>
    <row r="309" spans="3:5" ht="15.75">
      <c r="C309" s="342"/>
      <c r="D309" s="342"/>
      <c r="E309" s="342"/>
    </row>
    <row r="310" spans="3:5" ht="15.75">
      <c r="C310" s="342"/>
      <c r="D310" s="342"/>
      <c r="E310" s="342"/>
    </row>
    <row r="311" spans="3:5" ht="15.75">
      <c r="C311" s="342"/>
      <c r="D311" s="342"/>
      <c r="E311" s="342"/>
    </row>
    <row r="312" spans="3:5" ht="15.75">
      <c r="C312" s="342"/>
      <c r="D312" s="342"/>
      <c r="E312" s="342"/>
    </row>
    <row r="313" spans="3:5" ht="15.75">
      <c r="C313" s="342"/>
      <c r="D313" s="342"/>
      <c r="E313" s="342"/>
    </row>
    <row r="314" spans="3:5" ht="15.75">
      <c r="C314" s="342"/>
      <c r="D314" s="342"/>
      <c r="E314" s="342"/>
    </row>
    <row r="315" spans="3:5" ht="15.75">
      <c r="C315" s="342"/>
      <c r="D315" s="342"/>
      <c r="E315" s="342"/>
    </row>
    <row r="316" spans="3:5" ht="15.75">
      <c r="C316" s="342"/>
      <c r="D316" s="342"/>
      <c r="E316" s="342"/>
    </row>
    <row r="317" spans="3:5" ht="15.75">
      <c r="C317" s="342"/>
      <c r="D317" s="342"/>
      <c r="E317" s="342"/>
    </row>
    <row r="318" spans="3:5" ht="15.75">
      <c r="C318" s="342"/>
      <c r="D318" s="342"/>
      <c r="E318" s="342"/>
    </row>
    <row r="319" spans="3:5" ht="15.75">
      <c r="C319" s="342"/>
      <c r="D319" s="342"/>
      <c r="E319" s="342"/>
    </row>
    <row r="320" spans="3:5" ht="15.75">
      <c r="C320" s="342"/>
      <c r="D320" s="342"/>
      <c r="E320" s="342"/>
    </row>
    <row r="321" spans="3:5" ht="15.75">
      <c r="C321" s="342"/>
      <c r="D321" s="342"/>
      <c r="E321" s="342"/>
    </row>
    <row r="322" spans="3:5" ht="15.75">
      <c r="C322" s="342"/>
      <c r="D322" s="342"/>
      <c r="E322" s="342"/>
    </row>
    <row r="323" spans="3:5" ht="15.75">
      <c r="C323" s="342"/>
      <c r="D323" s="342"/>
      <c r="E323" s="342"/>
    </row>
    <row r="324" spans="3:5" ht="15.75">
      <c r="C324" s="342"/>
      <c r="D324" s="342"/>
      <c r="E324" s="342"/>
    </row>
    <row r="325" spans="3:5" ht="15.75">
      <c r="C325" s="342"/>
      <c r="D325" s="342"/>
      <c r="E325" s="342"/>
    </row>
    <row r="326" spans="3:5" ht="15.75">
      <c r="C326" s="342"/>
      <c r="D326" s="342"/>
      <c r="E326" s="342"/>
    </row>
    <row r="327" spans="3:5" ht="15.75">
      <c r="C327" s="342"/>
      <c r="D327" s="342"/>
      <c r="E327" s="342"/>
    </row>
    <row r="328" spans="3:5" ht="15.75">
      <c r="C328" s="342"/>
      <c r="D328" s="342"/>
      <c r="E328" s="342"/>
    </row>
    <row r="329" spans="3:5" ht="15.75">
      <c r="C329" s="342"/>
      <c r="D329" s="342"/>
      <c r="E329" s="342"/>
    </row>
    <row r="330" spans="3:5" ht="15.75">
      <c r="C330" s="342"/>
      <c r="D330" s="342"/>
      <c r="E330" s="342"/>
    </row>
    <row r="331" spans="3:5" ht="15.75">
      <c r="C331" s="342"/>
      <c r="D331" s="342"/>
      <c r="E331" s="342"/>
    </row>
    <row r="332" spans="3:5" ht="15.75">
      <c r="C332" s="342"/>
      <c r="D332" s="342"/>
      <c r="E332" s="342"/>
    </row>
    <row r="333" spans="3:5" ht="15.75">
      <c r="C333" s="342"/>
      <c r="D333" s="342"/>
      <c r="E333" s="342"/>
    </row>
    <row r="334" spans="3:5" ht="15.75">
      <c r="C334" s="342"/>
      <c r="D334" s="342"/>
      <c r="E334" s="342"/>
    </row>
    <row r="335" spans="3:5" ht="15.75">
      <c r="C335" s="342"/>
      <c r="D335" s="342"/>
      <c r="E335" s="342"/>
    </row>
    <row r="336" spans="3:5" ht="15.75">
      <c r="C336" s="342"/>
      <c r="D336" s="342"/>
      <c r="E336" s="342"/>
    </row>
    <row r="337" spans="3:5" ht="15.75">
      <c r="C337" s="342"/>
      <c r="D337" s="342"/>
      <c r="E337" s="342"/>
    </row>
    <row r="338" spans="3:5" ht="15.75">
      <c r="C338" s="342"/>
      <c r="D338" s="342"/>
      <c r="E338" s="342"/>
    </row>
    <row r="339" spans="3:5" ht="15.75">
      <c r="C339" s="342"/>
      <c r="D339" s="342"/>
      <c r="E339" s="342"/>
    </row>
    <row r="340" spans="3:5" ht="15.75">
      <c r="C340" s="342"/>
      <c r="D340" s="342"/>
      <c r="E340" s="342"/>
    </row>
    <row r="341" spans="3:5" ht="15.75">
      <c r="C341" s="342"/>
      <c r="D341" s="342"/>
      <c r="E341" s="342"/>
    </row>
    <row r="342" spans="3:5" ht="15.75">
      <c r="C342" s="342"/>
      <c r="D342" s="342"/>
      <c r="E342" s="342"/>
    </row>
    <row r="343" spans="3:5" ht="15.75">
      <c r="C343" s="342"/>
      <c r="D343" s="342"/>
      <c r="E343" s="342"/>
    </row>
    <row r="344" spans="3:5" ht="15.75">
      <c r="C344" s="342"/>
      <c r="D344" s="342"/>
      <c r="E344" s="342"/>
    </row>
    <row r="345" spans="3:5" ht="15.75">
      <c r="C345" s="342"/>
      <c r="D345" s="342"/>
      <c r="E345" s="342"/>
    </row>
    <row r="346" spans="3:5" ht="15.75">
      <c r="C346" s="342"/>
      <c r="D346" s="342"/>
      <c r="E346" s="342"/>
    </row>
    <row r="347" spans="3:5" ht="15.75">
      <c r="C347" s="342"/>
      <c r="D347" s="342"/>
      <c r="E347" s="342"/>
    </row>
    <row r="348" spans="3:5" ht="15.75">
      <c r="C348" s="342"/>
      <c r="D348" s="342"/>
      <c r="E348" s="342"/>
    </row>
    <row r="349" spans="3:5" ht="15.75">
      <c r="C349" s="342"/>
      <c r="D349" s="342"/>
      <c r="E349" s="342"/>
    </row>
    <row r="350" spans="3:5" ht="15.75">
      <c r="C350" s="342"/>
      <c r="D350" s="342"/>
      <c r="E350" s="342"/>
    </row>
    <row r="351" spans="3:5" ht="15.75">
      <c r="C351" s="342"/>
      <c r="D351" s="342"/>
      <c r="E351" s="342"/>
    </row>
    <row r="352" spans="3:5" ht="15.75">
      <c r="C352" s="342"/>
      <c r="D352" s="342"/>
      <c r="E352" s="342"/>
    </row>
    <row r="353" spans="3:5" ht="15.75">
      <c r="C353" s="342"/>
      <c r="D353" s="342"/>
      <c r="E353" s="342"/>
    </row>
    <row r="354" spans="3:5" ht="15.75">
      <c r="C354" s="342"/>
      <c r="D354" s="342"/>
      <c r="E354" s="342"/>
    </row>
    <row r="355" spans="3:5" ht="15.75">
      <c r="C355" s="342"/>
      <c r="D355" s="342"/>
      <c r="E355" s="342"/>
    </row>
    <row r="356" spans="3:5" ht="15.75">
      <c r="C356" s="342"/>
      <c r="D356" s="342"/>
      <c r="E356" s="342"/>
    </row>
    <row r="357" spans="3:5" ht="15.75">
      <c r="C357" s="342"/>
      <c r="D357" s="342"/>
      <c r="E357" s="342"/>
    </row>
    <row r="358" spans="3:5" ht="15.75">
      <c r="C358" s="342"/>
      <c r="D358" s="342"/>
      <c r="E358" s="342"/>
    </row>
    <row r="359" spans="3:5" ht="15.75">
      <c r="C359" s="342"/>
      <c r="D359" s="342"/>
      <c r="E359" s="342"/>
    </row>
    <row r="360" spans="3:5" ht="15.75">
      <c r="C360" s="342"/>
      <c r="D360" s="342"/>
      <c r="E360" s="342"/>
    </row>
    <row r="361" spans="3:5" ht="15.75">
      <c r="C361" s="342"/>
      <c r="D361" s="342"/>
      <c r="E361" s="342"/>
    </row>
    <row r="362" spans="3:5" ht="15.75">
      <c r="C362" s="342"/>
      <c r="D362" s="342"/>
      <c r="E362" s="342"/>
    </row>
    <row r="363" spans="3:5" ht="15.75">
      <c r="C363" s="342"/>
      <c r="D363" s="342"/>
      <c r="E363" s="342"/>
    </row>
    <row r="364" spans="3:5" ht="15.75">
      <c r="C364" s="342"/>
      <c r="D364" s="342"/>
      <c r="E364" s="342"/>
    </row>
    <row r="365" spans="3:5" ht="15.75">
      <c r="C365" s="342"/>
      <c r="D365" s="342"/>
      <c r="E365" s="342"/>
    </row>
    <row r="366" spans="3:5" ht="15.75">
      <c r="C366" s="342"/>
      <c r="D366" s="342"/>
      <c r="E366" s="342"/>
    </row>
    <row r="367" spans="3:5" ht="15.75">
      <c r="C367" s="342"/>
      <c r="D367" s="342"/>
      <c r="E367" s="342"/>
    </row>
    <row r="368" spans="3:5" ht="15.75">
      <c r="C368" s="342"/>
      <c r="D368" s="342"/>
      <c r="E368" s="342"/>
    </row>
    <row r="369" spans="3:5" ht="15.75">
      <c r="C369" s="342"/>
      <c r="D369" s="342"/>
      <c r="E369" s="342"/>
    </row>
    <row r="370" spans="3:5" ht="15.75">
      <c r="C370" s="342"/>
      <c r="D370" s="342"/>
      <c r="E370" s="342"/>
    </row>
    <row r="371" spans="3:5" ht="15.75">
      <c r="C371" s="342"/>
      <c r="D371" s="342"/>
      <c r="E371" s="342"/>
    </row>
    <row r="372" spans="3:5" ht="15.75">
      <c r="C372" s="342"/>
      <c r="D372" s="342"/>
      <c r="E372" s="342"/>
    </row>
    <row r="373" spans="3:5" ht="15.75">
      <c r="C373" s="342"/>
      <c r="D373" s="342"/>
      <c r="E373" s="342"/>
    </row>
    <row r="374" spans="3:5" ht="15.75">
      <c r="C374" s="342"/>
      <c r="D374" s="342"/>
      <c r="E374" s="342"/>
    </row>
    <row r="375" spans="3:5" ht="15.75">
      <c r="C375" s="342"/>
      <c r="D375" s="342"/>
      <c r="E375" s="342"/>
    </row>
    <row r="376" spans="3:5" ht="15.75">
      <c r="C376" s="342"/>
      <c r="D376" s="342"/>
      <c r="E376" s="342"/>
    </row>
    <row r="377" spans="3:5" ht="15.75">
      <c r="C377" s="342"/>
      <c r="D377" s="342"/>
      <c r="E377" s="342"/>
    </row>
    <row r="378" spans="3:5" ht="15.75">
      <c r="C378" s="342"/>
      <c r="D378" s="342"/>
      <c r="E378" s="342"/>
    </row>
    <row r="379" spans="3:5" ht="15.75">
      <c r="C379" s="342"/>
      <c r="D379" s="342"/>
      <c r="E379" s="342"/>
    </row>
    <row r="380" spans="3:5" ht="15.75">
      <c r="C380" s="342"/>
      <c r="D380" s="342"/>
      <c r="E380" s="342"/>
    </row>
    <row r="381" spans="3:5" ht="15.75">
      <c r="C381" s="342"/>
      <c r="D381" s="342"/>
      <c r="E381" s="342"/>
    </row>
    <row r="382" spans="3:5" ht="15.75">
      <c r="C382" s="342"/>
      <c r="D382" s="342"/>
      <c r="E382" s="342"/>
    </row>
    <row r="383" spans="3:5" ht="15.75">
      <c r="C383" s="342"/>
      <c r="D383" s="342"/>
      <c r="E383" s="342"/>
    </row>
    <row r="384" spans="3:5" ht="15.75">
      <c r="C384" s="342"/>
      <c r="D384" s="342"/>
      <c r="E384" s="342"/>
    </row>
    <row r="385" spans="3:5" ht="15.75">
      <c r="C385" s="342"/>
      <c r="D385" s="342"/>
      <c r="E385" s="342"/>
    </row>
    <row r="386" spans="3:5" ht="15.75">
      <c r="C386" s="342"/>
      <c r="D386" s="342"/>
      <c r="E386" s="342"/>
    </row>
    <row r="387" spans="3:5" ht="15.75">
      <c r="C387" s="342"/>
      <c r="D387" s="342"/>
      <c r="E387" s="342"/>
    </row>
    <row r="388" spans="3:5" ht="15.75">
      <c r="C388" s="342"/>
      <c r="D388" s="342"/>
      <c r="E388" s="342"/>
    </row>
    <row r="389" spans="3:5" ht="15.75">
      <c r="C389" s="342"/>
      <c r="D389" s="342"/>
      <c r="E389" s="342"/>
    </row>
    <row r="390" spans="3:5" ht="15.75">
      <c r="C390" s="342"/>
      <c r="D390" s="342"/>
      <c r="E390" s="342"/>
    </row>
    <row r="391" spans="3:5" ht="15.75">
      <c r="C391" s="342"/>
      <c r="D391" s="342"/>
      <c r="E391" s="342"/>
    </row>
    <row r="392" spans="3:5" ht="15.75">
      <c r="C392" s="342"/>
      <c r="D392" s="342"/>
      <c r="E392" s="342"/>
    </row>
    <row r="393" spans="3:5" ht="15.75">
      <c r="C393" s="342"/>
      <c r="D393" s="342"/>
      <c r="E393" s="342"/>
    </row>
    <row r="394" spans="3:5" ht="15.75">
      <c r="C394" s="342"/>
      <c r="D394" s="342"/>
      <c r="E394" s="342"/>
    </row>
    <row r="395" spans="3:5" ht="15.75">
      <c r="C395" s="342"/>
      <c r="D395" s="342"/>
      <c r="E395" s="342"/>
    </row>
    <row r="396" spans="3:5" ht="15.75">
      <c r="C396" s="342"/>
      <c r="D396" s="342"/>
      <c r="E396" s="342"/>
    </row>
    <row r="397" spans="3:5" ht="15.75">
      <c r="C397" s="342"/>
      <c r="D397" s="342"/>
      <c r="E397" s="342"/>
    </row>
    <row r="398" spans="3:5" ht="15.75">
      <c r="C398" s="342"/>
      <c r="D398" s="342"/>
      <c r="E398" s="342"/>
    </row>
    <row r="399" spans="3:5" ht="15.75">
      <c r="C399" s="342"/>
      <c r="D399" s="342"/>
      <c r="E399" s="342"/>
    </row>
    <row r="400" spans="3:5" ht="15.75">
      <c r="C400" s="342"/>
      <c r="D400" s="342"/>
      <c r="E400" s="342"/>
    </row>
    <row r="401" spans="3:5" ht="15.75">
      <c r="C401" s="342"/>
      <c r="D401" s="342"/>
      <c r="E401" s="342"/>
    </row>
    <row r="402" spans="3:5" ht="15.75">
      <c r="C402" s="342"/>
      <c r="D402" s="342"/>
      <c r="E402" s="342"/>
    </row>
    <row r="403" spans="3:5" ht="15.75">
      <c r="C403" s="342"/>
      <c r="D403" s="342"/>
      <c r="E403" s="342"/>
    </row>
    <row r="404" spans="3:5" ht="15.75">
      <c r="C404" s="342"/>
      <c r="D404" s="342"/>
      <c r="E404" s="342"/>
    </row>
    <row r="405" spans="3:5" ht="15.75">
      <c r="C405" s="342"/>
      <c r="D405" s="342"/>
      <c r="E405" s="342"/>
    </row>
  </sheetData>
  <sheetProtection sheet="1"/>
  <mergeCells count="5">
    <mergeCell ref="B302:E302"/>
    <mergeCell ref="B59:E59"/>
    <mergeCell ref="B118:E118"/>
    <mergeCell ref="B178:E178"/>
    <mergeCell ref="B242:E242"/>
  </mergeCells>
  <printOptions/>
  <pageMargins left="1.12" right="0.5" top="0.74" bottom="0.34" header="0.5" footer="0"/>
  <pageSetup blackAndWhite="1" horizontalDpi="120" verticalDpi="120" orientation="portrait" scale="67" r:id="rId1"/>
  <headerFooter alignWithMargins="0">
    <oddHeader>&amp;RState of Kansas
County
</oddHeader>
  </headerFooter>
  <rowBreaks count="4" manualBreakCount="4">
    <brk id="59" max="255" man="1"/>
    <brk id="118" min="1" max="4" man="1"/>
    <brk id="178" max="255" man="1"/>
    <brk id="242"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69"/>
  <sheetViews>
    <sheetView zoomScalePageLayoutView="0" workbookViewId="0" topLeftCell="A1">
      <selection activeCell="C59" sqref="C59"/>
    </sheetView>
  </sheetViews>
  <sheetFormatPr defaultColWidth="8.796875" defaultRowHeight="15"/>
  <cols>
    <col min="1" max="1" width="2.3984375" style="123" customWidth="1"/>
    <col min="2" max="2" width="31.09765625" style="123" customWidth="1"/>
    <col min="3" max="4" width="15.796875" style="123" customWidth="1"/>
    <col min="5" max="5" width="16.3984375" style="123" customWidth="1"/>
    <col min="6" max="6" width="7.59765625" style="123" customWidth="1"/>
    <col min="7" max="7" width="9.09765625" style="123" customWidth="1"/>
    <col min="8" max="8" width="8.8984375" style="123" customWidth="1"/>
    <col min="9" max="9" width="5" style="123" customWidth="1"/>
    <col min="10" max="16384" width="8.8984375" style="123" customWidth="1"/>
  </cols>
  <sheetData>
    <row r="1" spans="2:5" ht="15.75">
      <c r="B1" s="199" t="str">
        <f>inputPrYr!C3</f>
        <v>Montgomery County</v>
      </c>
      <c r="C1" s="66"/>
      <c r="D1" s="66"/>
      <c r="E1" s="247">
        <f>inputPrYr!$C$5</f>
        <v>2015</v>
      </c>
    </row>
    <row r="2" spans="2:5" ht="15.75">
      <c r="B2" s="208"/>
      <c r="C2" s="316"/>
      <c r="D2" s="316"/>
      <c r="E2" s="317"/>
    </row>
    <row r="3" spans="2:5" ht="15.75">
      <c r="B3" s="472" t="s">
        <v>748</v>
      </c>
      <c r="C3" s="144"/>
      <c r="D3" s="144"/>
      <c r="E3" s="144"/>
    </row>
    <row r="4" spans="2:5" ht="15.75">
      <c r="B4" s="65" t="s">
        <v>672</v>
      </c>
      <c r="C4" s="624" t="s">
        <v>595</v>
      </c>
      <c r="D4" s="625" t="s">
        <v>596</v>
      </c>
      <c r="E4" s="148" t="s">
        <v>597</v>
      </c>
    </row>
    <row r="5" spans="2:5" ht="15.75">
      <c r="B5" s="470" t="str">
        <f>inputPrYr!B17</f>
        <v>Debt Service</v>
      </c>
      <c r="C5" s="254" t="str">
        <f>CONCATENATE("Actual for ",E1-2,"")</f>
        <v>Actual for 2013</v>
      </c>
      <c r="D5" s="254" t="str">
        <f>CONCATENATE("Estimate for ",E1-1,"")</f>
        <v>Estimate for 2014</v>
      </c>
      <c r="E5" s="293" t="str">
        <f>CONCATENATE("Year for ",E1,"")</f>
        <v>Year for 2015</v>
      </c>
    </row>
    <row r="6" spans="2:5" ht="15.75">
      <c r="B6" s="152" t="s">
        <v>789</v>
      </c>
      <c r="C6" s="466"/>
      <c r="D6" s="441">
        <f>C51</f>
        <v>0</v>
      </c>
      <c r="E6" s="318">
        <f>D51</f>
        <v>0</v>
      </c>
    </row>
    <row r="7" spans="2:5" ht="15.75">
      <c r="B7" s="174" t="s">
        <v>791</v>
      </c>
      <c r="C7" s="467"/>
      <c r="D7" s="441"/>
      <c r="E7" s="318"/>
    </row>
    <row r="8" spans="2:5" ht="15.75">
      <c r="B8" s="152" t="s">
        <v>673</v>
      </c>
      <c r="C8" s="468"/>
      <c r="D8" s="467">
        <f>IF(inputPrYr!H17&gt;0,inputPrYr!H17,inputPrYr!E17)</f>
        <v>0</v>
      </c>
      <c r="E8" s="320" t="s">
        <v>660</v>
      </c>
    </row>
    <row r="9" spans="2:5" ht="15.75">
      <c r="B9" s="152" t="s">
        <v>674</v>
      </c>
      <c r="C9" s="468"/>
      <c r="D9" s="468"/>
      <c r="E9" s="321"/>
    </row>
    <row r="10" spans="2:5" ht="15.75">
      <c r="B10" s="152" t="s">
        <v>675</v>
      </c>
      <c r="C10" s="468"/>
      <c r="D10" s="468"/>
      <c r="E10" s="322" t="str">
        <f>mvalloc!E11</f>
        <v> </v>
      </c>
    </row>
    <row r="11" spans="2:5" ht="15.75">
      <c r="B11" s="152" t="s">
        <v>676</v>
      </c>
      <c r="C11" s="468"/>
      <c r="D11" s="468"/>
      <c r="E11" s="322" t="str">
        <f>mvalloc!F11</f>
        <v> </v>
      </c>
    </row>
    <row r="12" spans="2:5" ht="15.75">
      <c r="B12" s="323" t="s">
        <v>772</v>
      </c>
      <c r="C12" s="468"/>
      <c r="D12" s="468"/>
      <c r="E12" s="322" t="str">
        <f>mvalloc!G11</f>
        <v> </v>
      </c>
    </row>
    <row r="13" spans="2:5" ht="15.75">
      <c r="B13" s="324"/>
      <c r="C13" s="468"/>
      <c r="D13" s="468"/>
      <c r="E13" s="321"/>
    </row>
    <row r="14" spans="2:5" ht="15.75">
      <c r="B14" s="324"/>
      <c r="C14" s="468"/>
      <c r="D14" s="468"/>
      <c r="E14" s="325"/>
    </row>
    <row r="15" spans="2:5" ht="15.75">
      <c r="B15" s="324"/>
      <c r="C15" s="468"/>
      <c r="D15" s="468"/>
      <c r="E15" s="321"/>
    </row>
    <row r="16" spans="2:5" ht="15.75">
      <c r="B16" s="324"/>
      <c r="C16" s="468"/>
      <c r="D16" s="468"/>
      <c r="E16" s="321"/>
    </row>
    <row r="17" spans="2:5" ht="15.75">
      <c r="B17" s="324"/>
      <c r="C17" s="468"/>
      <c r="D17" s="468"/>
      <c r="E17" s="321"/>
    </row>
    <row r="18" spans="2:5" ht="15.75">
      <c r="B18" s="324"/>
      <c r="C18" s="468"/>
      <c r="D18" s="468"/>
      <c r="E18" s="321"/>
    </row>
    <row r="19" spans="2:5" ht="15.75">
      <c r="B19" s="324"/>
      <c r="C19" s="468"/>
      <c r="D19" s="468"/>
      <c r="E19" s="321"/>
    </row>
    <row r="20" spans="2:5" ht="15.75">
      <c r="B20" s="324"/>
      <c r="C20" s="468"/>
      <c r="D20" s="468"/>
      <c r="E20" s="321"/>
    </row>
    <row r="21" spans="2:5" ht="15.75">
      <c r="B21" s="324"/>
      <c r="C21" s="468"/>
      <c r="D21" s="468"/>
      <c r="E21" s="321"/>
    </row>
    <row r="22" spans="2:5" ht="15.75">
      <c r="B22" s="324" t="s">
        <v>842</v>
      </c>
      <c r="C22" s="468"/>
      <c r="D22" s="468"/>
      <c r="E22" s="321"/>
    </row>
    <row r="23" spans="2:5" ht="15.75">
      <c r="B23" s="326" t="s">
        <v>680</v>
      </c>
      <c r="C23" s="468"/>
      <c r="D23" s="468"/>
      <c r="E23" s="321"/>
    </row>
    <row r="24" spans="2:5" ht="15.75">
      <c r="B24" s="299" t="s">
        <v>911</v>
      </c>
      <c r="C24" s="468"/>
      <c r="D24" s="468"/>
      <c r="E24" s="321"/>
    </row>
    <row r="25" spans="2:5" ht="15.75">
      <c r="B25" s="299" t="s">
        <v>451</v>
      </c>
      <c r="C25" s="438">
        <f>IF(C26*0.1&lt;C24,"Exceed 10% Rule","")</f>
      </c>
      <c r="D25" s="438">
        <f>IF(D26*0.1&lt;D24,"Exceed 10% Rule","")</f>
      </c>
      <c r="E25" s="327">
        <f>IF(E26*0.1+E57&lt;E24,"Exceed 10% Rule","")</f>
      </c>
    </row>
    <row r="26" spans="2:5" ht="15.75">
      <c r="B26" s="301" t="s">
        <v>681</v>
      </c>
      <c r="C26" s="465">
        <f>SUM(C8:C24)</f>
        <v>0</v>
      </c>
      <c r="D26" s="465">
        <f>SUM(D8:D24)</f>
        <v>0</v>
      </c>
      <c r="E26" s="328">
        <f>SUM(E8:E24)</f>
        <v>0</v>
      </c>
    </row>
    <row r="27" spans="2:5" ht="15.75">
      <c r="B27" s="301" t="s">
        <v>682</v>
      </c>
      <c r="C27" s="465">
        <f>C6+C26</f>
        <v>0</v>
      </c>
      <c r="D27" s="465">
        <f>D6+D26</f>
        <v>0</v>
      </c>
      <c r="E27" s="329">
        <f>E6+E26</f>
        <v>0</v>
      </c>
    </row>
    <row r="28" spans="2:5" ht="15.75">
      <c r="B28" s="174" t="s">
        <v>685</v>
      </c>
      <c r="C28" s="467"/>
      <c r="D28" s="467"/>
      <c r="E28" s="322"/>
    </row>
    <row r="29" spans="2:5" ht="15.75">
      <c r="B29" s="310"/>
      <c r="C29" s="468"/>
      <c r="D29" s="468"/>
      <c r="E29" s="321"/>
    </row>
    <row r="30" spans="2:5" ht="15.75">
      <c r="B30" s="310"/>
      <c r="C30" s="468"/>
      <c r="D30" s="468"/>
      <c r="E30" s="321"/>
    </row>
    <row r="31" spans="2:5" ht="15.75">
      <c r="B31" s="310"/>
      <c r="C31" s="468"/>
      <c r="D31" s="468"/>
      <c r="E31" s="321"/>
    </row>
    <row r="32" spans="2:5" ht="15.75">
      <c r="B32" s="310"/>
      <c r="C32" s="468"/>
      <c r="D32" s="468"/>
      <c r="E32" s="321"/>
    </row>
    <row r="33" spans="2:5" ht="15.75">
      <c r="B33" s="310"/>
      <c r="C33" s="468"/>
      <c r="D33" s="468"/>
      <c r="E33" s="321"/>
    </row>
    <row r="34" spans="2:5" ht="15.75">
      <c r="B34" s="310"/>
      <c r="C34" s="468"/>
      <c r="D34" s="468"/>
      <c r="E34" s="321"/>
    </row>
    <row r="35" spans="2:5" ht="15.75">
      <c r="B35" s="310"/>
      <c r="C35" s="468"/>
      <c r="D35" s="468"/>
      <c r="E35" s="321"/>
    </row>
    <row r="36" spans="2:5" ht="15.75">
      <c r="B36" s="310"/>
      <c r="C36" s="468"/>
      <c r="D36" s="468"/>
      <c r="E36" s="321"/>
    </row>
    <row r="37" spans="2:5" ht="15.75">
      <c r="B37" s="310"/>
      <c r="C37" s="468"/>
      <c r="D37" s="468"/>
      <c r="E37" s="321"/>
    </row>
    <row r="38" spans="2:5" ht="15.75">
      <c r="B38" s="310"/>
      <c r="C38" s="468"/>
      <c r="D38" s="468"/>
      <c r="E38" s="321"/>
    </row>
    <row r="39" spans="2:5" ht="15.75">
      <c r="B39" s="310"/>
      <c r="C39" s="468"/>
      <c r="D39" s="468"/>
      <c r="E39" s="321"/>
    </row>
    <row r="40" spans="2:5" ht="15.75">
      <c r="B40" s="310"/>
      <c r="C40" s="468"/>
      <c r="D40" s="468"/>
      <c r="E40" s="321"/>
    </row>
    <row r="41" spans="2:5" ht="15.75">
      <c r="B41" s="310"/>
      <c r="C41" s="468"/>
      <c r="D41" s="468"/>
      <c r="E41" s="321"/>
    </row>
    <row r="42" spans="2:10" ht="15.75">
      <c r="B42" s="310"/>
      <c r="C42" s="468"/>
      <c r="D42" s="468"/>
      <c r="E42" s="321"/>
      <c r="G42" s="752" t="str">
        <f>CONCATENATE("Desired Carryover Into ",E1+1,"")</f>
        <v>Desired Carryover Into 2016</v>
      </c>
      <c r="H42" s="753"/>
      <c r="I42" s="753"/>
      <c r="J42" s="754"/>
    </row>
    <row r="43" spans="2:10" ht="15.75">
      <c r="B43" s="310"/>
      <c r="C43" s="468"/>
      <c r="D43" s="468"/>
      <c r="E43" s="321"/>
      <c r="G43" s="628"/>
      <c r="H43" s="68"/>
      <c r="I43" s="629"/>
      <c r="J43" s="630"/>
    </row>
    <row r="44" spans="2:10" ht="15.75">
      <c r="B44" s="310"/>
      <c r="C44" s="468"/>
      <c r="D44" s="468"/>
      <c r="E44" s="321"/>
      <c r="G44" s="631" t="s">
        <v>461</v>
      </c>
      <c r="H44" s="629"/>
      <c r="I44" s="629"/>
      <c r="J44" s="632">
        <v>0</v>
      </c>
    </row>
    <row r="45" spans="2:10" ht="15.75">
      <c r="B45" s="310"/>
      <c r="C45" s="468"/>
      <c r="D45" s="468"/>
      <c r="E45" s="321"/>
      <c r="G45" s="628" t="s">
        <v>462</v>
      </c>
      <c r="H45" s="68"/>
      <c r="I45" s="68"/>
      <c r="J45" s="633">
        <f>IF(J44=0,"",ROUND((J44+E57-G57)/inputOth!E5*1000,3)-G62)</f>
      </c>
    </row>
    <row r="46" spans="2:10" ht="15.75">
      <c r="B46" s="310"/>
      <c r="C46" s="468"/>
      <c r="D46" s="468"/>
      <c r="E46" s="321"/>
      <c r="G46" s="634" t="str">
        <f>CONCATENATE("",E1," Tot Exp/Non-Appr Must Be:")</f>
        <v>2015 Tot Exp/Non-Appr Must Be:</v>
      </c>
      <c r="H46" s="635"/>
      <c r="I46" s="636"/>
      <c r="J46" s="637">
        <f>IF(J44&gt;0,IF(E54&lt;E27,IF(J44=G57,E54,((J44-G57)*(1-D57))+E27),E54+(J44-G57)),0)</f>
        <v>0</v>
      </c>
    </row>
    <row r="47" spans="2:10" ht="15.75">
      <c r="B47" s="299" t="s">
        <v>910</v>
      </c>
      <c r="C47" s="468"/>
      <c r="D47" s="468"/>
      <c r="E47" s="330">
        <f>Nhood!E7</f>
      </c>
      <c r="G47" s="638" t="s">
        <v>598</v>
      </c>
      <c r="H47" s="639"/>
      <c r="I47" s="639"/>
      <c r="J47" s="640">
        <f>IF(J44&gt;0,J46-E54,0)</f>
        <v>0</v>
      </c>
    </row>
    <row r="48" spans="2:5" ht="15.75">
      <c r="B48" s="299" t="s">
        <v>911</v>
      </c>
      <c r="C48" s="468"/>
      <c r="D48" s="468"/>
      <c r="E48" s="321"/>
    </row>
    <row r="49" spans="2:10" ht="15.75">
      <c r="B49" s="299" t="s">
        <v>452</v>
      </c>
      <c r="C49" s="438">
        <f>IF(C50*0.1&lt;C48,"Exceed 10% Rule","")</f>
      </c>
      <c r="D49" s="438">
        <f>IF(D50*0.1&lt;D48,"Exceed 10% Rule","")</f>
      </c>
      <c r="E49" s="327">
        <f>IF(E50*0.1&lt;E48,"Exceed 10% Rule","")</f>
      </c>
      <c r="G49" s="739" t="str">
        <f>CONCATENATE("Projected Carryover Into ",E1+1,"")</f>
        <v>Projected Carryover Into 2016</v>
      </c>
      <c r="H49" s="753"/>
      <c r="I49" s="753"/>
      <c r="J49" s="754"/>
    </row>
    <row r="50" spans="2:10" ht="15.75">
      <c r="B50" s="301" t="s">
        <v>686</v>
      </c>
      <c r="C50" s="465">
        <f>SUM(C29:C48)</f>
        <v>0</v>
      </c>
      <c r="D50" s="465">
        <f>SUM(D29:D48)</f>
        <v>0</v>
      </c>
      <c r="E50" s="328">
        <f>SUM(E29:E48)</f>
        <v>0</v>
      </c>
      <c r="G50" s="497"/>
      <c r="H50" s="489"/>
      <c r="I50" s="489"/>
      <c r="J50" s="169"/>
    </row>
    <row r="51" spans="2:10" ht="15.75">
      <c r="B51" s="152" t="s">
        <v>790</v>
      </c>
      <c r="C51" s="464">
        <f>C27-C50</f>
        <v>0</v>
      </c>
      <c r="D51" s="464">
        <f>D27-D50</f>
        <v>0</v>
      </c>
      <c r="E51" s="320" t="s">
        <v>660</v>
      </c>
      <c r="G51" s="486">
        <f>D51</f>
        <v>0</v>
      </c>
      <c r="H51" s="487" t="str">
        <f>CONCATENATE("",E1-1," Ending Cash Balance (est.)")</f>
        <v>2014 Ending Cash Balance (est.)</v>
      </c>
      <c r="I51" s="488"/>
      <c r="J51" s="669"/>
    </row>
    <row r="52" spans="2:10" ht="15.75">
      <c r="B52" s="280" t="str">
        <f>CONCATENATE("",$E$1-2,"/",$E$1-1," Budget Authority Amount:")</f>
        <v>2013/2014 Budget Authority Amount:</v>
      </c>
      <c r="C52" s="272">
        <f>inputOth!B30</f>
        <v>0</v>
      </c>
      <c r="D52" s="272">
        <f>inputPrYr!D17</f>
        <v>0</v>
      </c>
      <c r="E52" s="320" t="s">
        <v>660</v>
      </c>
      <c r="F52" s="331"/>
      <c r="G52" s="486">
        <f>E26</f>
        <v>0</v>
      </c>
      <c r="H52" s="489" t="str">
        <f>CONCATENATE("",E1," Non-AV Receipts (est.)")</f>
        <v>2015 Non-AV Receipts (est.)</v>
      </c>
      <c r="I52" s="489"/>
      <c r="J52" s="169"/>
    </row>
    <row r="53" spans="2:11" ht="15.75">
      <c r="B53" s="280"/>
      <c r="C53" s="745" t="s">
        <v>453</v>
      </c>
      <c r="D53" s="746"/>
      <c r="E53" s="93"/>
      <c r="F53" s="473">
        <f>IF(E50/0.95-E50&lt;E53,"Exceeds 5%","")</f>
      </c>
      <c r="G53" s="490">
        <f>IF(E56&gt;0,E55,E57)</f>
        <v>0</v>
      </c>
      <c r="H53" s="489" t="str">
        <f>CONCATENATE("",E1," Ad Valorem Tax (est.)")</f>
        <v>2015 Ad Valorem Tax (est.)</v>
      </c>
      <c r="I53" s="489"/>
      <c r="J53" s="169"/>
      <c r="K53" s="680">
        <f>IF(G53=E57,"","Note: Does not include Delinquent Taxes")</f>
      </c>
    </row>
    <row r="54" spans="2:10" ht="15.75">
      <c r="B54" s="475" t="str">
        <f>CONCATENATE(C68,"     ",D68)</f>
        <v>     </v>
      </c>
      <c r="C54" s="747" t="s">
        <v>454</v>
      </c>
      <c r="D54" s="748"/>
      <c r="E54" s="258">
        <f>E50+E53</f>
        <v>0</v>
      </c>
      <c r="G54" s="486">
        <f>SUM(G51:G53)</f>
        <v>0</v>
      </c>
      <c r="H54" s="489" t="str">
        <f>CONCATENATE("Total ",E1," Resources Available")</f>
        <v>Total 2015 Resources Available</v>
      </c>
      <c r="I54" s="488"/>
      <c r="J54" s="669"/>
    </row>
    <row r="55" spans="2:10" ht="15.75">
      <c r="B55" s="475" t="str">
        <f>CONCATENATE(C69,"     ",D69)</f>
        <v>     </v>
      </c>
      <c r="C55" s="314"/>
      <c r="D55" s="106" t="s">
        <v>687</v>
      </c>
      <c r="E55" s="97">
        <f>IF(E54-E27&gt;0,E54-E27,0)</f>
        <v>0</v>
      </c>
      <c r="G55" s="491"/>
      <c r="H55" s="489"/>
      <c r="I55" s="489"/>
      <c r="J55" s="169"/>
    </row>
    <row r="56" spans="2:10" ht="15.75">
      <c r="B56" s="106"/>
      <c r="C56" s="457" t="s">
        <v>455</v>
      </c>
      <c r="D56" s="683">
        <f>inputOth!$E$22</f>
        <v>0.07</v>
      </c>
      <c r="E56" s="258">
        <f>ROUND(IF(D56&gt;0,(E55*D56),0),0)</f>
        <v>0</v>
      </c>
      <c r="G56" s="490">
        <f>C50</f>
        <v>0</v>
      </c>
      <c r="H56" s="489" t="str">
        <f>CONCATENATE("Less ",E1-2," Expenditures")</f>
        <v>Less 2013 Expenditures</v>
      </c>
      <c r="I56" s="489"/>
      <c r="J56" s="169"/>
    </row>
    <row r="57" spans="2:10" ht="15.75">
      <c r="B57" s="66"/>
      <c r="C57" s="743" t="str">
        <f>CONCATENATE("Amount of  ",$E$1-1," Ad Valorem Tax")</f>
        <v>Amount of  2014 Ad Valorem Tax</v>
      </c>
      <c r="D57" s="744"/>
      <c r="E57" s="332">
        <f>E55+E56</f>
        <v>0</v>
      </c>
      <c r="G57" s="688">
        <f>G54-G56</f>
        <v>0</v>
      </c>
      <c r="H57" s="498" t="str">
        <f>CONCATENATE("Projected ",E1+1," carryover (est.)")</f>
        <v>Projected 2016 carryover (est.)</v>
      </c>
      <c r="I57" s="493"/>
      <c r="J57" s="689"/>
    </row>
    <row r="58" spans="2:5" ht="15.75">
      <c r="B58" s="106"/>
      <c r="C58" s="66"/>
      <c r="D58" s="66"/>
      <c r="E58" s="66"/>
    </row>
    <row r="59" spans="2:10" ht="15.75">
      <c r="B59" s="280" t="s">
        <v>700</v>
      </c>
      <c r="C59" s="333">
        <v>8</v>
      </c>
      <c r="D59" s="66"/>
      <c r="E59" s="66"/>
      <c r="G59" s="749" t="s">
        <v>599</v>
      </c>
      <c r="H59" s="750"/>
      <c r="I59" s="750"/>
      <c r="J59" s="751"/>
    </row>
    <row r="60" spans="7:10" ht="15.75">
      <c r="G60" s="652"/>
      <c r="H60" s="644"/>
      <c r="I60" s="653"/>
      <c r="J60" s="654"/>
    </row>
    <row r="61" spans="7:10" ht="15.75">
      <c r="G61" s="655" t="str">
        <f>summ!H17</f>
        <v>  </v>
      </c>
      <c r="H61" s="644" t="str">
        <f>CONCATENATE("",E1," Fund Mill Rate")</f>
        <v>2015 Fund Mill Rate</v>
      </c>
      <c r="I61" s="653"/>
      <c r="J61" s="654"/>
    </row>
    <row r="62" spans="7:10" ht="15.75">
      <c r="G62" s="656" t="str">
        <f>summ!E17</f>
        <v>  </v>
      </c>
      <c r="H62" s="644" t="str">
        <f>CONCATENATE("",E1-1," Fund Mill Rate")</f>
        <v>2014 Fund Mill Rate</v>
      </c>
      <c r="I62" s="653"/>
      <c r="J62" s="654"/>
    </row>
    <row r="63" spans="7:10" ht="15.75">
      <c r="G63" s="657">
        <f>summ!H52</f>
        <v>42.268</v>
      </c>
      <c r="H63" s="644" t="str">
        <f>CONCATENATE("Total ",E1," Mill Rate")</f>
        <v>Total 2015 Mill Rate</v>
      </c>
      <c r="I63" s="653"/>
      <c r="J63" s="654"/>
    </row>
    <row r="64" spans="7:10" ht="15.75">
      <c r="G64" s="656">
        <f>summ!E52</f>
        <v>40.64399999999999</v>
      </c>
      <c r="H64" s="658" t="str">
        <f>CONCATENATE("Total ",E1-1," Mill Rate")</f>
        <v>Total 2014 Mill Rate</v>
      </c>
      <c r="I64" s="659"/>
      <c r="J64" s="660"/>
    </row>
    <row r="66" spans="7:9" ht="15.75">
      <c r="G66" s="696" t="s">
        <v>53</v>
      </c>
      <c r="H66" s="695"/>
      <c r="I66" s="694" t="str">
        <f>cert!F60</f>
        <v>Yes</v>
      </c>
    </row>
    <row r="68" spans="3:4" ht="15.75" hidden="1">
      <c r="C68" s="123">
        <f>IF(C50&gt;C52,"See Tab A","")</f>
      </c>
      <c r="D68" s="123">
        <f>IF(D50&gt;D52,"See Tab C","")</f>
      </c>
    </row>
    <row r="69" spans="3:4" ht="15.75" hidden="1">
      <c r="C69" s="123">
        <f>IF(C51&lt;0,"See Tab B","")</f>
      </c>
      <c r="D69" s="123">
        <f>IF(D51&lt;0,"See Tab D","")</f>
      </c>
    </row>
  </sheetData>
  <sheetProtection sheet="1"/>
  <mergeCells count="6">
    <mergeCell ref="G42:J42"/>
    <mergeCell ref="G49:J49"/>
    <mergeCell ref="G59:J59"/>
    <mergeCell ref="C53:D53"/>
    <mergeCell ref="C54:D54"/>
    <mergeCell ref="C57:D57"/>
  </mergeCells>
  <conditionalFormatting sqref="E53">
    <cfRule type="cellIs" priority="2" dxfId="309" operator="greaterThan" stopIfTrue="1">
      <formula>$E$50/0.95-$E$50</formula>
    </cfRule>
  </conditionalFormatting>
  <conditionalFormatting sqref="E48">
    <cfRule type="cellIs" priority="3" dxfId="309" operator="greaterThan" stopIfTrue="1">
      <formula>$E$50*0.1</formula>
    </cfRule>
  </conditionalFormatting>
  <conditionalFormatting sqref="E24">
    <cfRule type="cellIs" priority="4" dxfId="309" operator="greaterThan" stopIfTrue="1">
      <formula>$E$26*0.1+E57</formula>
    </cfRule>
  </conditionalFormatting>
  <conditionalFormatting sqref="D24">
    <cfRule type="cellIs" priority="5" dxfId="2" operator="greaterThan" stopIfTrue="1">
      <formula>$D$26*0.1</formula>
    </cfRule>
  </conditionalFormatting>
  <conditionalFormatting sqref="C24">
    <cfRule type="cellIs" priority="6" dxfId="2" operator="greaterThan" stopIfTrue="1">
      <formula>$C$26*0.1</formula>
    </cfRule>
  </conditionalFormatting>
  <conditionalFormatting sqref="C48">
    <cfRule type="cellIs" priority="7" dxfId="2" operator="greaterThan" stopIfTrue="1">
      <formula>$C$50*0.1</formula>
    </cfRule>
  </conditionalFormatting>
  <conditionalFormatting sqref="D48">
    <cfRule type="cellIs" priority="8" dxfId="2" operator="greaterThan" stopIfTrue="1">
      <formula>$D$50*0.1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2" operator="lessThan" stopIfTrue="1">
      <formula>0</formula>
    </cfRule>
  </conditionalFormatting>
  <conditionalFormatting sqref="D5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B1:K130"/>
  <sheetViews>
    <sheetView workbookViewId="0" topLeftCell="A1">
      <selection activeCell="E14" sqref="E14"/>
    </sheetView>
  </sheetViews>
  <sheetFormatPr defaultColWidth="8.796875" defaultRowHeight="15"/>
  <cols>
    <col min="1" max="1" width="2.3984375" style="52" customWidth="1"/>
    <col min="2" max="2" width="31.09765625" style="52" customWidth="1"/>
    <col min="3" max="4" width="15.796875" style="52" customWidth="1"/>
    <col min="5" max="5" width="16.5976562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199" t="str">
        <f>inputPrYr!C3</f>
        <v>Montgomery County</v>
      </c>
      <c r="C1" s="66"/>
      <c r="D1" s="66"/>
      <c r="E1" s="279">
        <f>inputPrYr!C5</f>
        <v>2015</v>
      </c>
    </row>
    <row r="2" spans="2:5" ht="15.75">
      <c r="B2" s="66"/>
      <c r="C2" s="66"/>
      <c r="D2" s="66"/>
      <c r="E2" s="106"/>
    </row>
    <row r="3" spans="2:5" ht="15.75">
      <c r="B3" s="472" t="s">
        <v>748</v>
      </c>
      <c r="C3" s="66"/>
      <c r="D3" s="66"/>
      <c r="E3" s="292"/>
    </row>
    <row r="4" spans="2:5" ht="15.75">
      <c r="B4" s="185" t="s">
        <v>672</v>
      </c>
      <c r="C4" s="624" t="s">
        <v>595</v>
      </c>
      <c r="D4" s="625" t="s">
        <v>596</v>
      </c>
      <c r="E4" s="148" t="s">
        <v>597</v>
      </c>
    </row>
    <row r="5" spans="2:5" ht="15.75">
      <c r="B5" s="470" t="str">
        <f>inputPrYr!B18</f>
        <v>Road &amp; Bridge</v>
      </c>
      <c r="C5" s="440" t="str">
        <f>CONCATENATE("Actual for ",E1-2,"")</f>
        <v>Actual for 2013</v>
      </c>
      <c r="D5" s="440" t="str">
        <f>CONCATENATE("Estimate for ",E1-1,"")</f>
        <v>Estimate for 2014</v>
      </c>
      <c r="E5" s="293" t="str">
        <f>CONCATENATE("Year for ",E1,"")</f>
        <v>Year for 2015</v>
      </c>
    </row>
    <row r="6" spans="2:5" ht="15.75">
      <c r="B6" s="294" t="s">
        <v>789</v>
      </c>
      <c r="C6" s="468">
        <v>3597030</v>
      </c>
      <c r="D6" s="439">
        <f>C112</f>
        <v>4089689</v>
      </c>
      <c r="E6" s="258">
        <f>D112</f>
        <v>1352169</v>
      </c>
    </row>
    <row r="7" spans="2:5" ht="15.75">
      <c r="B7" s="283" t="s">
        <v>791</v>
      </c>
      <c r="C7" s="166"/>
      <c r="D7" s="166"/>
      <c r="E7" s="109"/>
    </row>
    <row r="8" spans="2:5" ht="15.75">
      <c r="B8" s="294" t="s">
        <v>673</v>
      </c>
      <c r="C8" s="468">
        <v>4032120</v>
      </c>
      <c r="D8" s="439">
        <v>2512223</v>
      </c>
      <c r="E8" s="194" t="s">
        <v>660</v>
      </c>
    </row>
    <row r="9" spans="2:5" ht="15.75">
      <c r="B9" s="294" t="s">
        <v>674</v>
      </c>
      <c r="C9" s="468">
        <v>94539</v>
      </c>
      <c r="D9" s="468">
        <v>30000</v>
      </c>
      <c r="E9" s="93">
        <v>30000</v>
      </c>
    </row>
    <row r="10" spans="2:5" ht="15.75">
      <c r="B10" s="294" t="s">
        <v>675</v>
      </c>
      <c r="C10" s="468">
        <v>319574</v>
      </c>
      <c r="D10" s="468">
        <v>345666</v>
      </c>
      <c r="E10" s="258">
        <f>mvalloc!E12</f>
        <v>299061</v>
      </c>
    </row>
    <row r="11" spans="2:5" ht="15.75">
      <c r="B11" s="294" t="s">
        <v>676</v>
      </c>
      <c r="C11" s="468">
        <v>4018</v>
      </c>
      <c r="D11" s="468">
        <v>4342</v>
      </c>
      <c r="E11" s="258">
        <f>mvalloc!F12</f>
        <v>3187</v>
      </c>
    </row>
    <row r="12" spans="2:5" ht="15.75">
      <c r="B12" s="166" t="s">
        <v>772</v>
      </c>
      <c r="C12" s="468">
        <v>9931</v>
      </c>
      <c r="D12" s="468">
        <v>10792</v>
      </c>
      <c r="E12" s="258">
        <f>mvalloc!G12</f>
        <v>8052</v>
      </c>
    </row>
    <row r="13" spans="2:5" ht="15.75">
      <c r="B13" s="343" t="s">
        <v>854</v>
      </c>
      <c r="C13" s="468">
        <v>953211</v>
      </c>
      <c r="D13" s="468">
        <v>922903</v>
      </c>
      <c r="E13" s="87">
        <v>945855</v>
      </c>
    </row>
    <row r="14" spans="2:5" ht="15.75">
      <c r="B14" s="343" t="s">
        <v>855</v>
      </c>
      <c r="C14" s="468">
        <v>0</v>
      </c>
      <c r="D14" s="468">
        <v>0</v>
      </c>
      <c r="E14" s="87">
        <v>0</v>
      </c>
    </row>
    <row r="15" spans="2:5" ht="15.75">
      <c r="B15" s="344" t="s">
        <v>98</v>
      </c>
      <c r="C15" s="468">
        <v>23614</v>
      </c>
      <c r="D15" s="468">
        <v>0</v>
      </c>
      <c r="E15" s="87">
        <v>0</v>
      </c>
    </row>
    <row r="16" spans="2:5" ht="15.75">
      <c r="B16" s="344" t="s">
        <v>99</v>
      </c>
      <c r="C16" s="468">
        <v>1804</v>
      </c>
      <c r="D16" s="468">
        <v>1932</v>
      </c>
      <c r="E16" s="87">
        <v>1800</v>
      </c>
    </row>
    <row r="17" spans="2:5" ht="15.75">
      <c r="B17" s="296" t="s">
        <v>100</v>
      </c>
      <c r="C17" s="468">
        <v>8936</v>
      </c>
      <c r="D17" s="468">
        <v>4000</v>
      </c>
      <c r="E17" s="93">
        <v>4000</v>
      </c>
    </row>
    <row r="18" spans="2:5" ht="15.75">
      <c r="B18" s="296" t="s">
        <v>101</v>
      </c>
      <c r="C18" s="468">
        <v>262</v>
      </c>
      <c r="D18" s="468">
        <v>0</v>
      </c>
      <c r="E18" s="93">
        <v>0</v>
      </c>
    </row>
    <row r="19" spans="2:5" ht="15.75">
      <c r="B19" s="296" t="s">
        <v>838</v>
      </c>
      <c r="C19" s="468">
        <v>0</v>
      </c>
      <c r="D19" s="468">
        <v>0</v>
      </c>
      <c r="E19" s="93">
        <v>0</v>
      </c>
    </row>
    <row r="20" spans="2:5" ht="15.75">
      <c r="B20" s="298" t="s">
        <v>213</v>
      </c>
      <c r="C20" s="468">
        <v>27359</v>
      </c>
      <c r="D20" s="468">
        <v>0</v>
      </c>
      <c r="E20" s="93">
        <v>0</v>
      </c>
    </row>
    <row r="21" spans="2:5" ht="15.75">
      <c r="B21" s="298"/>
      <c r="C21" s="468"/>
      <c r="D21" s="468"/>
      <c r="E21" s="93"/>
    </row>
    <row r="22" spans="2:5" ht="15.75">
      <c r="B22" s="296"/>
      <c r="C22" s="468"/>
      <c r="D22" s="468"/>
      <c r="E22" s="93"/>
    </row>
    <row r="23" spans="2:5" ht="15.75">
      <c r="B23" s="296"/>
      <c r="C23" s="468"/>
      <c r="D23" s="468"/>
      <c r="E23" s="93"/>
    </row>
    <row r="24" spans="2:5" ht="15.75">
      <c r="B24" s="296"/>
      <c r="C24" s="468"/>
      <c r="D24" s="468"/>
      <c r="E24" s="93"/>
    </row>
    <row r="25" spans="2:5" ht="15.75">
      <c r="B25" s="296"/>
      <c r="C25" s="468"/>
      <c r="D25" s="468"/>
      <c r="E25" s="93"/>
    </row>
    <row r="26" spans="2:5" ht="15.75">
      <c r="B26" s="296"/>
      <c r="C26" s="468"/>
      <c r="D26" s="468"/>
      <c r="E26" s="93"/>
    </row>
    <row r="27" spans="2:5" ht="15.75">
      <c r="B27" s="296"/>
      <c r="C27" s="468"/>
      <c r="D27" s="468"/>
      <c r="E27" s="93"/>
    </row>
    <row r="28" spans="2:5" ht="15.75">
      <c r="B28" s="296"/>
      <c r="C28" s="468"/>
      <c r="D28" s="468"/>
      <c r="E28" s="93"/>
    </row>
    <row r="29" spans="2:5" ht="15.75">
      <c r="B29" s="296"/>
      <c r="C29" s="468"/>
      <c r="D29" s="468"/>
      <c r="E29" s="93"/>
    </row>
    <row r="30" spans="2:5" ht="15.75">
      <c r="B30" s="296"/>
      <c r="C30" s="468"/>
      <c r="D30" s="468"/>
      <c r="E30" s="93"/>
    </row>
    <row r="31" spans="2:5" ht="15.75">
      <c r="B31" s="296"/>
      <c r="C31" s="468"/>
      <c r="D31" s="468"/>
      <c r="E31" s="93"/>
    </row>
    <row r="32" spans="2:5" ht="15.75">
      <c r="B32" s="296"/>
      <c r="C32" s="468"/>
      <c r="D32" s="468"/>
      <c r="E32" s="93"/>
    </row>
    <row r="33" spans="2:5" ht="15.75">
      <c r="B33" s="296"/>
      <c r="C33" s="468"/>
      <c r="D33" s="468"/>
      <c r="E33" s="93"/>
    </row>
    <row r="34" spans="2:5" ht="15.75">
      <c r="B34" s="296"/>
      <c r="C34" s="468"/>
      <c r="D34" s="468"/>
      <c r="E34" s="93"/>
    </row>
    <row r="35" spans="2:5" ht="15.75">
      <c r="B35" s="296"/>
      <c r="C35" s="468"/>
      <c r="D35" s="468"/>
      <c r="E35" s="93"/>
    </row>
    <row r="36" spans="2:5" ht="15.75">
      <c r="B36" s="296"/>
      <c r="C36" s="468"/>
      <c r="D36" s="468"/>
      <c r="E36" s="93"/>
    </row>
    <row r="37" spans="2:5" ht="15.75">
      <c r="B37" s="296"/>
      <c r="C37" s="468"/>
      <c r="D37" s="468"/>
      <c r="E37" s="93"/>
    </row>
    <row r="38" spans="2:5" ht="15.75">
      <c r="B38" s="296"/>
      <c r="C38" s="468"/>
      <c r="D38" s="468"/>
      <c r="E38" s="93"/>
    </row>
    <row r="39" spans="2:5" ht="15.75">
      <c r="B39" s="296"/>
      <c r="C39" s="468"/>
      <c r="D39" s="468"/>
      <c r="E39" s="93"/>
    </row>
    <row r="40" spans="2:5" ht="15.75">
      <c r="B40" s="296"/>
      <c r="C40" s="468"/>
      <c r="D40" s="468"/>
      <c r="E40" s="93"/>
    </row>
    <row r="41" spans="2:5" ht="15.75">
      <c r="B41" s="296"/>
      <c r="C41" s="468"/>
      <c r="D41" s="468"/>
      <c r="E41" s="93"/>
    </row>
    <row r="42" spans="2:5" ht="15.75">
      <c r="B42" s="296"/>
      <c r="C42" s="468"/>
      <c r="D42" s="468"/>
      <c r="E42" s="93"/>
    </row>
    <row r="43" spans="2:5" ht="15.75">
      <c r="B43" s="296"/>
      <c r="C43" s="468"/>
      <c r="D43" s="468"/>
      <c r="E43" s="93"/>
    </row>
    <row r="44" spans="2:5" ht="15.75">
      <c r="B44" s="296"/>
      <c r="C44" s="468"/>
      <c r="D44" s="468"/>
      <c r="E44" s="93"/>
    </row>
    <row r="45" spans="2:5" ht="15.75">
      <c r="B45" s="296"/>
      <c r="C45" s="468"/>
      <c r="D45" s="468"/>
      <c r="E45" s="93"/>
    </row>
    <row r="46" spans="2:5" ht="15.75">
      <c r="B46" s="296"/>
      <c r="C46" s="468"/>
      <c r="D46" s="468"/>
      <c r="E46" s="93"/>
    </row>
    <row r="47" spans="2:5" ht="15.75">
      <c r="B47" s="296"/>
      <c r="C47" s="468"/>
      <c r="D47" s="468"/>
      <c r="E47" s="93"/>
    </row>
    <row r="48" spans="2:5" ht="15.75">
      <c r="B48" s="296"/>
      <c r="C48" s="468"/>
      <c r="D48" s="468"/>
      <c r="E48" s="93"/>
    </row>
    <row r="49" spans="2:5" ht="15.75">
      <c r="B49" s="296"/>
      <c r="C49" s="468"/>
      <c r="D49" s="468"/>
      <c r="E49" s="93"/>
    </row>
    <row r="50" spans="2:5" ht="15.75">
      <c r="B50" s="296"/>
      <c r="C50" s="468"/>
      <c r="D50" s="468"/>
      <c r="E50" s="93"/>
    </row>
    <row r="51" spans="2:5" ht="15.75">
      <c r="B51" s="298" t="s">
        <v>680</v>
      </c>
      <c r="C51" s="468"/>
      <c r="D51" s="468"/>
      <c r="E51" s="93"/>
    </row>
    <row r="52" spans="2:5" ht="15.75">
      <c r="B52" s="299" t="s">
        <v>911</v>
      </c>
      <c r="C52" s="468"/>
      <c r="D52" s="468"/>
      <c r="E52" s="93"/>
    </row>
    <row r="53" spans="2:5" ht="15.75">
      <c r="B53" s="299" t="s">
        <v>451</v>
      </c>
      <c r="C53" s="438">
        <f>IF(C54*0.1&lt;C52,"Exceed 10% Rule","")</f>
      </c>
      <c r="D53" s="438">
        <f>IF(D54*0.1&lt;D52,"Exceed 10% Rule","")</f>
      </c>
      <c r="E53" s="327">
        <f>IF(E54*0.1+E118&lt;E52,"Exceed 10% Rule","")</f>
      </c>
    </row>
    <row r="54" spans="2:5" ht="15.75">
      <c r="B54" s="301" t="s">
        <v>681</v>
      </c>
      <c r="C54" s="442">
        <f>SUM(C8:C52)</f>
        <v>5475368</v>
      </c>
      <c r="D54" s="442">
        <f>SUM(D8:D52)</f>
        <v>3831858</v>
      </c>
      <c r="E54" s="347">
        <f>SUM(E9:E52)</f>
        <v>1291955</v>
      </c>
    </row>
    <row r="55" spans="2:5" ht="15.75">
      <c r="B55" s="301" t="s">
        <v>682</v>
      </c>
      <c r="C55" s="442">
        <f>C6+C54</f>
        <v>9072398</v>
      </c>
      <c r="D55" s="442">
        <f>D6+D54</f>
        <v>7921547</v>
      </c>
      <c r="E55" s="347">
        <f>E6+E54</f>
        <v>2644124</v>
      </c>
    </row>
    <row r="56" spans="2:5" ht="15.75">
      <c r="B56" s="66"/>
      <c r="C56" s="199"/>
      <c r="D56" s="199"/>
      <c r="E56" s="199"/>
    </row>
    <row r="57" spans="2:5" ht="15.75">
      <c r="B57" s="280" t="s">
        <v>700</v>
      </c>
      <c r="C57" s="333">
        <v>9</v>
      </c>
      <c r="D57" s="80"/>
      <c r="E57" s="80"/>
    </row>
    <row r="58" spans="2:5" ht="15.75">
      <c r="B58" s="80"/>
      <c r="C58" s="80"/>
      <c r="D58" s="80"/>
      <c r="E58" s="80"/>
    </row>
    <row r="59" spans="2:5" ht="15.75">
      <c r="B59" s="80"/>
      <c r="C59" s="80"/>
      <c r="D59" s="80"/>
      <c r="E59" s="280">
        <f>E1</f>
        <v>2015</v>
      </c>
    </row>
    <row r="60" spans="2:5" ht="15.75">
      <c r="B60" s="199" t="str">
        <f>inputPrYr!C3</f>
        <v>Montgomery County</v>
      </c>
      <c r="C60" s="199"/>
      <c r="D60" s="199"/>
      <c r="E60" s="106"/>
    </row>
    <row r="61" spans="2:5" ht="15.75">
      <c r="B61" s="66"/>
      <c r="C61" s="199"/>
      <c r="D61" s="199"/>
      <c r="E61" s="106"/>
    </row>
    <row r="62" spans="2:5" ht="15.75">
      <c r="B62" s="303" t="s">
        <v>747</v>
      </c>
      <c r="C62" s="304"/>
      <c r="D62" s="304"/>
      <c r="E62" s="304"/>
    </row>
    <row r="63" spans="2:5" ht="15.75">
      <c r="B63" s="66" t="s">
        <v>672</v>
      </c>
      <c r="C63" s="507" t="str">
        <f aca="true" t="shared" si="0" ref="C63:E64">C4</f>
        <v>Prior Year </v>
      </c>
      <c r="D63" s="508" t="str">
        <f t="shared" si="0"/>
        <v>Current Year </v>
      </c>
      <c r="E63" s="506" t="str">
        <f t="shared" si="0"/>
        <v>Proposed Budget </v>
      </c>
    </row>
    <row r="64" spans="2:5" ht="15.75">
      <c r="B64" s="345" t="str">
        <f>B5</f>
        <v>Road &amp; Bridge</v>
      </c>
      <c r="C64" s="440" t="str">
        <f t="shared" si="0"/>
        <v>Actual for 2013</v>
      </c>
      <c r="D64" s="440" t="str">
        <f t="shared" si="0"/>
        <v>Estimate for 2014</v>
      </c>
      <c r="E64" s="305" t="str">
        <f t="shared" si="0"/>
        <v>Year for 2015</v>
      </c>
    </row>
    <row r="65" spans="2:5" ht="15.75">
      <c r="B65" s="301" t="s">
        <v>682</v>
      </c>
      <c r="C65" s="439">
        <f>C55</f>
        <v>9072398</v>
      </c>
      <c r="D65" s="439">
        <f>D55</f>
        <v>7921547</v>
      </c>
      <c r="E65" s="258">
        <f>E55</f>
        <v>2644124</v>
      </c>
    </row>
    <row r="66" spans="2:5" ht="15.75">
      <c r="B66" s="294" t="s">
        <v>856</v>
      </c>
      <c r="C66" s="439"/>
      <c r="D66" s="439"/>
      <c r="E66" s="258"/>
    </row>
    <row r="67" spans="2:5" ht="15.75">
      <c r="B67" s="166" t="str">
        <f>IF(('road-detail'!$B7&gt;" "),('road-detail'!$B7)," ")</f>
        <v>Administration</v>
      </c>
      <c r="C67" s="439">
        <f>'road-detail'!C12</f>
        <v>4982709</v>
      </c>
      <c r="D67" s="439">
        <f>'road-detail'!D12</f>
        <v>4860418</v>
      </c>
      <c r="E67" s="258">
        <f>'road-detail'!E12</f>
        <v>4879281</v>
      </c>
    </row>
    <row r="68" spans="2:5" ht="15.75">
      <c r="B68" s="166" t="str">
        <f>IF(('road-detail'!$B13&gt;" "),('road-detail'!$B13)," ")</f>
        <v> </v>
      </c>
      <c r="C68" s="439">
        <f>'road-detail'!C18</f>
        <v>0</v>
      </c>
      <c r="D68" s="439">
        <f>'road-detail'!D18</f>
        <v>1708960</v>
      </c>
      <c r="E68" s="258">
        <f>'road-detail'!E18</f>
        <v>542959</v>
      </c>
    </row>
    <row r="69" spans="2:5" ht="15.75">
      <c r="B69" s="166" t="str">
        <f>IF(('road-detail'!$B19&gt;" "),('road-detail'!$B19)," ")</f>
        <v>Rock</v>
      </c>
      <c r="C69" s="439">
        <f>'road-detail'!C24</f>
        <v>0</v>
      </c>
      <c r="D69" s="439">
        <f>'road-detail'!D24</f>
        <v>0</v>
      </c>
      <c r="E69" s="258">
        <f>'road-detail'!E24</f>
        <v>0</v>
      </c>
    </row>
    <row r="70" spans="2:5" ht="15.75">
      <c r="B70" s="166" t="str">
        <f>IF(('road-detail'!$B25&gt;" "),('road-detail'!$B25)," ")</f>
        <v>Sealing</v>
      </c>
      <c r="C70" s="439">
        <f>'road-detail'!C30</f>
        <v>0</v>
      </c>
      <c r="D70" s="439">
        <f>'road-detail'!D30</f>
        <v>0</v>
      </c>
      <c r="E70" s="258">
        <f>'road-detail'!E30</f>
        <v>0</v>
      </c>
    </row>
    <row r="71" spans="2:5" ht="15.75">
      <c r="B71" s="166" t="str">
        <f>IF(('road-detail'!$B31&gt;" "),('road-detail'!$B31)," ")</f>
        <v>Pavement</v>
      </c>
      <c r="C71" s="439">
        <f>'road-detail'!C36</f>
        <v>0</v>
      </c>
      <c r="D71" s="439">
        <f>'road-detail'!D36</f>
        <v>0</v>
      </c>
      <c r="E71" s="258">
        <f>'road-detail'!E36</f>
        <v>0</v>
      </c>
    </row>
    <row r="72" spans="2:5" ht="15.75">
      <c r="B72" s="166" t="str">
        <f>IF(('road-detail'!$B37&gt;" "),('road-detail'!$B37)," ")</f>
        <v>Other</v>
      </c>
      <c r="C72" s="439">
        <f>'road-detail'!C42</f>
        <v>0</v>
      </c>
      <c r="D72" s="439">
        <f>'road-detail'!D42</f>
        <v>0</v>
      </c>
      <c r="E72" s="258">
        <f>'road-detail'!E42</f>
        <v>0</v>
      </c>
    </row>
    <row r="73" spans="2:5" ht="15.75">
      <c r="B73" s="166" t="s">
        <v>896</v>
      </c>
      <c r="C73" s="450">
        <f>SUM(C67:C72)</f>
        <v>4982709</v>
      </c>
      <c r="D73" s="450">
        <f>SUM(D67:D72)</f>
        <v>6569378</v>
      </c>
      <c r="E73" s="332">
        <f>SUM(E67:E72)</f>
        <v>5422240</v>
      </c>
    </row>
    <row r="74" spans="2:5" ht="15.75">
      <c r="B74" s="166" t="s">
        <v>857</v>
      </c>
      <c r="C74" s="166"/>
      <c r="D74" s="166"/>
      <c r="E74" s="109"/>
    </row>
    <row r="75" spans="2:5" ht="15.75">
      <c r="B75" s="346"/>
      <c r="C75" s="468"/>
      <c r="D75" s="468"/>
      <c r="E75" s="87"/>
    </row>
    <row r="76" spans="2:5" ht="15.75">
      <c r="B76" s="346"/>
      <c r="C76" s="468"/>
      <c r="D76" s="468"/>
      <c r="E76" s="87"/>
    </row>
    <row r="77" spans="2:5" ht="15.75">
      <c r="B77" s="346"/>
      <c r="C77" s="468"/>
      <c r="D77" s="468"/>
      <c r="E77" s="87"/>
    </row>
    <row r="78" spans="2:5" ht="15.75">
      <c r="B78" s="346"/>
      <c r="C78" s="468"/>
      <c r="D78" s="468"/>
      <c r="E78" s="87"/>
    </row>
    <row r="79" spans="2:5" ht="15.75">
      <c r="B79" s="346"/>
      <c r="C79" s="468"/>
      <c r="D79" s="468"/>
      <c r="E79" s="87"/>
    </row>
    <row r="80" spans="2:5" ht="15.75">
      <c r="B80" s="346"/>
      <c r="C80" s="468"/>
      <c r="D80" s="468"/>
      <c r="E80" s="87"/>
    </row>
    <row r="81" spans="2:5" ht="15.75">
      <c r="B81" s="346"/>
      <c r="C81" s="468"/>
      <c r="D81" s="468"/>
      <c r="E81" s="87"/>
    </row>
    <row r="82" spans="2:5" ht="15.75">
      <c r="B82" s="346"/>
      <c r="C82" s="468"/>
      <c r="D82" s="468"/>
      <c r="E82" s="87"/>
    </row>
    <row r="83" spans="2:5" ht="15.75">
      <c r="B83" s="346"/>
      <c r="C83" s="468"/>
      <c r="D83" s="468"/>
      <c r="E83" s="87"/>
    </row>
    <row r="84" spans="2:5" ht="15.75">
      <c r="B84" s="346"/>
      <c r="C84" s="468"/>
      <c r="D84" s="468"/>
      <c r="E84" s="87"/>
    </row>
    <row r="85" spans="2:5" ht="15.75">
      <c r="B85" s="346"/>
      <c r="C85" s="468"/>
      <c r="D85" s="468"/>
      <c r="E85" s="87"/>
    </row>
    <row r="86" spans="2:5" ht="15.75">
      <c r="B86" s="346"/>
      <c r="C86" s="468"/>
      <c r="D86" s="468"/>
      <c r="E86" s="87"/>
    </row>
    <row r="87" spans="2:5" ht="15.75">
      <c r="B87" s="346"/>
      <c r="C87" s="468"/>
      <c r="D87" s="468"/>
      <c r="E87" s="87"/>
    </row>
    <row r="88" spans="2:5" ht="15.75">
      <c r="B88" s="346"/>
      <c r="C88" s="468"/>
      <c r="D88" s="468"/>
      <c r="E88" s="87"/>
    </row>
    <row r="89" spans="2:5" ht="15.75">
      <c r="B89" s="346"/>
      <c r="C89" s="468"/>
      <c r="D89" s="468"/>
      <c r="E89" s="87"/>
    </row>
    <row r="90" spans="2:5" ht="15.75">
      <c r="B90" s="346"/>
      <c r="C90" s="468"/>
      <c r="D90" s="468"/>
      <c r="E90" s="87"/>
    </row>
    <row r="91" spans="2:5" ht="15.75">
      <c r="B91" s="346"/>
      <c r="C91" s="468"/>
      <c r="D91" s="468"/>
      <c r="E91" s="87"/>
    </row>
    <row r="92" spans="2:5" ht="15.75">
      <c r="B92" s="346"/>
      <c r="C92" s="468"/>
      <c r="D92" s="468"/>
      <c r="E92" s="87"/>
    </row>
    <row r="93" spans="2:5" ht="15.75">
      <c r="B93" s="346"/>
      <c r="C93" s="468"/>
      <c r="D93" s="468"/>
      <c r="E93" s="87"/>
    </row>
    <row r="94" spans="2:5" ht="15.75">
      <c r="B94" s="346"/>
      <c r="C94" s="468"/>
      <c r="D94" s="468"/>
      <c r="E94" s="87"/>
    </row>
    <row r="95" spans="2:5" ht="15.75">
      <c r="B95" s="346"/>
      <c r="C95" s="468"/>
      <c r="D95" s="468"/>
      <c r="E95" s="87"/>
    </row>
    <row r="96" spans="2:5" ht="15.75">
      <c r="B96" s="346"/>
      <c r="C96" s="468"/>
      <c r="D96" s="468"/>
      <c r="E96" s="87"/>
    </row>
    <row r="97" spans="2:5" ht="15.75">
      <c r="B97" s="346"/>
      <c r="C97" s="468"/>
      <c r="D97" s="468"/>
      <c r="E97" s="87"/>
    </row>
    <row r="98" spans="2:5" ht="15.75">
      <c r="B98" s="346"/>
      <c r="C98" s="468"/>
      <c r="D98" s="468"/>
      <c r="E98" s="87"/>
    </row>
    <row r="99" spans="2:5" ht="15.75">
      <c r="B99" s="346"/>
      <c r="C99" s="468"/>
      <c r="D99" s="468"/>
      <c r="E99" s="87"/>
    </row>
    <row r="100" spans="2:5" ht="15.75">
      <c r="B100" s="346"/>
      <c r="C100" s="468"/>
      <c r="D100" s="468"/>
      <c r="E100" s="87"/>
    </row>
    <row r="101" spans="2:5" ht="15.75">
      <c r="B101" s="346"/>
      <c r="C101" s="468"/>
      <c r="D101" s="468"/>
      <c r="E101" s="87"/>
    </row>
    <row r="102" spans="2:5" ht="15.75">
      <c r="B102" s="346"/>
      <c r="C102" s="468"/>
      <c r="D102" s="468"/>
      <c r="E102" s="87"/>
    </row>
    <row r="103" spans="2:10" ht="15.75">
      <c r="B103" s="346"/>
      <c r="C103" s="468"/>
      <c r="D103" s="468"/>
      <c r="E103" s="87"/>
      <c r="G103" s="752" t="str">
        <f>CONCATENATE("Desired Carryover Into ",E1+1,"")</f>
        <v>Desired Carryover Into 2016</v>
      </c>
      <c r="H103" s="753"/>
      <c r="I103" s="753"/>
      <c r="J103" s="754"/>
    </row>
    <row r="104" spans="2:10" ht="15.75">
      <c r="B104" s="346"/>
      <c r="C104" s="468"/>
      <c r="D104" s="468"/>
      <c r="E104" s="87"/>
      <c r="G104" s="628"/>
      <c r="H104" s="68"/>
      <c r="I104" s="629"/>
      <c r="J104" s="630"/>
    </row>
    <row r="105" spans="2:10" ht="15.75">
      <c r="B105" s="346"/>
      <c r="C105" s="468"/>
      <c r="D105" s="468"/>
      <c r="E105" s="87"/>
      <c r="G105" s="631" t="s">
        <v>461</v>
      </c>
      <c r="H105" s="629"/>
      <c r="I105" s="629"/>
      <c r="J105" s="632">
        <v>0</v>
      </c>
    </row>
    <row r="106" spans="2:10" ht="15.75">
      <c r="B106" s="346"/>
      <c r="C106" s="468"/>
      <c r="D106" s="468"/>
      <c r="E106" s="87"/>
      <c r="G106" s="628" t="s">
        <v>462</v>
      </c>
      <c r="H106" s="68"/>
      <c r="I106" s="68"/>
      <c r="J106" s="633">
        <f>IF(J105=0,"",ROUND((J105+E118-G118)/inputOth!E5*1000,3)-G123)</f>
      </c>
    </row>
    <row r="107" spans="2:10" ht="15.75">
      <c r="B107" s="346"/>
      <c r="C107" s="468"/>
      <c r="D107" s="468"/>
      <c r="E107" s="87"/>
      <c r="G107" s="634" t="str">
        <f>CONCATENATE("",E1," Tot Exp/Non-Appr Must Be:")</f>
        <v>2015 Tot Exp/Non-Appr Must Be:</v>
      </c>
      <c r="H107" s="635"/>
      <c r="I107" s="636"/>
      <c r="J107" s="637">
        <f>IF(J105&gt;0,IF(E115&lt;E55,IF(J105=G118,E115,((J105-G118)*(1-D117))+E55),E115+(J105-G118)),0)</f>
        <v>0</v>
      </c>
    </row>
    <row r="108" spans="2:10" ht="15.75">
      <c r="B108" s="299" t="s">
        <v>910</v>
      </c>
      <c r="C108" s="468"/>
      <c r="D108" s="468"/>
      <c r="E108" s="311">
        <f>Nhood!E8</f>
        <v>736</v>
      </c>
      <c r="G108" s="638" t="s">
        <v>598</v>
      </c>
      <c r="H108" s="639"/>
      <c r="I108" s="639"/>
      <c r="J108" s="640">
        <f>IF(J105&gt;0,J107-E115,0)</f>
        <v>0</v>
      </c>
    </row>
    <row r="109" spans="2:5" ht="15.75">
      <c r="B109" s="299" t="s">
        <v>911</v>
      </c>
      <c r="C109" s="468"/>
      <c r="D109" s="468"/>
      <c r="E109" s="297"/>
    </row>
    <row r="110" spans="2:10" ht="15.75">
      <c r="B110" s="299" t="s">
        <v>452</v>
      </c>
      <c r="C110" s="438">
        <f>IF(C111*0.1&lt;C109,"Exceed 10% Rule","")</f>
      </c>
      <c r="D110" s="438">
        <f>IF(D111*0.1&lt;D109,"Exceed 10% Rule","")</f>
      </c>
      <c r="E110" s="327">
        <f>IF(E111*0.1&lt;E109,"Exceed 10% Rule","")</f>
      </c>
      <c r="G110" s="739" t="str">
        <f>CONCATENATE("Projected Carryover Into ",E1+1,"")</f>
        <v>Projected Carryover Into 2016</v>
      </c>
      <c r="H110" s="740"/>
      <c r="I110" s="740"/>
      <c r="J110" s="741"/>
    </row>
    <row r="111" spans="2:10" ht="15.75">
      <c r="B111" s="301" t="s">
        <v>686</v>
      </c>
      <c r="C111" s="469">
        <f>SUM(C73:C109)</f>
        <v>4982709</v>
      </c>
      <c r="D111" s="469">
        <f>SUM(D73:D109)</f>
        <v>6569378</v>
      </c>
      <c r="E111" s="349">
        <f>SUM(E73:E109)</f>
        <v>5422976</v>
      </c>
      <c r="G111" s="484"/>
      <c r="H111" s="483"/>
      <c r="I111" s="483"/>
      <c r="J111" s="485"/>
    </row>
    <row r="112" spans="2:10" ht="15.75">
      <c r="B112" s="152" t="s">
        <v>790</v>
      </c>
      <c r="C112" s="439">
        <f>C55-C111</f>
        <v>4089689</v>
      </c>
      <c r="D112" s="439">
        <f>D55-D111</f>
        <v>1352169</v>
      </c>
      <c r="E112" s="194" t="s">
        <v>660</v>
      </c>
      <c r="G112" s="486">
        <f>D112</f>
        <v>1352169</v>
      </c>
      <c r="H112" s="487" t="str">
        <f>CONCATENATE("",E1-1," Ending Cash Balance (est.)")</f>
        <v>2014 Ending Cash Balance (est.)</v>
      </c>
      <c r="I112" s="488"/>
      <c r="J112" s="485"/>
    </row>
    <row r="113" spans="2:10" ht="15.75">
      <c r="B113" s="280" t="str">
        <f>CONCATENATE("",$E$1-2,"/",$E$1-1," Budget Authority Amount:")</f>
        <v>2013/2014 Budget Authority Amount:</v>
      </c>
      <c r="C113" s="272">
        <f>inputOth!B31</f>
        <v>6141860</v>
      </c>
      <c r="D113" s="272">
        <f>inputPrYr!D18</f>
        <v>6569378</v>
      </c>
      <c r="E113" s="194" t="s">
        <v>660</v>
      </c>
      <c r="F113" s="313"/>
      <c r="G113" s="486">
        <f>E54</f>
        <v>1291955</v>
      </c>
      <c r="H113" s="489" t="str">
        <f>CONCATENATE("",E1," Non-AV Receipts (est.)")</f>
        <v>2015 Non-AV Receipts (est.)</v>
      </c>
      <c r="I113" s="488"/>
      <c r="J113" s="485"/>
    </row>
    <row r="114" spans="2:11" ht="15.75">
      <c r="B114" s="280"/>
      <c r="C114" s="745" t="s">
        <v>453</v>
      </c>
      <c r="D114" s="746"/>
      <c r="E114" s="93"/>
      <c r="F114" s="481">
        <f>IF(E111/0.95-E111&lt;E114,"Exceeds 5%","")</f>
      </c>
      <c r="G114" s="490">
        <f>IF(E117&gt;0,E116,E118)</f>
        <v>2778852</v>
      </c>
      <c r="H114" s="489" t="str">
        <f>CONCATENATE("",E1," Ad Valorem Tax (est.)")</f>
        <v>2015 Ad Valorem Tax (est.)</v>
      </c>
      <c r="I114" s="488"/>
      <c r="J114" s="485"/>
      <c r="K114" s="680" t="str">
        <f>IF(G114=E118,"","Note: Does not include Delinquent Taxes")</f>
        <v>Note: Does not include Delinquent Taxes</v>
      </c>
    </row>
    <row r="115" spans="2:10" ht="15.75">
      <c r="B115" s="475" t="str">
        <f>CONCATENATE(C129,"     ",D129)</f>
        <v>     </v>
      </c>
      <c r="C115" s="747" t="s">
        <v>454</v>
      </c>
      <c r="D115" s="748"/>
      <c r="E115" s="258">
        <f>E111+E114</f>
        <v>5422976</v>
      </c>
      <c r="G115" s="486">
        <f>SUM(G112:G114)</f>
        <v>5422976</v>
      </c>
      <c r="H115" s="489" t="str">
        <f>CONCATENATE("Total ",E1," Resources Available")</f>
        <v>Total 2015 Resources Available</v>
      </c>
      <c r="I115" s="488"/>
      <c r="J115" s="485"/>
    </row>
    <row r="116" spans="2:10" ht="15.75">
      <c r="B116" s="475" t="str">
        <f>CONCATENATE(C130,"     ",D130)</f>
        <v>     </v>
      </c>
      <c r="C116" s="314"/>
      <c r="D116" s="106" t="s">
        <v>687</v>
      </c>
      <c r="E116" s="258">
        <f>IF(E115-E55&gt;0,E115-E55,0)</f>
        <v>2778852</v>
      </c>
      <c r="G116" s="491"/>
      <c r="H116" s="489"/>
      <c r="I116" s="489"/>
      <c r="J116" s="485"/>
    </row>
    <row r="117" spans="2:10" ht="15.75">
      <c r="B117" s="280"/>
      <c r="C117" s="457" t="s">
        <v>455</v>
      </c>
      <c r="D117" s="683">
        <f>inputOth!$E$22</f>
        <v>0.07</v>
      </c>
      <c r="E117" s="258">
        <f>IF(D117&gt;0,(E116*D117),0)</f>
        <v>194519.64</v>
      </c>
      <c r="G117" s="490">
        <f>C111*0.05+C111</f>
        <v>5231844.45</v>
      </c>
      <c r="H117" s="489" t="str">
        <f>CONCATENATE("Less ",E1-2," Expenditures + 5%")</f>
        <v>Less 2013 Expenditures + 5%</v>
      </c>
      <c r="I117" s="488"/>
      <c r="J117" s="485"/>
    </row>
    <row r="118" spans="2:10" ht="15.75">
      <c r="B118" s="66"/>
      <c r="C118" s="743" t="str">
        <f>CONCATENATE("Amount of  ",$E$1-1," Ad Valorem Tax")</f>
        <v>Amount of  2014 Ad Valorem Tax</v>
      </c>
      <c r="D118" s="744"/>
      <c r="E118" s="332">
        <f>E116+E117</f>
        <v>2973371.64</v>
      </c>
      <c r="G118" s="495">
        <f>G115-G117</f>
        <v>191131.5499999998</v>
      </c>
      <c r="H118" s="492" t="str">
        <f>CONCATENATE("Projected ",E1," Carryover (est.)")</f>
        <v>Projected 2015 Carryover (est.)</v>
      </c>
      <c r="I118" s="493"/>
      <c r="J118" s="494"/>
    </row>
    <row r="119" spans="2:5" ht="15.75">
      <c r="B119" s="66"/>
      <c r="C119" s="66"/>
      <c r="D119" s="66"/>
      <c r="E119" s="66"/>
    </row>
    <row r="120" spans="2:10" ht="15.75">
      <c r="B120" s="80"/>
      <c r="C120" s="80" t="str">
        <f>CONCATENATE("Page No. ",C57,"a")</f>
        <v>Page No. 9a</v>
      </c>
      <c r="D120" s="185"/>
      <c r="E120" s="80"/>
      <c r="G120" s="749" t="s">
        <v>599</v>
      </c>
      <c r="H120" s="750"/>
      <c r="I120" s="750"/>
      <c r="J120" s="751"/>
    </row>
    <row r="121" spans="7:10" ht="15.75">
      <c r="G121" s="652"/>
      <c r="H121" s="644"/>
      <c r="I121" s="653"/>
      <c r="J121" s="654"/>
    </row>
    <row r="122" spans="7:10" ht="15.75">
      <c r="G122" s="655">
        <f>summ!H18</f>
        <v>10.36</v>
      </c>
      <c r="H122" s="644" t="str">
        <f>CONCATENATE("",E1," Fund Mill Rate")</f>
        <v>2015 Fund Mill Rate</v>
      </c>
      <c r="I122" s="653"/>
      <c r="J122" s="654"/>
    </row>
    <row r="123" spans="7:10" ht="15.75">
      <c r="G123" s="656">
        <f>summ!E18</f>
        <v>9.185</v>
      </c>
      <c r="H123" s="644" t="str">
        <f>CONCATENATE("",E1-1," Fund Mill Rate")</f>
        <v>2014 Fund Mill Rate</v>
      </c>
      <c r="I123" s="653"/>
      <c r="J123" s="654"/>
    </row>
    <row r="124" spans="7:10" ht="15.75">
      <c r="G124" s="657">
        <f>summ!H52</f>
        <v>42.268</v>
      </c>
      <c r="H124" s="644" t="str">
        <f>CONCATENATE("Total ",E1," Mill Rate")</f>
        <v>Total 2015 Mill Rate</v>
      </c>
      <c r="I124" s="653"/>
      <c r="J124" s="654"/>
    </row>
    <row r="125" spans="7:10" ht="15.75">
      <c r="G125" s="656">
        <f>summ!E52</f>
        <v>40.64399999999999</v>
      </c>
      <c r="H125" s="658" t="str">
        <f>CONCATENATE("Total ",E1-1," Mill Rate")</f>
        <v>Total 2014 Mill Rate</v>
      </c>
      <c r="I125" s="659"/>
      <c r="J125" s="660"/>
    </row>
    <row r="127" spans="7:9" ht="15.75">
      <c r="G127" s="696" t="s">
        <v>53</v>
      </c>
      <c r="H127" s="695"/>
      <c r="I127" s="694" t="str">
        <f>cert!F60</f>
        <v>Yes</v>
      </c>
    </row>
    <row r="129" spans="3:4" ht="15.75" hidden="1">
      <c r="C129" s="52">
        <f>IF(C111&gt;C113,"See Tab A","")</f>
      </c>
      <c r="D129" s="52">
        <f>IF(D111&gt;D113,"See Tab C","")</f>
      </c>
    </row>
    <row r="130" spans="3:4" ht="15.75" hidden="1">
      <c r="C130" s="52">
        <f>IF(C112&lt;0,"See Tab B","")</f>
      </c>
      <c r="D130" s="52">
        <f>IF(D112&lt;0,"See Tab D","")</f>
      </c>
    </row>
  </sheetData>
  <sheetProtection sheet="1"/>
  <mergeCells count="6">
    <mergeCell ref="G120:J120"/>
    <mergeCell ref="G103:J103"/>
    <mergeCell ref="C114:D114"/>
    <mergeCell ref="C115:D115"/>
    <mergeCell ref="G110:J110"/>
    <mergeCell ref="C118:D118"/>
  </mergeCells>
  <conditionalFormatting sqref="C52">
    <cfRule type="cellIs" priority="2" dxfId="309" operator="greaterThan" stopIfTrue="1">
      <formula>$C$54*0.1</formula>
    </cfRule>
  </conditionalFormatting>
  <conditionalFormatting sqref="D52">
    <cfRule type="cellIs" priority="3" dxfId="309" operator="greaterThan" stopIfTrue="1">
      <formula>$D$54*0.1</formula>
    </cfRule>
  </conditionalFormatting>
  <conditionalFormatting sqref="E109">
    <cfRule type="cellIs" priority="4" dxfId="309" operator="greaterThan" stopIfTrue="1">
      <formula>$E$111*0.1</formula>
    </cfRule>
  </conditionalFormatting>
  <conditionalFormatting sqref="E114">
    <cfRule type="cellIs" priority="5" dxfId="309" operator="greaterThan" stopIfTrue="1">
      <formula>$E$111/0.95-$E$111</formula>
    </cfRule>
  </conditionalFormatting>
  <conditionalFormatting sqref="E52">
    <cfRule type="cellIs" priority="6" dxfId="309" operator="greaterThan" stopIfTrue="1">
      <formula>$E$54*0.1+E118</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C111">
    <cfRule type="cellIs" priority="9" dxfId="2" operator="greaterThan" stopIfTrue="1">
      <formula>$C$113</formula>
    </cfRule>
  </conditionalFormatting>
  <conditionalFormatting sqref="D111">
    <cfRule type="cellIs" priority="10" dxfId="2" operator="greaterThan" stopIfTrue="1">
      <formula>$D$113</formula>
    </cfRule>
  </conditionalFormatting>
  <conditionalFormatting sqref="C112">
    <cfRule type="cellIs" priority="11" dxfId="2" operator="lessThan" stopIfTrue="1">
      <formula>0</formula>
    </cfRule>
  </conditionalFormatting>
  <conditionalFormatting sqref="D112">
    <cfRule type="cellIs" priority="1" dxfId="0" operator="lessThan" stopIfTrue="1">
      <formula>0</formula>
    </cfRule>
  </conditionalFormatting>
  <printOptions/>
  <pageMargins left="0.75" right="0.75" top="1" bottom="1" header="0.5" footer="0.5"/>
  <pageSetup blackAndWhite="1" fitToHeight="2" horizontalDpi="600" verticalDpi="600" orientation="portrait" scale="65" r:id="rId1"/>
  <headerFooter alignWithMargins="0">
    <oddHeader>&amp;RState of Kansas
County</oddHeader>
  </headerFooter>
  <rowBreaks count="1" manualBreakCount="1">
    <brk id="58" max="255" man="1"/>
  </rowBreaks>
</worksheet>
</file>

<file path=xl/worksheets/sheet17.xml><?xml version="1.0" encoding="utf-8"?>
<worksheet xmlns="http://schemas.openxmlformats.org/spreadsheetml/2006/main" xmlns:r="http://schemas.openxmlformats.org/officeDocument/2006/relationships">
  <sheetPr>
    <pageSetUpPr fitToPage="1"/>
  </sheetPr>
  <dimension ref="B1:E46"/>
  <sheetViews>
    <sheetView zoomScalePageLayoutView="0" workbookViewId="0" topLeftCell="A1">
      <selection activeCell="E17" sqref="E17"/>
    </sheetView>
  </sheetViews>
  <sheetFormatPr defaultColWidth="8.796875" defaultRowHeight="15"/>
  <cols>
    <col min="1" max="1" width="2.3984375" style="52" customWidth="1"/>
    <col min="2" max="2" width="28.296875" style="52" customWidth="1"/>
    <col min="3" max="4" width="15.796875" style="52" customWidth="1"/>
    <col min="5" max="5" width="16.19921875" style="52" customWidth="1"/>
    <col min="6" max="16384" width="8.8984375" style="52" customWidth="1"/>
  </cols>
  <sheetData>
    <row r="1" spans="2:5" ht="15.75">
      <c r="B1" s="199" t="str">
        <f>inputPrYr!C3</f>
        <v>Montgomery County</v>
      </c>
      <c r="C1" s="66"/>
      <c r="D1" s="185"/>
      <c r="E1" s="66">
        <f>inputPrYr!C5</f>
        <v>2015</v>
      </c>
    </row>
    <row r="2" spans="2:5" ht="15.75">
      <c r="B2" s="66"/>
      <c r="C2" s="66"/>
      <c r="D2" s="66"/>
      <c r="E2" s="185"/>
    </row>
    <row r="3" spans="2:5" ht="15.75">
      <c r="B3" s="208" t="s">
        <v>921</v>
      </c>
      <c r="C3" s="304"/>
      <c r="D3" s="304"/>
      <c r="E3" s="304"/>
    </row>
    <row r="4" spans="2:5" ht="15.75">
      <c r="B4" s="185" t="s">
        <v>672</v>
      </c>
      <c r="C4" s="624" t="s">
        <v>595</v>
      </c>
      <c r="D4" s="625" t="s">
        <v>596</v>
      </c>
      <c r="E4" s="148" t="s">
        <v>597</v>
      </c>
    </row>
    <row r="5" spans="2:5" ht="15.75">
      <c r="B5" s="463" t="s">
        <v>456</v>
      </c>
      <c r="C5" s="440" t="str">
        <f>CONCATENATE("Actual for ",E1-2,"")</f>
        <v>Actual for 2013</v>
      </c>
      <c r="D5" s="440" t="str">
        <f>CONCATENATE("Estimate for ",E1-1,"")</f>
        <v>Estimate for 2014</v>
      </c>
      <c r="E5" s="293" t="str">
        <f>CONCATENATE("Year for ",E1,"")</f>
        <v>Year for 2015</v>
      </c>
    </row>
    <row r="6" spans="2:5" ht="15.75">
      <c r="B6" s="255" t="s">
        <v>685</v>
      </c>
      <c r="C6" s="109"/>
      <c r="D6" s="109"/>
      <c r="E6" s="109"/>
    </row>
    <row r="7" spans="2:5" ht="15.75">
      <c r="B7" s="335" t="s">
        <v>924</v>
      </c>
      <c r="C7" s="109"/>
      <c r="D7" s="109"/>
      <c r="E7" s="109"/>
    </row>
    <row r="8" spans="2:5" ht="15.75">
      <c r="B8" s="336" t="s">
        <v>690</v>
      </c>
      <c r="C8" s="297">
        <v>1221980</v>
      </c>
      <c r="D8" s="297">
        <v>1257543</v>
      </c>
      <c r="E8" s="297">
        <v>1276406</v>
      </c>
    </row>
    <row r="9" spans="2:5" ht="15.75">
      <c r="B9" s="336" t="s">
        <v>691</v>
      </c>
      <c r="C9" s="297">
        <v>95342</v>
      </c>
      <c r="D9" s="297">
        <v>352000</v>
      </c>
      <c r="E9" s="297">
        <v>352000</v>
      </c>
    </row>
    <row r="10" spans="2:5" ht="15.75">
      <c r="B10" s="336" t="s">
        <v>692</v>
      </c>
      <c r="C10" s="297">
        <v>3432707</v>
      </c>
      <c r="D10" s="297">
        <v>2925395</v>
      </c>
      <c r="E10" s="297">
        <v>2925395</v>
      </c>
    </row>
    <row r="11" spans="2:5" ht="15.75">
      <c r="B11" s="336" t="s">
        <v>693</v>
      </c>
      <c r="C11" s="297">
        <v>232680</v>
      </c>
      <c r="D11" s="297">
        <v>325480</v>
      </c>
      <c r="E11" s="297">
        <v>325480</v>
      </c>
    </row>
    <row r="12" spans="2:5" ht="15.75">
      <c r="B12" s="255" t="s">
        <v>644</v>
      </c>
      <c r="C12" s="311">
        <f>SUM(C8:C11)</f>
        <v>4982709</v>
      </c>
      <c r="D12" s="311">
        <f>SUM(D8:D11)</f>
        <v>4860418</v>
      </c>
      <c r="E12" s="311">
        <f>SUM(E8:E11)</f>
        <v>4879281</v>
      </c>
    </row>
    <row r="13" spans="2:5" ht="15.75">
      <c r="B13" s="335" t="s">
        <v>701</v>
      </c>
      <c r="C13" s="109"/>
      <c r="D13" s="109"/>
      <c r="E13" s="109"/>
    </row>
    <row r="14" spans="2:5" ht="15.75">
      <c r="B14" s="335" t="s">
        <v>102</v>
      </c>
      <c r="C14" s="297"/>
      <c r="D14" s="297">
        <v>1708960</v>
      </c>
      <c r="E14" s="297">
        <v>307760</v>
      </c>
    </row>
    <row r="15" spans="2:5" ht="15.75">
      <c r="B15" s="336" t="s">
        <v>103</v>
      </c>
      <c r="C15" s="297"/>
      <c r="D15" s="297">
        <v>0</v>
      </c>
      <c r="E15" s="297">
        <v>150000</v>
      </c>
    </row>
    <row r="16" spans="2:5" ht="15.75">
      <c r="B16" s="336" t="s">
        <v>104</v>
      </c>
      <c r="C16" s="297"/>
      <c r="D16" s="297">
        <v>0</v>
      </c>
      <c r="E16" s="297">
        <v>85199</v>
      </c>
    </row>
    <row r="17" spans="2:5" ht="15.75">
      <c r="B17" s="336" t="s">
        <v>701</v>
      </c>
      <c r="C17" s="297"/>
      <c r="D17" s="297"/>
      <c r="E17" s="297"/>
    </row>
    <row r="18" spans="2:5" ht="15.75">
      <c r="B18" s="255" t="s">
        <v>644</v>
      </c>
      <c r="C18" s="311">
        <f>SUM(C14:C17)</f>
        <v>0</v>
      </c>
      <c r="D18" s="311">
        <f>SUM(D14:D17)</f>
        <v>1708960</v>
      </c>
      <c r="E18" s="311">
        <f>SUM(E14:E17)</f>
        <v>542959</v>
      </c>
    </row>
    <row r="19" spans="2:5" ht="15.75">
      <c r="B19" s="335" t="s">
        <v>925</v>
      </c>
      <c r="C19" s="109"/>
      <c r="D19" s="109"/>
      <c r="E19" s="109"/>
    </row>
    <row r="20" spans="2:5" ht="15.75">
      <c r="B20" s="336" t="s">
        <v>690</v>
      </c>
      <c r="C20" s="297"/>
      <c r="D20" s="297"/>
      <c r="E20" s="297"/>
    </row>
    <row r="21" spans="2:5" ht="15.75">
      <c r="B21" s="336" t="s">
        <v>691</v>
      </c>
      <c r="C21" s="297"/>
      <c r="D21" s="297"/>
      <c r="E21" s="297"/>
    </row>
    <row r="22" spans="2:5" ht="15.75">
      <c r="B22" s="336" t="s">
        <v>692</v>
      </c>
      <c r="C22" s="297"/>
      <c r="D22" s="297"/>
      <c r="E22" s="297"/>
    </row>
    <row r="23" spans="2:5" ht="15.75">
      <c r="B23" s="336" t="s">
        <v>693</v>
      </c>
      <c r="C23" s="297"/>
      <c r="D23" s="297"/>
      <c r="E23" s="297"/>
    </row>
    <row r="24" spans="2:5" ht="15.75">
      <c r="B24" s="255" t="s">
        <v>644</v>
      </c>
      <c r="C24" s="311">
        <f>SUM(C20:C23)</f>
        <v>0</v>
      </c>
      <c r="D24" s="311">
        <f>SUM(D20:D23)</f>
        <v>0</v>
      </c>
      <c r="E24" s="311">
        <f>SUM(E20:E23)</f>
        <v>0</v>
      </c>
    </row>
    <row r="25" spans="2:5" ht="15.75">
      <c r="B25" s="335" t="s">
        <v>926</v>
      </c>
      <c r="C25" s="109"/>
      <c r="D25" s="109"/>
      <c r="E25" s="109"/>
    </row>
    <row r="26" spans="2:5" ht="15.75">
      <c r="B26" s="336" t="s">
        <v>690</v>
      </c>
      <c r="C26" s="297"/>
      <c r="D26" s="297"/>
      <c r="E26" s="297"/>
    </row>
    <row r="27" spans="2:5" ht="15.75">
      <c r="B27" s="336" t="s">
        <v>691</v>
      </c>
      <c r="C27" s="297"/>
      <c r="D27" s="297"/>
      <c r="E27" s="297"/>
    </row>
    <row r="28" spans="2:5" ht="15.75">
      <c r="B28" s="336" t="s">
        <v>692</v>
      </c>
      <c r="C28" s="297"/>
      <c r="D28" s="297"/>
      <c r="E28" s="297"/>
    </row>
    <row r="29" spans="2:5" ht="15.75">
      <c r="B29" s="336" t="s">
        <v>693</v>
      </c>
      <c r="C29" s="297"/>
      <c r="D29" s="297"/>
      <c r="E29" s="297"/>
    </row>
    <row r="30" spans="2:5" ht="15.75">
      <c r="B30" s="255" t="s">
        <v>644</v>
      </c>
      <c r="C30" s="311">
        <f>SUM(C26:C29)</f>
        <v>0</v>
      </c>
      <c r="D30" s="311">
        <f>SUM(D26:D29)</f>
        <v>0</v>
      </c>
      <c r="E30" s="311">
        <f>SUM(E26:E29)</f>
        <v>0</v>
      </c>
    </row>
    <row r="31" spans="2:5" ht="15.75">
      <c r="B31" s="335" t="s">
        <v>927</v>
      </c>
      <c r="C31" s="109"/>
      <c r="D31" s="109"/>
      <c r="E31" s="109"/>
    </row>
    <row r="32" spans="2:5" ht="15.75">
      <c r="B32" s="336" t="s">
        <v>690</v>
      </c>
      <c r="C32" s="297"/>
      <c r="D32" s="297"/>
      <c r="E32" s="297"/>
    </row>
    <row r="33" spans="2:5" ht="15.75">
      <c r="B33" s="336" t="s">
        <v>691</v>
      </c>
      <c r="C33" s="297"/>
      <c r="D33" s="297"/>
      <c r="E33" s="297"/>
    </row>
    <row r="34" spans="2:5" ht="15.75">
      <c r="B34" s="336" t="s">
        <v>692</v>
      </c>
      <c r="C34" s="297"/>
      <c r="D34" s="297"/>
      <c r="E34" s="297"/>
    </row>
    <row r="35" spans="2:5" ht="15.75">
      <c r="B35" s="336" t="s">
        <v>693</v>
      </c>
      <c r="C35" s="297"/>
      <c r="D35" s="297"/>
      <c r="E35" s="297"/>
    </row>
    <row r="36" spans="2:5" ht="15.75">
      <c r="B36" s="255" t="s">
        <v>644</v>
      </c>
      <c r="C36" s="311">
        <f>SUM(C32:C35)</f>
        <v>0</v>
      </c>
      <c r="D36" s="311">
        <f>SUM(D32:D35)</f>
        <v>0</v>
      </c>
      <c r="E36" s="311">
        <f>SUM(E32:E35)</f>
        <v>0</v>
      </c>
    </row>
    <row r="37" spans="2:5" ht="15.75">
      <c r="B37" s="335" t="s">
        <v>699</v>
      </c>
      <c r="C37" s="109"/>
      <c r="D37" s="109"/>
      <c r="E37" s="109"/>
    </row>
    <row r="38" spans="2:5" ht="15.75">
      <c r="B38" s="336" t="s">
        <v>690</v>
      </c>
      <c r="C38" s="297"/>
      <c r="D38" s="297"/>
      <c r="E38" s="297"/>
    </row>
    <row r="39" spans="2:5" ht="15.75">
      <c r="B39" s="336" t="s">
        <v>691</v>
      </c>
      <c r="C39" s="297"/>
      <c r="D39" s="297"/>
      <c r="E39" s="297"/>
    </row>
    <row r="40" spans="2:5" ht="15.75">
      <c r="B40" s="336" t="s">
        <v>692</v>
      </c>
      <c r="C40" s="297"/>
      <c r="D40" s="297"/>
      <c r="E40" s="297"/>
    </row>
    <row r="41" spans="2:5" ht="15.75">
      <c r="B41" s="336" t="s">
        <v>693</v>
      </c>
      <c r="C41" s="297"/>
      <c r="D41" s="297"/>
      <c r="E41" s="297"/>
    </row>
    <row r="42" spans="2:5" ht="15.75">
      <c r="B42" s="255" t="s">
        <v>644</v>
      </c>
      <c r="C42" s="311">
        <f>SUM(C38:C41)</f>
        <v>0</v>
      </c>
      <c r="D42" s="311">
        <f>SUM(D38:D41)</f>
        <v>0</v>
      </c>
      <c r="E42" s="311">
        <f>SUM(E38:E41)</f>
        <v>0</v>
      </c>
    </row>
    <row r="43" spans="2:5" ht="15.75">
      <c r="B43" s="66" t="s">
        <v>875</v>
      </c>
      <c r="C43" s="307">
        <f>SUM(C12+C18+C24+C30+C36+C42)</f>
        <v>4982709</v>
      </c>
      <c r="D43" s="307">
        <f>SUM(D12+D18+D24+D30+D36+D42)</f>
        <v>6569378</v>
      </c>
      <c r="E43" s="307">
        <f>SUM(E12+E18+E24+E30+E36+E42)</f>
        <v>5422240</v>
      </c>
    </row>
    <row r="44" spans="2:5" ht="15.75">
      <c r="B44" s="66"/>
      <c r="C44" s="68"/>
      <c r="D44" s="68"/>
      <c r="E44" s="68"/>
    </row>
    <row r="45" spans="2:5" ht="15.75">
      <c r="B45" s="755" t="s">
        <v>897</v>
      </c>
      <c r="C45" s="756"/>
      <c r="D45" s="756"/>
      <c r="E45" s="68"/>
    </row>
    <row r="46" spans="2:5" ht="15.75">
      <c r="B46" s="280"/>
      <c r="C46" s="83" t="str">
        <f>CONCATENATE("Page No.",road!C57,"b")</f>
        <v>Page No.9b</v>
      </c>
      <c r="D46" s="66"/>
      <c r="E46" s="66"/>
    </row>
  </sheetData>
  <sheetProtection sheet="1"/>
  <mergeCells count="1">
    <mergeCell ref="B45:D45"/>
  </mergeCells>
  <printOptions/>
  <pageMargins left="1.12" right="0.5" top="0.74" bottom="0.34" header="0.5" footer="0"/>
  <pageSetup blackAndWhite="1" fitToHeight="1" fitToWidth="1" horizontalDpi="300" verticalDpi="300" orientation="portrait" scale="87"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B49">
      <selection activeCell="E69" sqref="E69"/>
    </sheetView>
  </sheetViews>
  <sheetFormatPr defaultColWidth="8.796875" defaultRowHeight="15"/>
  <cols>
    <col min="1" max="1" width="2.3984375" style="52" customWidth="1"/>
    <col min="2" max="2" width="31.09765625" style="52" customWidth="1"/>
    <col min="3" max="4" width="15.796875" style="52" customWidth="1"/>
    <col min="5" max="5" width="16.3984375" style="52" customWidth="1"/>
    <col min="6" max="6" width="8.0976562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199" t="str">
        <f>(inputPrYr!C3)</f>
        <v>Montgomery County</v>
      </c>
      <c r="C1" s="66"/>
      <c r="D1" s="66"/>
      <c r="E1" s="279">
        <f>inputPrYr!C5</f>
        <v>2015</v>
      </c>
    </row>
    <row r="2" spans="2:5" ht="15.75">
      <c r="B2" s="66"/>
      <c r="C2" s="66"/>
      <c r="D2" s="66"/>
      <c r="E2" s="106"/>
    </row>
    <row r="3" spans="2:5" ht="15.75">
      <c r="B3" s="472" t="s">
        <v>748</v>
      </c>
      <c r="C3" s="144"/>
      <c r="D3" s="144"/>
      <c r="E3" s="144"/>
    </row>
    <row r="4" spans="2:5" ht="15.75">
      <c r="B4" s="65" t="s">
        <v>672</v>
      </c>
      <c r="C4" s="624" t="s">
        <v>595</v>
      </c>
      <c r="D4" s="625" t="s">
        <v>596</v>
      </c>
      <c r="E4" s="148" t="s">
        <v>597</v>
      </c>
    </row>
    <row r="5" spans="2:5" ht="15.75">
      <c r="B5" s="460" t="str">
        <f>inputPrYr!$B$19</f>
        <v>County Health</v>
      </c>
      <c r="C5" s="440" t="str">
        <f>CONCATENATE("Actual for ",E1-2,"")</f>
        <v>Actual for 2013</v>
      </c>
      <c r="D5" s="440" t="str">
        <f>CONCATENATE("Estimate for ",E1-1,"")</f>
        <v>Estimate for 2014</v>
      </c>
      <c r="E5" s="293" t="str">
        <f>CONCATENATE("Year for ",E1,"")</f>
        <v>Year for 2015</v>
      </c>
    </row>
    <row r="6" spans="2:5" ht="15.75">
      <c r="B6" s="152" t="s">
        <v>789</v>
      </c>
      <c r="C6" s="468">
        <v>503251</v>
      </c>
      <c r="D6" s="439">
        <f>C34</f>
        <v>590967</v>
      </c>
      <c r="E6" s="258">
        <f>D34</f>
        <v>214661</v>
      </c>
    </row>
    <row r="7" spans="2:5" ht="15.75">
      <c r="B7" s="283" t="s">
        <v>791</v>
      </c>
      <c r="C7" s="166"/>
      <c r="D7" s="166"/>
      <c r="E7" s="109"/>
    </row>
    <row r="8" spans="2:5" ht="15.75">
      <c r="B8" s="152" t="s">
        <v>673</v>
      </c>
      <c r="C8" s="468">
        <v>221175</v>
      </c>
      <c r="D8" s="439">
        <f>IF(inputPrYr!H19&gt;0,inputPrYr!H19,inputPrYr!E19)</f>
        <v>0</v>
      </c>
      <c r="E8" s="320" t="s">
        <v>660</v>
      </c>
    </row>
    <row r="9" spans="2:5" ht="15.75">
      <c r="B9" s="152" t="s">
        <v>674</v>
      </c>
      <c r="C9" s="468">
        <v>3667</v>
      </c>
      <c r="D9" s="468">
        <v>3000</v>
      </c>
      <c r="E9" s="93">
        <v>3000</v>
      </c>
    </row>
    <row r="10" spans="2:5" ht="15.75">
      <c r="B10" s="152" t="s">
        <v>675</v>
      </c>
      <c r="C10" s="468">
        <v>403</v>
      </c>
      <c r="D10" s="468">
        <v>18964</v>
      </c>
      <c r="E10" s="258" t="str">
        <f>mvalloc!E13</f>
        <v> </v>
      </c>
    </row>
    <row r="11" spans="2:5" ht="15.75">
      <c r="B11" s="152" t="s">
        <v>676</v>
      </c>
      <c r="C11" s="468">
        <v>3</v>
      </c>
      <c r="D11" s="468">
        <v>238</v>
      </c>
      <c r="E11" s="258" t="str">
        <f>mvalloc!F13</f>
        <v> </v>
      </c>
    </row>
    <row r="12" spans="2:5" ht="15.75">
      <c r="B12" s="166" t="s">
        <v>740</v>
      </c>
      <c r="C12" s="468">
        <v>788</v>
      </c>
      <c r="D12" s="468">
        <v>592</v>
      </c>
      <c r="E12" s="258" t="str">
        <f>mvalloc!G13</f>
        <v> </v>
      </c>
    </row>
    <row r="13" spans="2:5" ht="15.75">
      <c r="B13" s="310" t="s">
        <v>163</v>
      </c>
      <c r="C13" s="468">
        <v>167501</v>
      </c>
      <c r="D13" s="468">
        <v>125354</v>
      </c>
      <c r="E13" s="93">
        <v>150000</v>
      </c>
    </row>
    <row r="14" spans="2:5" ht="15.75">
      <c r="B14" s="310" t="s">
        <v>164</v>
      </c>
      <c r="C14" s="468">
        <v>163893</v>
      </c>
      <c r="D14" s="468">
        <v>110000</v>
      </c>
      <c r="E14" s="93">
        <v>140000</v>
      </c>
    </row>
    <row r="15" spans="2:5" ht="15.75">
      <c r="B15" s="310" t="s">
        <v>165</v>
      </c>
      <c r="C15" s="468">
        <v>0</v>
      </c>
      <c r="D15" s="468">
        <v>100</v>
      </c>
      <c r="E15" s="93">
        <v>100</v>
      </c>
    </row>
    <row r="16" spans="2:5" ht="15.75">
      <c r="B16" s="310" t="s">
        <v>100</v>
      </c>
      <c r="C16" s="468">
        <v>490</v>
      </c>
      <c r="D16" s="468"/>
      <c r="E16" s="93">
        <v>0</v>
      </c>
    </row>
    <row r="17" spans="2:5" ht="15.75">
      <c r="B17" s="298" t="s">
        <v>680</v>
      </c>
      <c r="C17" s="468">
        <v>0</v>
      </c>
      <c r="D17" s="468"/>
      <c r="E17" s="93">
        <v>0</v>
      </c>
    </row>
    <row r="18" spans="2:5" ht="15.75">
      <c r="B18" s="299" t="s">
        <v>911</v>
      </c>
      <c r="C18" s="468">
        <v>54</v>
      </c>
      <c r="D18" s="468"/>
      <c r="E18" s="93">
        <v>0</v>
      </c>
    </row>
    <row r="19" spans="2:5" ht="15.75">
      <c r="B19" s="299" t="s">
        <v>913</v>
      </c>
      <c r="C19" s="438">
        <f>IF(C20*0.1&lt;C18,"Exceed 10% Rule","")</f>
      </c>
      <c r="D19" s="438">
        <f>IF(D20*0.1&lt;D18,"Exceed 10% Rule","")</f>
      </c>
      <c r="E19" s="327">
        <f>IF(E20*0.1+E40&lt;E18,"Exceed 10% Rule","")</f>
      </c>
    </row>
    <row r="20" spans="2:5" ht="15.75">
      <c r="B20" s="301" t="s">
        <v>681</v>
      </c>
      <c r="C20" s="442">
        <f>SUM(C8:C18)</f>
        <v>557974</v>
      </c>
      <c r="D20" s="442">
        <f>SUM(D8:D18)</f>
        <v>258248</v>
      </c>
      <c r="E20" s="347">
        <f>SUM(E8:E18)</f>
        <v>293100</v>
      </c>
    </row>
    <row r="21" spans="2:5" ht="15.75">
      <c r="B21" s="301" t="s">
        <v>682</v>
      </c>
      <c r="C21" s="442">
        <f>C6+C20</f>
        <v>1061225</v>
      </c>
      <c r="D21" s="442">
        <f>D6+D20</f>
        <v>849215</v>
      </c>
      <c r="E21" s="347">
        <f>E6+E20</f>
        <v>507761</v>
      </c>
    </row>
    <row r="22" spans="2:5" ht="15.75">
      <c r="B22" s="152" t="s">
        <v>685</v>
      </c>
      <c r="C22" s="299"/>
      <c r="D22" s="299"/>
      <c r="E22" s="162"/>
    </row>
    <row r="23" spans="2:5" ht="15.75">
      <c r="B23" s="310" t="s">
        <v>166</v>
      </c>
      <c r="C23" s="468">
        <v>316468</v>
      </c>
      <c r="D23" s="468">
        <v>328836</v>
      </c>
      <c r="E23" s="93">
        <v>322000</v>
      </c>
    </row>
    <row r="24" spans="2:10" ht="15.75">
      <c r="B24" s="310" t="s">
        <v>167</v>
      </c>
      <c r="C24" s="468">
        <v>55204</v>
      </c>
      <c r="D24" s="468">
        <v>52220</v>
      </c>
      <c r="E24" s="93">
        <v>56400</v>
      </c>
      <c r="G24" s="752" t="str">
        <f>CONCATENATE("Desired Carryover Into ",E1+1,"")</f>
        <v>Desired Carryover Into 2016</v>
      </c>
      <c r="H24" s="753"/>
      <c r="I24" s="753"/>
      <c r="J24" s="754"/>
    </row>
    <row r="25" spans="2:10" ht="15.75">
      <c r="B25" s="310" t="s">
        <v>168</v>
      </c>
      <c r="C25" s="468">
        <v>92950</v>
      </c>
      <c r="D25" s="468">
        <v>124118</v>
      </c>
      <c r="E25" s="93">
        <v>124500</v>
      </c>
      <c r="G25" s="628"/>
      <c r="H25" s="68"/>
      <c r="I25" s="629"/>
      <c r="J25" s="630"/>
    </row>
    <row r="26" spans="2:10" ht="15.75">
      <c r="B26" s="310" t="s">
        <v>169</v>
      </c>
      <c r="C26" s="468">
        <v>5636</v>
      </c>
      <c r="D26" s="468">
        <v>2000</v>
      </c>
      <c r="E26" s="93">
        <v>4861</v>
      </c>
      <c r="G26" s="631" t="s">
        <v>461</v>
      </c>
      <c r="H26" s="629"/>
      <c r="I26" s="629"/>
      <c r="J26" s="632">
        <v>0</v>
      </c>
    </row>
    <row r="27" spans="2:10" ht="15.75">
      <c r="B27" s="310" t="s">
        <v>102</v>
      </c>
      <c r="C27" s="468">
        <v>0</v>
      </c>
      <c r="D27" s="468">
        <v>127380</v>
      </c>
      <c r="E27" s="93">
        <v>0</v>
      </c>
      <c r="G27" s="628" t="s">
        <v>462</v>
      </c>
      <c r="H27" s="68"/>
      <c r="I27" s="68"/>
      <c r="J27" s="633">
        <f>IF(J26=0,"",ROUND((J26+E40-G39)/inputOth!E5*1000,3)-G44)</f>
      </c>
    </row>
    <row r="28" spans="2:10" ht="15.75">
      <c r="B28" s="310"/>
      <c r="C28" s="468"/>
      <c r="D28" s="468"/>
      <c r="E28" s="93"/>
      <c r="G28" s="634" t="str">
        <f>CONCATENATE("",E1," Tot Exp/Non-Appr Must Be:")</f>
        <v>2015 Tot Exp/Non-Appr Must Be:</v>
      </c>
      <c r="H28" s="635"/>
      <c r="I28" s="636"/>
      <c r="J28" s="637">
        <f>IF(J26&gt;0,IF(E37&lt;E21,IF(J26=G39,E37,((J26-G39)*(1-D39))+E21),E37+(J26-G39)),0)</f>
        <v>0</v>
      </c>
    </row>
    <row r="29" spans="2:10" ht="15.75">
      <c r="B29" s="310"/>
      <c r="C29" s="468"/>
      <c r="D29" s="468"/>
      <c r="E29" s="93"/>
      <c r="G29" s="638" t="s">
        <v>598</v>
      </c>
      <c r="H29" s="639"/>
      <c r="I29" s="639"/>
      <c r="J29" s="640">
        <f>IF(J26&gt;0,J28-E37,0)</f>
        <v>0</v>
      </c>
    </row>
    <row r="30" spans="2:10" ht="15.75">
      <c r="B30" s="299" t="s">
        <v>910</v>
      </c>
      <c r="C30" s="468"/>
      <c r="D30" s="468"/>
      <c r="E30" s="97">
        <f>Nhood!E9</f>
      </c>
      <c r="G30" s="641"/>
      <c r="H30" s="641"/>
      <c r="I30" s="641"/>
      <c r="J30" s="641"/>
    </row>
    <row r="31" spans="2:10" ht="15.75">
      <c r="B31" s="299" t="s">
        <v>911</v>
      </c>
      <c r="C31" s="468"/>
      <c r="D31" s="468"/>
      <c r="E31" s="93"/>
      <c r="G31" s="752" t="str">
        <f>CONCATENATE("Projected Carryover Into ",E1+1,"")</f>
        <v>Projected Carryover Into 2016</v>
      </c>
      <c r="H31" s="757"/>
      <c r="I31" s="757"/>
      <c r="J31" s="758"/>
    </row>
    <row r="32" spans="2:10" ht="15.75">
      <c r="B32" s="299" t="s">
        <v>912</v>
      </c>
      <c r="C32" s="438">
        <f>IF(C33*0.1&lt;C31,"Exceed 10% Rule","")</f>
      </c>
      <c r="D32" s="438">
        <f>IF(D33*0.1&lt;D31,"Exceed 10% Rule","")</f>
      </c>
      <c r="E32" s="327">
        <f>IF(E33*0.1&lt;E31,"Exceed 10% Rule","")</f>
      </c>
      <c r="G32" s="628"/>
      <c r="H32" s="629"/>
      <c r="I32" s="629"/>
      <c r="J32" s="642"/>
    </row>
    <row r="33" spans="2:10" ht="15.75">
      <c r="B33" s="301" t="s">
        <v>686</v>
      </c>
      <c r="C33" s="442">
        <f>SUM(C23:C31)</f>
        <v>470258</v>
      </c>
      <c r="D33" s="442">
        <f>SUM(D23:D31)</f>
        <v>634554</v>
      </c>
      <c r="E33" s="347">
        <f>SUM(E23:E31)</f>
        <v>507761</v>
      </c>
      <c r="G33" s="643">
        <f>D34</f>
        <v>214661</v>
      </c>
      <c r="H33" s="644" t="str">
        <f>CONCATENATE("",E1-1," Ending Cash Balance (est.)")</f>
        <v>2014 Ending Cash Balance (est.)</v>
      </c>
      <c r="I33" s="645"/>
      <c r="J33" s="642"/>
    </row>
    <row r="34" spans="2:10" ht="15.75">
      <c r="B34" s="152" t="s">
        <v>790</v>
      </c>
      <c r="C34" s="437">
        <f>C21-C33</f>
        <v>590967</v>
      </c>
      <c r="D34" s="437">
        <f>D21-D33</f>
        <v>214661</v>
      </c>
      <c r="E34" s="320" t="s">
        <v>660</v>
      </c>
      <c r="G34" s="643">
        <f>E20</f>
        <v>293100</v>
      </c>
      <c r="H34" s="629" t="str">
        <f>CONCATENATE("",E1," Non-AV Receipts (est.)")</f>
        <v>2015 Non-AV Receipts (est.)</v>
      </c>
      <c r="I34" s="645"/>
      <c r="J34" s="642"/>
    </row>
    <row r="35" spans="2:11" ht="15.75">
      <c r="B35" s="280" t="str">
        <f>CONCATENATE("",$E$1-2,"/",$E$1-1," Budget Authority Amount:")</f>
        <v>2013/2014 Budget Authority Amount:</v>
      </c>
      <c r="C35" s="272">
        <f>inputOth!B32</f>
        <v>593900</v>
      </c>
      <c r="D35" s="272">
        <f>inputPrYr!D19</f>
        <v>641014</v>
      </c>
      <c r="E35" s="320" t="s">
        <v>660</v>
      </c>
      <c r="F35" s="313"/>
      <c r="G35" s="646">
        <f>IF(E39&gt;0,E38,E40)</f>
        <v>0</v>
      </c>
      <c r="H35" s="629" t="str">
        <f>CONCATENATE("",E1," Ad Valorem Tax (est.)")</f>
        <v>2015 Ad Valorem Tax (est.)</v>
      </c>
      <c r="I35" s="645"/>
      <c r="J35" s="642"/>
      <c r="K35" s="680">
        <f>IF(G35=E40,"","Note: Does not include Delinquent Taxes")</f>
      </c>
    </row>
    <row r="36" spans="2:10" ht="15.75">
      <c r="B36" s="280"/>
      <c r="C36" s="745" t="s">
        <v>453</v>
      </c>
      <c r="D36" s="746"/>
      <c r="E36" s="93"/>
      <c r="F36" s="481">
        <f>IF(E33/0.95-E33&lt;E36,"Exceeds 5%","")</f>
      </c>
      <c r="G36" s="643">
        <f>SUM(G33:G35)</f>
        <v>507761</v>
      </c>
      <c r="H36" s="629" t="str">
        <f>CONCATENATE("Total ",E1," Resources Available")</f>
        <v>Total 2015 Resources Available</v>
      </c>
      <c r="I36" s="645"/>
      <c r="J36" s="642"/>
    </row>
    <row r="37" spans="2:10" ht="15.75">
      <c r="B37" s="475" t="str">
        <f>CONCATENATE(C88,"     ",D88)</f>
        <v>     </v>
      </c>
      <c r="C37" s="747" t="s">
        <v>454</v>
      </c>
      <c r="D37" s="748"/>
      <c r="E37" s="258">
        <f>E33+E36</f>
        <v>507761</v>
      </c>
      <c r="G37" s="647"/>
      <c r="H37" s="629"/>
      <c r="I37" s="629"/>
      <c r="J37" s="642"/>
    </row>
    <row r="38" spans="2:10" ht="15.75">
      <c r="B38" s="475" t="str">
        <f>CONCATENATE(C89,"      ",D89)</f>
        <v>      </v>
      </c>
      <c r="C38" s="314"/>
      <c r="D38" s="106" t="s">
        <v>687</v>
      </c>
      <c r="E38" s="97">
        <f>IF(E37-E21&gt;0,E37-E21,0)</f>
        <v>0</v>
      </c>
      <c r="G38" s="646">
        <f>ROUND(C33*0.05+C33,0)</f>
        <v>493771</v>
      </c>
      <c r="H38" s="629" t="str">
        <f>CONCATENATE("Less ",E1-2," Expenditures + 5%")</f>
        <v>Less 2013 Expenditures + 5%</v>
      </c>
      <c r="I38" s="645"/>
      <c r="J38" s="661"/>
    </row>
    <row r="39" spans="2:10" ht="15.75">
      <c r="B39" s="348"/>
      <c r="C39" s="457" t="s">
        <v>455</v>
      </c>
      <c r="D39" s="683">
        <f>inputOth!$E$22</f>
        <v>0.07</v>
      </c>
      <c r="E39" s="258">
        <f>ROUND(IF(D39&gt;0,(E38*D39),0),0)</f>
        <v>0</v>
      </c>
      <c r="G39" s="648">
        <f>G36-G38</f>
        <v>13990</v>
      </c>
      <c r="H39" s="649" t="str">
        <f>CONCATENATE("Projected ",E1+1," carryover (est.)")</f>
        <v>Projected 2016 carryover (est.)</v>
      </c>
      <c r="I39" s="650"/>
      <c r="J39" s="651"/>
    </row>
    <row r="40" spans="2:10" ht="15.75">
      <c r="B40" s="66"/>
      <c r="C40" s="743" t="str">
        <f>CONCATENATE("Amount of  ",$E$1-1," Ad Valorem Tax")</f>
        <v>Amount of  2014 Ad Valorem Tax</v>
      </c>
      <c r="D40" s="744"/>
      <c r="E40" s="332">
        <f>E38+E39</f>
        <v>0</v>
      </c>
      <c r="G40" s="641"/>
      <c r="H40" s="641"/>
      <c r="I40" s="641"/>
      <c r="J40" s="641"/>
    </row>
    <row r="41" spans="2:10" ht="15.75">
      <c r="B41" s="66"/>
      <c r="C41" s="607"/>
      <c r="D41" s="66"/>
      <c r="E41" s="66"/>
      <c r="G41" s="749" t="s">
        <v>599</v>
      </c>
      <c r="H41" s="750"/>
      <c r="I41" s="750"/>
      <c r="J41" s="751"/>
    </row>
    <row r="42" spans="2:10" ht="15.75">
      <c r="B42" s="66"/>
      <c r="C42" s="607"/>
      <c r="D42" s="66"/>
      <c r="E42" s="66"/>
      <c r="G42" s="652"/>
      <c r="H42" s="644"/>
      <c r="I42" s="653"/>
      <c r="J42" s="654"/>
    </row>
    <row r="43" spans="2:10" ht="15.75">
      <c r="B43" s="66"/>
      <c r="C43" s="144"/>
      <c r="D43" s="144"/>
      <c r="E43" s="144"/>
      <c r="G43" s="655" t="str">
        <f>summ!H19</f>
        <v>  </v>
      </c>
      <c r="H43" s="644" t="str">
        <f>CONCATENATE("",E1," Fund Mill Rate")</f>
        <v>2015 Fund Mill Rate</v>
      </c>
      <c r="I43" s="653"/>
      <c r="J43" s="654"/>
    </row>
    <row r="44" spans="2:10" ht="15.75">
      <c r="B44" s="65" t="s">
        <v>672</v>
      </c>
      <c r="C44" s="624" t="str">
        <f aca="true" t="shared" si="0" ref="C44:E45">C4</f>
        <v>Prior Year </v>
      </c>
      <c r="D44" s="625" t="str">
        <f t="shared" si="0"/>
        <v>Current Year </v>
      </c>
      <c r="E44" s="148" t="str">
        <f t="shared" si="0"/>
        <v>Proposed Budget </v>
      </c>
      <c r="G44" s="656" t="str">
        <f>summ!E19</f>
        <v>  </v>
      </c>
      <c r="H44" s="644" t="str">
        <f>CONCATENATE("",E1-1," Fund Mill Rate")</f>
        <v>2014 Fund Mill Rate</v>
      </c>
      <c r="I44" s="653"/>
      <c r="J44" s="654"/>
    </row>
    <row r="45" spans="2:10" ht="15.75">
      <c r="B45" s="460" t="str">
        <f>inputPrYr!$B$20</f>
        <v>Special Bridge</v>
      </c>
      <c r="C45" s="440" t="str">
        <f t="shared" si="0"/>
        <v>Actual for 2013</v>
      </c>
      <c r="D45" s="440" t="str">
        <f t="shared" si="0"/>
        <v>Estimate for 2014</v>
      </c>
      <c r="E45" s="305" t="str">
        <f t="shared" si="0"/>
        <v>Year for 2015</v>
      </c>
      <c r="G45" s="657">
        <f>summ!H52</f>
        <v>42.268</v>
      </c>
      <c r="H45" s="644" t="str">
        <f>CONCATENATE("Total ",E1," Mill Rate")</f>
        <v>Total 2015 Mill Rate</v>
      </c>
      <c r="I45" s="653"/>
      <c r="J45" s="654"/>
    </row>
    <row r="46" spans="2:10" ht="15.75">
      <c r="B46" s="152" t="s">
        <v>789</v>
      </c>
      <c r="C46" s="468">
        <v>957491</v>
      </c>
      <c r="D46" s="439">
        <f>C74</f>
        <v>1272490</v>
      </c>
      <c r="E46" s="258">
        <f>D74</f>
        <v>820585</v>
      </c>
      <c r="G46" s="656">
        <f>summ!E52</f>
        <v>40.64399999999999</v>
      </c>
      <c r="H46" s="658" t="str">
        <f>CONCATENATE("Total ",E1-1," Mill Rate")</f>
        <v>Total 2014 Mill Rate</v>
      </c>
      <c r="I46" s="659"/>
      <c r="J46" s="660"/>
    </row>
    <row r="47" spans="2:10" ht="15.75">
      <c r="B47" s="294" t="s">
        <v>791</v>
      </c>
      <c r="C47" s="166"/>
      <c r="D47" s="166"/>
      <c r="E47" s="109"/>
      <c r="G47" s="641"/>
      <c r="H47" s="641"/>
      <c r="I47" s="641"/>
      <c r="J47" s="641"/>
    </row>
    <row r="48" spans="2:10" ht="15.75">
      <c r="B48" s="152" t="s">
        <v>673</v>
      </c>
      <c r="C48" s="468">
        <v>398779</v>
      </c>
      <c r="D48" s="439">
        <v>450477</v>
      </c>
      <c r="E48" s="320" t="s">
        <v>660</v>
      </c>
      <c r="G48" s="696" t="s">
        <v>53</v>
      </c>
      <c r="H48" s="695"/>
      <c r="I48" s="694" t="str">
        <f>cert!F60</f>
        <v>Yes</v>
      </c>
      <c r="J48" s="641"/>
    </row>
    <row r="49" spans="2:10" ht="15.75">
      <c r="B49" s="152" t="s">
        <v>674</v>
      </c>
      <c r="C49" s="468">
        <v>11099</v>
      </c>
      <c r="D49" s="468">
        <v>10000</v>
      </c>
      <c r="E49" s="93">
        <v>10000</v>
      </c>
      <c r="G49" s="641"/>
      <c r="H49" s="641"/>
      <c r="I49" s="641"/>
      <c r="J49" s="641"/>
    </row>
    <row r="50" spans="2:10" ht="15.75">
      <c r="B50" s="152" t="s">
        <v>675</v>
      </c>
      <c r="C50" s="468">
        <v>33555</v>
      </c>
      <c r="D50" s="468">
        <v>34195</v>
      </c>
      <c r="E50" s="258">
        <f>mvalloc!E14</f>
        <v>53617</v>
      </c>
      <c r="G50" s="641"/>
      <c r="H50" s="641"/>
      <c r="I50" s="641"/>
      <c r="J50" s="641"/>
    </row>
    <row r="51" spans="2:10" ht="15.75">
      <c r="B51" s="152" t="s">
        <v>676</v>
      </c>
      <c r="C51" s="468">
        <v>421</v>
      </c>
      <c r="D51" s="468">
        <v>430</v>
      </c>
      <c r="E51" s="258">
        <f>mvalloc!F14</f>
        <v>571</v>
      </c>
      <c r="G51" s="641"/>
      <c r="H51" s="641"/>
      <c r="I51" s="641"/>
      <c r="J51" s="641"/>
    </row>
    <row r="52" spans="2:10" ht="15.75">
      <c r="B52" s="166" t="s">
        <v>740</v>
      </c>
      <c r="C52" s="468">
        <v>1433</v>
      </c>
      <c r="D52" s="468">
        <v>1068</v>
      </c>
      <c r="E52" s="258">
        <f>mvalloc!G14</f>
        <v>1444</v>
      </c>
      <c r="G52" s="641"/>
      <c r="H52" s="641"/>
      <c r="I52" s="641"/>
      <c r="J52" s="641"/>
    </row>
    <row r="53" spans="2:10" ht="15.75">
      <c r="B53" s="310" t="s">
        <v>170</v>
      </c>
      <c r="C53" s="468">
        <v>188</v>
      </c>
      <c r="D53" s="468">
        <v>150</v>
      </c>
      <c r="E53" s="93">
        <v>150</v>
      </c>
      <c r="G53" s="641"/>
      <c r="H53" s="641"/>
      <c r="I53" s="641"/>
      <c r="J53" s="641"/>
    </row>
    <row r="54" spans="2:10" ht="15.75">
      <c r="B54" s="310" t="s">
        <v>171</v>
      </c>
      <c r="C54" s="468">
        <v>884</v>
      </c>
      <c r="D54" s="468">
        <v>500</v>
      </c>
      <c r="E54" s="93">
        <v>500</v>
      </c>
      <c r="G54" s="641"/>
      <c r="H54" s="641"/>
      <c r="I54" s="641"/>
      <c r="J54" s="641"/>
    </row>
    <row r="55" spans="2:10" ht="15.75">
      <c r="B55" s="310" t="s">
        <v>98</v>
      </c>
      <c r="C55" s="468">
        <v>480849</v>
      </c>
      <c r="D55" s="468">
        <v>0</v>
      </c>
      <c r="E55" s="93">
        <v>0</v>
      </c>
      <c r="G55" s="641"/>
      <c r="H55" s="641"/>
      <c r="I55" s="641"/>
      <c r="J55" s="641"/>
    </row>
    <row r="56" spans="2:10" ht="15.75">
      <c r="B56" s="310"/>
      <c r="C56" s="468"/>
      <c r="D56" s="468"/>
      <c r="E56" s="93"/>
      <c r="G56" s="641"/>
      <c r="H56" s="641"/>
      <c r="I56" s="641"/>
      <c r="J56" s="641"/>
    </row>
    <row r="57" spans="2:10" ht="15.75">
      <c r="B57" s="298" t="s">
        <v>680</v>
      </c>
      <c r="C57" s="468">
        <v>0</v>
      </c>
      <c r="D57" s="468"/>
      <c r="E57" s="93"/>
      <c r="G57" s="641"/>
      <c r="H57" s="641"/>
      <c r="I57" s="641"/>
      <c r="J57" s="641"/>
    </row>
    <row r="58" spans="2:10" ht="15.75">
      <c r="B58" s="299" t="s">
        <v>911</v>
      </c>
      <c r="C58" s="468"/>
      <c r="D58" s="468"/>
      <c r="E58" s="93"/>
      <c r="G58" s="641"/>
      <c r="H58" s="641"/>
      <c r="I58" s="641"/>
      <c r="J58" s="641"/>
    </row>
    <row r="59" spans="2:10" ht="15.75">
      <c r="B59" s="299" t="s">
        <v>913</v>
      </c>
      <c r="C59" s="438">
        <f>IF(C60*0.1&lt;C58,"Exceed 10% Rule","")</f>
      </c>
      <c r="D59" s="438">
        <f>IF(D60*0.1&lt;D58,"Exceed 10% Rule","")</f>
      </c>
      <c r="E59" s="327">
        <f>IF(E60*0.1+E77&lt;E58,"Exceed 10% Rule","")</f>
      </c>
      <c r="G59" s="641"/>
      <c r="H59" s="641"/>
      <c r="I59" s="641"/>
      <c r="J59" s="641"/>
    </row>
    <row r="60" spans="2:10" ht="15.75">
      <c r="B60" s="301" t="s">
        <v>681</v>
      </c>
      <c r="C60" s="442">
        <f>SUM(C48:C58)</f>
        <v>927208</v>
      </c>
      <c r="D60" s="442">
        <f>SUM(D48:D58)</f>
        <v>496820</v>
      </c>
      <c r="E60" s="347">
        <f>SUM(E48:E58)</f>
        <v>66282</v>
      </c>
      <c r="G60" s="641"/>
      <c r="H60" s="641"/>
      <c r="I60" s="641"/>
      <c r="J60" s="641"/>
    </row>
    <row r="61" spans="2:10" ht="15.75">
      <c r="B61" s="301" t="s">
        <v>682</v>
      </c>
      <c r="C61" s="442">
        <f>C46+C60</f>
        <v>1884699</v>
      </c>
      <c r="D61" s="442">
        <f>D46+D60</f>
        <v>1769310</v>
      </c>
      <c r="E61" s="347">
        <f>E46+E60</f>
        <v>886867</v>
      </c>
      <c r="G61" s="641"/>
      <c r="H61" s="641"/>
      <c r="I61" s="641"/>
      <c r="J61" s="641"/>
    </row>
    <row r="62" spans="2:10" ht="15.75">
      <c r="B62" s="152" t="s">
        <v>685</v>
      </c>
      <c r="C62" s="299"/>
      <c r="D62" s="299"/>
      <c r="E62" s="162"/>
      <c r="G62" s="641"/>
      <c r="H62" s="641"/>
      <c r="I62" s="641"/>
      <c r="J62" s="641"/>
    </row>
    <row r="63" spans="2:10" ht="15.75">
      <c r="B63" s="310" t="s">
        <v>166</v>
      </c>
      <c r="C63" s="468">
        <v>135001</v>
      </c>
      <c r="D63" s="468">
        <v>155122</v>
      </c>
      <c r="E63" s="93">
        <v>160551</v>
      </c>
      <c r="G63" s="641"/>
      <c r="H63" s="641"/>
      <c r="I63" s="641"/>
      <c r="J63" s="641"/>
    </row>
    <row r="64" spans="2:10" ht="15.75">
      <c r="B64" s="310" t="s">
        <v>167</v>
      </c>
      <c r="C64" s="468">
        <v>308932</v>
      </c>
      <c r="D64" s="468">
        <v>501400</v>
      </c>
      <c r="E64" s="93">
        <v>469544</v>
      </c>
      <c r="G64" s="752" t="str">
        <f>CONCATENATE("Desired Carryover Into ",E1+1,"")</f>
        <v>Desired Carryover Into 2016</v>
      </c>
      <c r="H64" s="753"/>
      <c r="I64" s="753"/>
      <c r="J64" s="754"/>
    </row>
    <row r="65" spans="2:10" ht="15.75">
      <c r="B65" s="310" t="s">
        <v>168</v>
      </c>
      <c r="C65" s="468">
        <v>168276</v>
      </c>
      <c r="D65" s="468">
        <v>110643</v>
      </c>
      <c r="E65" s="93">
        <v>170912</v>
      </c>
      <c r="G65" s="628"/>
      <c r="H65" s="68"/>
      <c r="I65" s="629"/>
      <c r="J65" s="630"/>
    </row>
    <row r="66" spans="2:10" ht="15.75">
      <c r="B66" s="310" t="s">
        <v>102</v>
      </c>
      <c r="C66" s="468">
        <v>0</v>
      </c>
      <c r="D66" s="468">
        <v>181560</v>
      </c>
      <c r="E66" s="93">
        <v>85860</v>
      </c>
      <c r="G66" s="631" t="s">
        <v>461</v>
      </c>
      <c r="H66" s="629"/>
      <c r="I66" s="629"/>
      <c r="J66" s="632"/>
    </row>
    <row r="67" spans="2:10" ht="15.75">
      <c r="B67" s="310" t="s">
        <v>169</v>
      </c>
      <c r="C67" s="468"/>
      <c r="D67" s="468"/>
      <c r="E67" s="93"/>
      <c r="G67" s="628" t="s">
        <v>462</v>
      </c>
      <c r="H67" s="68"/>
      <c r="I67" s="68"/>
      <c r="J67" s="633">
        <f>IF(J66=0,"",ROUND((J66+E80-G79)/inputOth!E5*1000,3)-G84)</f>
      </c>
    </row>
    <row r="68" spans="2:10" ht="15.75">
      <c r="B68" s="310"/>
      <c r="C68" s="468"/>
      <c r="D68" s="468"/>
      <c r="E68" s="93"/>
      <c r="G68" s="634" t="str">
        <f>CONCATENATE("",E1," Tot Exp/Non-Appr Must Be:")</f>
        <v>2015 Tot Exp/Non-Appr Must Be:</v>
      </c>
      <c r="H68" s="635"/>
      <c r="I68" s="636"/>
      <c r="J68" s="637">
        <f>IF(J66&gt;0,IF(E77&lt;E61,IF(J66=G79,E77,((J66-G79)*(1-D79))+E61),E77+(J66-G79)),0)</f>
        <v>0</v>
      </c>
    </row>
    <row r="69" spans="2:10" ht="15.75">
      <c r="B69" s="310"/>
      <c r="C69" s="468"/>
      <c r="D69" s="468"/>
      <c r="E69" s="93"/>
      <c r="G69" s="638" t="s">
        <v>598</v>
      </c>
      <c r="H69" s="639"/>
      <c r="I69" s="639"/>
      <c r="J69" s="640">
        <f>IF(J66&gt;0,J68-E77,0)</f>
        <v>0</v>
      </c>
    </row>
    <row r="70" spans="2:10" ht="15.75">
      <c r="B70" s="299" t="s">
        <v>910</v>
      </c>
      <c r="C70" s="468"/>
      <c r="D70" s="468"/>
      <c r="E70" s="97">
        <f>Nhood!E10</f>
      </c>
      <c r="G70" s="641"/>
      <c r="H70" s="641"/>
      <c r="I70" s="641"/>
      <c r="J70" s="641"/>
    </row>
    <row r="71" spans="2:10" ht="15.75">
      <c r="B71" s="299" t="s">
        <v>911</v>
      </c>
      <c r="C71" s="468"/>
      <c r="D71" s="468"/>
      <c r="E71" s="93"/>
      <c r="G71" s="752" t="str">
        <f>CONCATENATE("Projected Carryover Into ",E1+1,"")</f>
        <v>Projected Carryover Into 2016</v>
      </c>
      <c r="H71" s="759"/>
      <c r="I71" s="759"/>
      <c r="J71" s="758"/>
    </row>
    <row r="72" spans="2:10" ht="15.75">
      <c r="B72" s="299" t="s">
        <v>912</v>
      </c>
      <c r="C72" s="438">
        <f>IF(C73*0.1&lt;C71,"Exceed 10% Rule","")</f>
      </c>
      <c r="D72" s="438">
        <f>IF(D73*0.1&lt;D71,"Exceed 10% Rule","")</f>
      </c>
      <c r="E72" s="327">
        <f>IF(E73*0.1&lt;E71,"Exceed 10% Rule","")</f>
      </c>
      <c r="G72" s="281"/>
      <c r="H72" s="68"/>
      <c r="I72" s="68"/>
      <c r="J72" s="661"/>
    </row>
    <row r="73" spans="2:10" ht="15.75">
      <c r="B73" s="301" t="s">
        <v>686</v>
      </c>
      <c r="C73" s="442">
        <f>SUM(C63:C71)</f>
        <v>612209</v>
      </c>
      <c r="D73" s="442">
        <f>SUM(D63:D71)</f>
        <v>948725</v>
      </c>
      <c r="E73" s="347">
        <f>SUM(E63:E71)</f>
        <v>886867</v>
      </c>
      <c r="G73" s="643">
        <f>D74</f>
        <v>820585</v>
      </c>
      <c r="H73" s="644" t="str">
        <f>CONCATENATE("",E1-1," Ending Cash Balance (est.)")</f>
        <v>2014 Ending Cash Balance (est.)</v>
      </c>
      <c r="I73" s="645"/>
      <c r="J73" s="661"/>
    </row>
    <row r="74" spans="2:10" ht="15.75">
      <c r="B74" s="152" t="s">
        <v>790</v>
      </c>
      <c r="C74" s="437">
        <f>C61-C73</f>
        <v>1272490</v>
      </c>
      <c r="D74" s="437">
        <f>D61-D73</f>
        <v>820585</v>
      </c>
      <c r="E74" s="320" t="s">
        <v>660</v>
      </c>
      <c r="G74" s="643">
        <f>E60</f>
        <v>66282</v>
      </c>
      <c r="H74" s="629" t="str">
        <f>CONCATENATE("",E1," Non-AV Receipts (est.)")</f>
        <v>2015 Non-AV Receipts (est.)</v>
      </c>
      <c r="I74" s="645"/>
      <c r="J74" s="661"/>
    </row>
    <row r="75" spans="2:11" ht="15.75">
      <c r="B75" s="280" t="str">
        <f>CONCATENATE("",$E$1-2,"/",$E$1-1," Budget Authority Amount:")</f>
        <v>2013/2014 Budget Authority Amount:</v>
      </c>
      <c r="C75" s="272">
        <f>inputOth!B33</f>
        <v>1569624</v>
      </c>
      <c r="D75" s="272">
        <f>inputPrYr!D20</f>
        <v>948725</v>
      </c>
      <c r="E75" s="320" t="s">
        <v>660</v>
      </c>
      <c r="F75" s="313"/>
      <c r="G75" s="646">
        <f>IF(E79&gt;0,E78,E80)</f>
        <v>0</v>
      </c>
      <c r="H75" s="629" t="str">
        <f>CONCATENATE("",E1," Ad Valorem Tax (est.)")</f>
        <v>2015 Ad Valorem Tax (est.)</v>
      </c>
      <c r="I75" s="645"/>
      <c r="J75" s="661"/>
      <c r="K75" s="680">
        <f>IF(G75=E80,"","Note: Does not include Delinquent Taxes")</f>
      </c>
    </row>
    <row r="76" spans="2:10" ht="15.75">
      <c r="B76" s="280"/>
      <c r="C76" s="745" t="s">
        <v>453</v>
      </c>
      <c r="D76" s="746"/>
      <c r="E76" s="93"/>
      <c r="F76" s="481">
        <f>IF(E73/0.95-E73&lt;E76,"Exceeds 5%","")</f>
      </c>
      <c r="G76" s="662">
        <f>SUM(G73:G75)</f>
        <v>886867</v>
      </c>
      <c r="H76" s="629" t="str">
        <f>CONCATENATE("Total ",E1," Resources Available")</f>
        <v>Total 2015 Resources Available</v>
      </c>
      <c r="I76" s="169"/>
      <c r="J76" s="661"/>
    </row>
    <row r="77" spans="2:10" ht="15.75">
      <c r="B77" s="475" t="str">
        <f>CONCATENATE(C90,"      ",D90)</f>
        <v>      </v>
      </c>
      <c r="C77" s="747" t="s">
        <v>454</v>
      </c>
      <c r="D77" s="748"/>
      <c r="E77" s="258">
        <f>E73+E76</f>
        <v>886867</v>
      </c>
      <c r="G77" s="663"/>
      <c r="H77" s="664"/>
      <c r="I77" s="68"/>
      <c r="J77" s="661"/>
    </row>
    <row r="78" spans="2:10" ht="15.75">
      <c r="B78" s="475" t="str">
        <f>CONCATENATE(C91,"      ",D91)</f>
        <v>      </v>
      </c>
      <c r="C78" s="314"/>
      <c r="D78" s="106" t="s">
        <v>687</v>
      </c>
      <c r="E78" s="97">
        <f>IF(E77-E61&gt;0,E77-E61,0)</f>
        <v>0</v>
      </c>
      <c r="G78" s="665">
        <f>ROUND(C73*0.05+C73,0)</f>
        <v>642819</v>
      </c>
      <c r="H78" s="629" t="str">
        <f>CONCATENATE("Less ",E1-2," Expenditures + 5%")</f>
        <v>Less 2013 Expenditures + 5%</v>
      </c>
      <c r="I78" s="169"/>
      <c r="J78" s="661"/>
    </row>
    <row r="79" spans="2:10" ht="15.75">
      <c r="B79" s="106"/>
      <c r="C79" s="457" t="s">
        <v>455</v>
      </c>
      <c r="D79" s="683">
        <f>inputOth!$E$22</f>
        <v>0.07</v>
      </c>
      <c r="E79" s="258">
        <f>ROUND(IF(D79&gt;0,(E78*D79),0),0)</f>
        <v>0</v>
      </c>
      <c r="G79" s="666">
        <f>G76-G78</f>
        <v>244048</v>
      </c>
      <c r="H79" s="649" t="str">
        <f>CONCATENATE("Projected ",E1+1," carryover (est.)")</f>
        <v>Projected 2016 carryover (est.)</v>
      </c>
      <c r="I79" s="667"/>
      <c r="J79" s="668"/>
    </row>
    <row r="80" spans="2:10" ht="15.75">
      <c r="B80" s="66"/>
      <c r="C80" s="743" t="str">
        <f>CONCATENATE("Amount of  ",$E$1-1," Ad Valorem Tax")</f>
        <v>Amount of  2014 Ad Valorem Tax</v>
      </c>
      <c r="D80" s="744"/>
      <c r="E80" s="332">
        <f>E78+E79</f>
        <v>0</v>
      </c>
      <c r="G80" s="641"/>
      <c r="H80" s="641"/>
      <c r="I80" s="641"/>
      <c r="J80" s="641"/>
    </row>
    <row r="81" spans="2:10" ht="15.75">
      <c r="B81" s="315" t="s">
        <v>700</v>
      </c>
      <c r="C81" s="333">
        <v>10</v>
      </c>
      <c r="D81" s="66"/>
      <c r="E81" s="66"/>
      <c r="G81" s="749" t="s">
        <v>599</v>
      </c>
      <c r="H81" s="750"/>
      <c r="I81" s="750"/>
      <c r="J81" s="751"/>
    </row>
    <row r="82" spans="7:10" ht="15.75">
      <c r="G82" s="652"/>
      <c r="H82" s="644"/>
      <c r="I82" s="653"/>
      <c r="J82" s="654"/>
    </row>
    <row r="83" spans="7:10" ht="15.75">
      <c r="G83" s="655" t="str">
        <f>summ!H20</f>
        <v>  </v>
      </c>
      <c r="H83" s="644" t="str">
        <f>CONCATENATE("",E1," Fund Mill Rate")</f>
        <v>2015 Fund Mill Rate</v>
      </c>
      <c r="I83" s="653"/>
      <c r="J83" s="654"/>
    </row>
    <row r="84" spans="7:10" ht="15.75">
      <c r="G84" s="656">
        <f>summ!E20</f>
        <v>1.647</v>
      </c>
      <c r="H84" s="644" t="str">
        <f>CONCATENATE("",E1-1," Fund Mill Rate")</f>
        <v>2014 Fund Mill Rate</v>
      </c>
      <c r="I84" s="653"/>
      <c r="J84" s="654"/>
    </row>
    <row r="85" spans="7:10" ht="15.75">
      <c r="G85" s="657">
        <f>summ!H52</f>
        <v>42.268</v>
      </c>
      <c r="H85" s="644" t="str">
        <f>CONCATENATE("Total ",E1," Mill Rate")</f>
        <v>Total 2015 Mill Rate</v>
      </c>
      <c r="I85" s="653"/>
      <c r="J85" s="654"/>
    </row>
    <row r="86" spans="7:10" ht="15.75">
      <c r="G86" s="656">
        <f>summ!E52</f>
        <v>40.64399999999999</v>
      </c>
      <c r="H86" s="658" t="str">
        <f>CONCATENATE("Total ",E1-1," Mill Rate")</f>
        <v>Total 2014 Mill Rate</v>
      </c>
      <c r="I86" s="659"/>
      <c r="J86" s="660"/>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row r="92" spans="7:9" ht="15.75">
      <c r="G92" s="696" t="s">
        <v>53</v>
      </c>
      <c r="H92" s="695"/>
      <c r="I92" s="694" t="str">
        <f>cert!F60</f>
        <v>Yes</v>
      </c>
    </row>
  </sheetData>
  <sheetProtection sheet="1"/>
  <mergeCells count="12">
    <mergeCell ref="G24:J24"/>
    <mergeCell ref="G31:J31"/>
    <mergeCell ref="G41:J41"/>
    <mergeCell ref="G64:J64"/>
    <mergeCell ref="G71:J71"/>
    <mergeCell ref="C36:D36"/>
    <mergeCell ref="C37:D37"/>
    <mergeCell ref="C76:D76"/>
    <mergeCell ref="C77:D77"/>
    <mergeCell ref="G81:J81"/>
    <mergeCell ref="C80:D80"/>
    <mergeCell ref="C40:D40"/>
  </mergeCells>
  <conditionalFormatting sqref="E76">
    <cfRule type="cellIs" priority="4" dxfId="309" operator="greaterThan" stopIfTrue="1">
      <formula>$E$73/0.95-$E$73</formula>
    </cfRule>
  </conditionalFormatting>
  <conditionalFormatting sqref="E71">
    <cfRule type="cellIs" priority="5" dxfId="309" operator="greaterThan" stopIfTrue="1">
      <formula>$E$73*0.1</formula>
    </cfRule>
  </conditionalFormatting>
  <conditionalFormatting sqref="E36">
    <cfRule type="cellIs" priority="6" dxfId="309" operator="greaterThan" stopIfTrue="1">
      <formula>$E$33/0.95-$E$33</formula>
    </cfRule>
  </conditionalFormatting>
  <conditionalFormatting sqref="E31">
    <cfRule type="cellIs" priority="7" dxfId="309" operator="greaterThan" stopIfTrue="1">
      <formula>$E$33*0.1</formula>
    </cfRule>
  </conditionalFormatting>
  <conditionalFormatting sqref="E18">
    <cfRule type="cellIs" priority="8" dxfId="309" operator="greaterThan" stopIfTrue="1">
      <formula>$E$20*0.1+E40</formula>
    </cfRule>
  </conditionalFormatting>
  <conditionalFormatting sqref="E58">
    <cfRule type="cellIs" priority="9" dxfId="309" operator="greaterThan" stopIfTrue="1">
      <formula>$E$60*0.1+E77</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D58">
    <cfRule type="cellIs" priority="12" dxfId="2" operator="greaterThan" stopIfTrue="1">
      <formula>$D$60*0.1</formula>
    </cfRule>
  </conditionalFormatting>
  <conditionalFormatting sqref="C58">
    <cfRule type="cellIs" priority="13" dxfId="2" operator="greaterThan" stopIfTrue="1">
      <formula>$C$60*0.1</formula>
    </cfRule>
  </conditionalFormatting>
  <conditionalFormatting sqref="C31">
    <cfRule type="cellIs" priority="14" dxfId="2" operator="greaterThan" stopIfTrue="1">
      <formula>$C$33*0.1</formula>
    </cfRule>
  </conditionalFormatting>
  <conditionalFormatting sqref="D31">
    <cfRule type="cellIs" priority="15" dxfId="2" operator="greaterThan" stopIfTrue="1">
      <formula>$D$33*0.1</formula>
    </cfRule>
  </conditionalFormatting>
  <conditionalFormatting sqref="D33">
    <cfRule type="cellIs" priority="16" dxfId="2" operator="greaterThan" stopIfTrue="1">
      <formula>$D$35</formula>
    </cfRule>
  </conditionalFormatting>
  <conditionalFormatting sqref="C74 C34">
    <cfRule type="cellIs" priority="18" dxfId="2" operator="lessThan" stopIfTrue="1">
      <formula>0</formula>
    </cfRule>
  </conditionalFormatting>
  <conditionalFormatting sqref="C18">
    <cfRule type="cellIs" priority="19" dxfId="309" operator="greaterThan" stopIfTrue="1">
      <formula>$C$21*0.1</formula>
    </cfRule>
  </conditionalFormatting>
  <conditionalFormatting sqref="D18">
    <cfRule type="cellIs" priority="20" dxfId="309" operator="greaterThan" stopIfTrue="1">
      <formula>$D$20*0.1</formula>
    </cfRule>
  </conditionalFormatting>
  <conditionalFormatting sqref="C73">
    <cfRule type="cellIs" priority="21" dxfId="2" operator="greaterThan" stopIfTrue="1">
      <formula>$C$75</formula>
    </cfRule>
  </conditionalFormatting>
  <conditionalFormatting sqref="D73">
    <cfRule type="cellIs" priority="22" dxfId="2" operator="greaterThan" stopIfTrue="1">
      <formula>$D$75</formula>
    </cfRule>
  </conditionalFormatting>
  <conditionalFormatting sqref="D34">
    <cfRule type="cellIs" priority="3" dxfId="0" operator="lessThan" stopIfTrue="1">
      <formula>0</formula>
    </cfRule>
  </conditionalFormatting>
  <conditionalFormatting sqref="D74">
    <cfRule type="cellIs" priority="1" dxfId="0" operator="lessThan" stopIfTrue="1">
      <formula>0</formula>
    </cfRule>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1"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B1">
      <selection activeCell="C81" sqref="C81"/>
    </sheetView>
  </sheetViews>
  <sheetFormatPr defaultColWidth="8.796875" defaultRowHeight="15"/>
  <cols>
    <col min="1" max="1" width="2.3984375" style="52" customWidth="1"/>
    <col min="2" max="2" width="31.09765625" style="52" customWidth="1"/>
    <col min="3" max="4" width="15.796875" style="52" customWidth="1"/>
    <col min="5" max="5" width="16.39843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472" t="s">
        <v>748</v>
      </c>
      <c r="C3" s="144"/>
      <c r="D3" s="144"/>
      <c r="E3" s="144"/>
    </row>
    <row r="4" spans="2:5" ht="15.75">
      <c r="B4" s="65" t="s">
        <v>672</v>
      </c>
      <c r="C4" s="624" t="s">
        <v>595</v>
      </c>
      <c r="D4" s="625" t="s">
        <v>596</v>
      </c>
      <c r="E4" s="148" t="s">
        <v>597</v>
      </c>
    </row>
    <row r="5" spans="2:5" ht="15.75">
      <c r="B5" s="460" t="str">
        <f>inputPrYr!$B$21</f>
        <v>Mental Health</v>
      </c>
      <c r="C5" s="440" t="str">
        <f>CONCATENATE("Actual for ",E1-2,"")</f>
        <v>Actual for 2013</v>
      </c>
      <c r="D5" s="440" t="str">
        <f>CONCATENATE("Estimate for ",E1-1,"")</f>
        <v>Estimate for 2014</v>
      </c>
      <c r="E5" s="293" t="str">
        <f>CONCATENATE("Year for ",E1,"")</f>
        <v>Year for 2015</v>
      </c>
    </row>
    <row r="6" spans="2:5" ht="15.75">
      <c r="B6" s="152" t="s">
        <v>789</v>
      </c>
      <c r="C6" s="468">
        <v>211576</v>
      </c>
      <c r="D6" s="439">
        <f>C34</f>
        <v>224695</v>
      </c>
      <c r="E6" s="258">
        <f>D34</f>
        <v>65548</v>
      </c>
    </row>
    <row r="7" spans="2:5" ht="15.75">
      <c r="B7" s="283" t="s">
        <v>791</v>
      </c>
      <c r="C7" s="166"/>
      <c r="D7" s="166"/>
      <c r="E7" s="109"/>
    </row>
    <row r="8" spans="2:5" ht="15.75">
      <c r="B8" s="152" t="s">
        <v>673</v>
      </c>
      <c r="C8" s="468">
        <v>248320</v>
      </c>
      <c r="D8" s="439">
        <v>52515</v>
      </c>
      <c r="E8" s="320" t="s">
        <v>660</v>
      </c>
    </row>
    <row r="9" spans="2:5" ht="15.75">
      <c r="B9" s="152" t="s">
        <v>674</v>
      </c>
      <c r="C9" s="468">
        <v>6321</v>
      </c>
      <c r="D9" s="468">
        <v>4000</v>
      </c>
      <c r="E9" s="93">
        <v>2000</v>
      </c>
    </row>
    <row r="10" spans="2:5" ht="15.75">
      <c r="B10" s="152" t="s">
        <v>675</v>
      </c>
      <c r="C10" s="468">
        <v>21037</v>
      </c>
      <c r="D10" s="468">
        <v>21296</v>
      </c>
      <c r="E10" s="258">
        <f>mvalloc!E15</f>
        <v>6249</v>
      </c>
    </row>
    <row r="11" spans="2:5" ht="15.75">
      <c r="B11" s="152" t="s">
        <v>676</v>
      </c>
      <c r="C11" s="468">
        <v>265</v>
      </c>
      <c r="D11" s="468">
        <v>268</v>
      </c>
      <c r="E11" s="258">
        <f>mvalloc!F15</f>
        <v>67</v>
      </c>
    </row>
    <row r="12" spans="2:5" ht="15.75">
      <c r="B12" s="166" t="s">
        <v>740</v>
      </c>
      <c r="C12" s="468">
        <v>640</v>
      </c>
      <c r="D12" s="468">
        <v>665</v>
      </c>
      <c r="E12" s="258">
        <f>mvalloc!G15</f>
        <v>168</v>
      </c>
    </row>
    <row r="13" spans="2:5" ht="15.75">
      <c r="B13" s="310" t="s">
        <v>170</v>
      </c>
      <c r="C13" s="468">
        <v>119</v>
      </c>
      <c r="D13" s="468">
        <v>100</v>
      </c>
      <c r="E13" s="93">
        <v>100</v>
      </c>
    </row>
    <row r="14" spans="2:5" ht="15.75">
      <c r="B14" s="310" t="s">
        <v>100</v>
      </c>
      <c r="C14" s="468">
        <v>550</v>
      </c>
      <c r="D14" s="468">
        <v>300</v>
      </c>
      <c r="E14" s="93">
        <v>300</v>
      </c>
    </row>
    <row r="15" spans="2:5" ht="15.75">
      <c r="B15" s="310"/>
      <c r="C15" s="468"/>
      <c r="D15" s="468"/>
      <c r="E15" s="93"/>
    </row>
    <row r="16" spans="2:5" ht="15.75">
      <c r="B16" s="310"/>
      <c r="C16" s="468"/>
      <c r="D16" s="468"/>
      <c r="E16" s="93"/>
    </row>
    <row r="17" spans="2:5" ht="15.75">
      <c r="B17" s="298" t="s">
        <v>680</v>
      </c>
      <c r="C17" s="468"/>
      <c r="D17" s="468"/>
      <c r="E17" s="93"/>
    </row>
    <row r="18" spans="2:5" ht="15.75">
      <c r="B18" s="299" t="s">
        <v>911</v>
      </c>
      <c r="C18" s="468"/>
      <c r="D18" s="468"/>
      <c r="E18" s="93"/>
    </row>
    <row r="19" spans="2:5" ht="15.75">
      <c r="B19" s="299" t="s">
        <v>451</v>
      </c>
      <c r="C19" s="438">
        <f>IF(C20*0.1&lt;C18,"Exceed 10% Rule","")</f>
      </c>
      <c r="D19" s="438">
        <f>IF(D20*0.1&lt;D18,"Exceed 10% Rule","")</f>
      </c>
      <c r="E19" s="327">
        <f>IF(E20*0.1+E40&lt;E18,"Exceed 10% Rule","")</f>
      </c>
    </row>
    <row r="20" spans="2:5" ht="15.75">
      <c r="B20" s="301" t="s">
        <v>681</v>
      </c>
      <c r="C20" s="442">
        <f>SUM(C8:C18)</f>
        <v>277252</v>
      </c>
      <c r="D20" s="442">
        <f>SUM(D8:D18)</f>
        <v>79144</v>
      </c>
      <c r="E20" s="347">
        <f>SUM(E8:E18)</f>
        <v>8884</v>
      </c>
    </row>
    <row r="21" spans="2:5" ht="15.75">
      <c r="B21" s="301" t="s">
        <v>682</v>
      </c>
      <c r="C21" s="442">
        <f>C6+C20</f>
        <v>488828</v>
      </c>
      <c r="D21" s="442">
        <f>D6+D20</f>
        <v>303839</v>
      </c>
      <c r="E21" s="347">
        <f>E6+E20</f>
        <v>74432</v>
      </c>
    </row>
    <row r="22" spans="2:5" ht="15.75">
      <c r="B22" s="152" t="s">
        <v>685</v>
      </c>
      <c r="C22" s="299"/>
      <c r="D22" s="299"/>
      <c r="E22" s="162"/>
    </row>
    <row r="23" spans="2:5" ht="15.75">
      <c r="B23" s="310" t="s">
        <v>75</v>
      </c>
      <c r="C23" s="468">
        <v>264133</v>
      </c>
      <c r="D23" s="468">
        <v>131891</v>
      </c>
      <c r="E23" s="93">
        <v>131891</v>
      </c>
    </row>
    <row r="24" spans="2:10" ht="15.75">
      <c r="B24" s="310" t="s">
        <v>102</v>
      </c>
      <c r="C24" s="468">
        <v>0</v>
      </c>
      <c r="D24" s="468">
        <v>106400</v>
      </c>
      <c r="E24" s="93">
        <v>25900</v>
      </c>
      <c r="G24" s="752" t="str">
        <f>CONCATENATE("Desired Carryover Into ",E1+1,"")</f>
        <v>Desired Carryover Into 2016</v>
      </c>
      <c r="H24" s="753"/>
      <c r="I24" s="753"/>
      <c r="J24" s="754"/>
    </row>
    <row r="25" spans="2:10" ht="15.75">
      <c r="B25" s="310"/>
      <c r="C25" s="468"/>
      <c r="D25" s="468"/>
      <c r="E25" s="93"/>
      <c r="G25" s="628"/>
      <c r="H25" s="68"/>
      <c r="I25" s="629"/>
      <c r="J25" s="630"/>
    </row>
    <row r="26" spans="2:10" ht="15.75">
      <c r="B26" s="310"/>
      <c r="C26" s="468"/>
      <c r="D26" s="468"/>
      <c r="E26" s="93"/>
      <c r="G26" s="631" t="s">
        <v>461</v>
      </c>
      <c r="H26" s="629"/>
      <c r="I26" s="629"/>
      <c r="J26" s="632"/>
    </row>
    <row r="27" spans="2:10" ht="15.75">
      <c r="B27" s="310"/>
      <c r="C27" s="468"/>
      <c r="D27" s="468"/>
      <c r="E27" s="93"/>
      <c r="G27" s="628" t="s">
        <v>462</v>
      </c>
      <c r="H27" s="68"/>
      <c r="I27" s="68"/>
      <c r="J27" s="633">
        <f>IF(J26=0,"",ROUND((J26+E40-G39)/inputOth!E5*1000,3)-G44)</f>
      </c>
    </row>
    <row r="28" spans="2:10" ht="15.75">
      <c r="B28" s="310"/>
      <c r="C28" s="468"/>
      <c r="D28" s="468"/>
      <c r="E28" s="93"/>
      <c r="G28" s="634" t="str">
        <f>CONCATENATE("",E1," Tot Exp/Non-Appr Must Be:")</f>
        <v>2015 Tot Exp/Non-Appr Must Be:</v>
      </c>
      <c r="H28" s="635"/>
      <c r="I28" s="636"/>
      <c r="J28" s="637">
        <f>IF(J26&gt;0,IF(E37&lt;E21,IF(J26=G39,E37,((J26-G39)*(1-D39))+E21),E37+(J26-G39)),0)</f>
        <v>0</v>
      </c>
    </row>
    <row r="29" spans="2:10" ht="15.75">
      <c r="B29" s="310"/>
      <c r="C29" s="468"/>
      <c r="D29" s="468"/>
      <c r="E29" s="93"/>
      <c r="G29" s="638" t="s">
        <v>598</v>
      </c>
      <c r="H29" s="639"/>
      <c r="I29" s="639"/>
      <c r="J29" s="640">
        <f>IF(J26&gt;0,J28-E37,0)</f>
        <v>0</v>
      </c>
    </row>
    <row r="30" spans="2:10" ht="15.75">
      <c r="B30" s="299" t="s">
        <v>910</v>
      </c>
      <c r="C30" s="468"/>
      <c r="D30" s="468"/>
      <c r="E30" s="97">
        <f>Nhood!E11</f>
        <v>22</v>
      </c>
      <c r="G30" s="641"/>
      <c r="H30" s="641"/>
      <c r="I30" s="641"/>
      <c r="J30" s="641"/>
    </row>
    <row r="31" spans="2:10" ht="15.75">
      <c r="B31" s="299" t="s">
        <v>911</v>
      </c>
      <c r="C31" s="468"/>
      <c r="D31" s="468"/>
      <c r="E31" s="93"/>
      <c r="G31" s="752" t="str">
        <f>CONCATENATE("Projected Carryover Into ",E1+1,"")</f>
        <v>Projected Carryover Into 2016</v>
      </c>
      <c r="H31" s="757"/>
      <c r="I31" s="757"/>
      <c r="J31" s="758"/>
    </row>
    <row r="32" spans="2:10" ht="15.75">
      <c r="B32" s="299" t="s">
        <v>912</v>
      </c>
      <c r="C32" s="438">
        <f>IF(C33*0.1&lt;C31,"Exceed 10% Rule","")</f>
      </c>
      <c r="D32" s="438">
        <f>IF(D33*0.1&lt;D31,"Exceed 10% Rule","")</f>
      </c>
      <c r="E32" s="327">
        <f>IF(E33*0.1&lt;E31,"Exceed 10% Rule","")</f>
      </c>
      <c r="G32" s="628"/>
      <c r="H32" s="629"/>
      <c r="I32" s="629"/>
      <c r="J32" s="642"/>
    </row>
    <row r="33" spans="2:10" ht="15.75">
      <c r="B33" s="301" t="s">
        <v>686</v>
      </c>
      <c r="C33" s="442">
        <f>SUM(C23:C31)</f>
        <v>264133</v>
      </c>
      <c r="D33" s="442">
        <f>SUM(D23:D31)</f>
        <v>238291</v>
      </c>
      <c r="E33" s="347">
        <f>SUM(E23:E31)</f>
        <v>157813</v>
      </c>
      <c r="G33" s="643">
        <f>D34</f>
        <v>65548</v>
      </c>
      <c r="H33" s="644" t="str">
        <f>CONCATENATE("",E1-1," Ending Cash Balance (est.)")</f>
        <v>2014 Ending Cash Balance (est.)</v>
      </c>
      <c r="I33" s="645"/>
      <c r="J33" s="642"/>
    </row>
    <row r="34" spans="2:10" ht="15.75">
      <c r="B34" s="152" t="s">
        <v>790</v>
      </c>
      <c r="C34" s="437">
        <f>C21-C33</f>
        <v>224695</v>
      </c>
      <c r="D34" s="437">
        <f>D21-D33</f>
        <v>65548</v>
      </c>
      <c r="E34" s="320" t="s">
        <v>660</v>
      </c>
      <c r="G34" s="643">
        <f>E20</f>
        <v>8884</v>
      </c>
      <c r="H34" s="629" t="str">
        <f>CONCATENATE("",E1," Non-AV Receipts (est.)")</f>
        <v>2015 Non-AV Receipts (est.)</v>
      </c>
      <c r="I34" s="645"/>
      <c r="J34" s="642"/>
    </row>
    <row r="35" spans="2:11" ht="15.75">
      <c r="B35" s="280" t="str">
        <f>CONCATENATE("",$E$1-2,"/",$E$1-1," Budget Authority Amount:")</f>
        <v>2013/2014 Budget Authority Amount:</v>
      </c>
      <c r="C35" s="272">
        <f>inputOth!B34</f>
        <v>333782</v>
      </c>
      <c r="D35" s="272">
        <f>inputPrYr!D21</f>
        <v>238291</v>
      </c>
      <c r="E35" s="320" t="s">
        <v>660</v>
      </c>
      <c r="F35" s="313"/>
      <c r="G35" s="646">
        <f>IF(E39&gt;0,E38,E40)</f>
        <v>83381</v>
      </c>
      <c r="H35" s="629" t="str">
        <f>CONCATENATE("",E1," Ad Valorem Tax (est.)")</f>
        <v>2015 Ad Valorem Tax (est.)</v>
      </c>
      <c r="I35" s="645"/>
      <c r="J35" s="642"/>
      <c r="K35" s="680" t="str">
        <f>IF(G35=E40,"","Note: Does not include Delinquent Taxes")</f>
        <v>Note: Does not include Delinquent Taxes</v>
      </c>
    </row>
    <row r="36" spans="2:10" ht="15.75">
      <c r="B36" s="280"/>
      <c r="C36" s="745" t="s">
        <v>453</v>
      </c>
      <c r="D36" s="746"/>
      <c r="E36" s="92"/>
      <c r="F36" s="481">
        <f>IF(E33/0.95-E33&lt;E36,"Exceeds 5%","")</f>
      </c>
      <c r="G36" s="643">
        <f>SUM(G33:G35)</f>
        <v>157813</v>
      </c>
      <c r="H36" s="629" t="str">
        <f>CONCATENATE("Total ",E1," Resources Available")</f>
        <v>Total 2015 Resources Available</v>
      </c>
      <c r="I36" s="645"/>
      <c r="J36" s="642"/>
    </row>
    <row r="37" spans="2:10" ht="15.75">
      <c r="B37" s="475" t="str">
        <f>CONCATENATE(C88,"     ",D88)</f>
        <v>     </v>
      </c>
      <c r="C37" s="747" t="s">
        <v>454</v>
      </c>
      <c r="D37" s="748"/>
      <c r="E37" s="258">
        <f>E33+E36</f>
        <v>157813</v>
      </c>
      <c r="G37" s="647"/>
      <c r="H37" s="629"/>
      <c r="I37" s="629"/>
      <c r="J37" s="642"/>
    </row>
    <row r="38" spans="2:10" ht="15.75">
      <c r="B38" s="475" t="str">
        <f>CONCATENATE(C89,"      ",D89)</f>
        <v>      </v>
      </c>
      <c r="C38" s="314"/>
      <c r="D38" s="106" t="s">
        <v>687</v>
      </c>
      <c r="E38" s="97">
        <f>IF(E37-E21&gt;0,E37-E21,0)</f>
        <v>83381</v>
      </c>
      <c r="G38" s="646">
        <f>ROUND(C33*0.05+C33,0)</f>
        <v>277340</v>
      </c>
      <c r="H38" s="629" t="str">
        <f>CONCATENATE("Less ",E1-2," Expenditures + 5%")</f>
        <v>Less 2013 Expenditures + 5%</v>
      </c>
      <c r="I38" s="645"/>
      <c r="J38" s="661"/>
    </row>
    <row r="39" spans="2:10" ht="15.75">
      <c r="B39" s="106"/>
      <c r="C39" s="457" t="s">
        <v>455</v>
      </c>
      <c r="D39" s="683">
        <f>inputOth!$E$22</f>
        <v>0.07</v>
      </c>
      <c r="E39" s="258">
        <f>ROUND(IF(D39&gt;0,(E38*D39),0),0)</f>
        <v>5837</v>
      </c>
      <c r="G39" s="648">
        <f>G36-G38</f>
        <v>-119527</v>
      </c>
      <c r="H39" s="649" t="str">
        <f>CONCATENATE("Projected ",E1+1," carryover (est.)")</f>
        <v>Projected 2016 carryover (est.)</v>
      </c>
      <c r="I39" s="650"/>
      <c r="J39" s="651"/>
    </row>
    <row r="40" spans="2:10" ht="15.75">
      <c r="B40" s="66"/>
      <c r="C40" s="743" t="str">
        <f>CONCATENATE("Amount of  ",$E$1-1," Ad Valorem Tax")</f>
        <v>Amount of  2014 Ad Valorem Tax</v>
      </c>
      <c r="D40" s="744"/>
      <c r="E40" s="332">
        <f>E38+E39</f>
        <v>89218</v>
      </c>
      <c r="G40" s="641"/>
      <c r="H40" s="641"/>
      <c r="I40" s="641"/>
      <c r="J40" s="641"/>
    </row>
    <row r="41" spans="2:10" ht="15.75">
      <c r="B41" s="66"/>
      <c r="C41" s="607"/>
      <c r="D41" s="66"/>
      <c r="E41" s="66"/>
      <c r="G41" s="749" t="s">
        <v>599</v>
      </c>
      <c r="H41" s="750"/>
      <c r="I41" s="750"/>
      <c r="J41" s="751"/>
    </row>
    <row r="42" spans="2:10" ht="15.75">
      <c r="B42" s="66"/>
      <c r="C42" s="607"/>
      <c r="D42" s="66"/>
      <c r="E42" s="66"/>
      <c r="G42" s="652"/>
      <c r="H42" s="644"/>
      <c r="I42" s="653"/>
      <c r="J42" s="654"/>
    </row>
    <row r="43" spans="2:10" ht="15.75">
      <c r="B43" s="65"/>
      <c r="C43" s="144"/>
      <c r="D43" s="144"/>
      <c r="E43" s="144"/>
      <c r="G43" s="655">
        <f>summ!H21</f>
        <v>0.311</v>
      </c>
      <c r="H43" s="644" t="str">
        <f>CONCATENATE("",E1," Fund Mill Rate")</f>
        <v>2015 Fund Mill Rate</v>
      </c>
      <c r="I43" s="653"/>
      <c r="J43" s="654"/>
    </row>
    <row r="44" spans="2:10" ht="15.75">
      <c r="B44" s="65" t="s">
        <v>672</v>
      </c>
      <c r="C44" s="624" t="str">
        <f aca="true" t="shared" si="0" ref="C44:E45">C4</f>
        <v>Prior Year </v>
      </c>
      <c r="D44" s="625" t="str">
        <f t="shared" si="0"/>
        <v>Current Year </v>
      </c>
      <c r="E44" s="148" t="str">
        <f t="shared" si="0"/>
        <v>Proposed Budget </v>
      </c>
      <c r="G44" s="656">
        <f>summ!E21</f>
        <v>0.192</v>
      </c>
      <c r="H44" s="644" t="str">
        <f>CONCATENATE("",E1-1," Fund Mill Rate")</f>
        <v>2014 Fund Mill Rate</v>
      </c>
      <c r="I44" s="653"/>
      <c r="J44" s="654"/>
    </row>
    <row r="45" spans="2:10" ht="15.75">
      <c r="B45" s="460" t="str">
        <f>inputPrYr!$B$22</f>
        <v>Mental Retardation</v>
      </c>
      <c r="C45" s="440" t="str">
        <f t="shared" si="0"/>
        <v>Actual for 2013</v>
      </c>
      <c r="D45" s="440" t="str">
        <f t="shared" si="0"/>
        <v>Estimate for 2014</v>
      </c>
      <c r="E45" s="305" t="str">
        <f t="shared" si="0"/>
        <v>Year for 2015</v>
      </c>
      <c r="G45" s="657">
        <f>summ!H52</f>
        <v>42.268</v>
      </c>
      <c r="H45" s="644" t="str">
        <f>CONCATENATE("Total ",E1," Mill Rate")</f>
        <v>Total 2015 Mill Rate</v>
      </c>
      <c r="I45" s="653"/>
      <c r="J45" s="654"/>
    </row>
    <row r="46" spans="2:10" ht="15.75">
      <c r="B46" s="152" t="s">
        <v>789</v>
      </c>
      <c r="C46" s="468">
        <v>126319</v>
      </c>
      <c r="D46" s="439">
        <f>C74</f>
        <v>139282</v>
      </c>
      <c r="E46" s="258">
        <f>D74</f>
        <v>35841</v>
      </c>
      <c r="G46" s="656">
        <f>summ!E52</f>
        <v>40.64399999999999</v>
      </c>
      <c r="H46" s="658" t="str">
        <f>CONCATENATE("Total ",E1-1," Mill Rate")</f>
        <v>Total 2014 Mill Rate</v>
      </c>
      <c r="I46" s="659"/>
      <c r="J46" s="660"/>
    </row>
    <row r="47" spans="2:10" ht="15.75">
      <c r="B47" s="294" t="s">
        <v>791</v>
      </c>
      <c r="C47" s="166"/>
      <c r="D47" s="166"/>
      <c r="E47" s="109"/>
      <c r="G47" s="641"/>
      <c r="H47" s="641"/>
      <c r="I47" s="641"/>
      <c r="J47" s="641"/>
    </row>
    <row r="48" spans="2:10" ht="15.75">
      <c r="B48" s="152" t="s">
        <v>673</v>
      </c>
      <c r="C48" s="468">
        <v>146978</v>
      </c>
      <c r="D48" s="439">
        <v>25710</v>
      </c>
      <c r="E48" s="320" t="s">
        <v>660</v>
      </c>
      <c r="G48" s="696" t="s">
        <v>53</v>
      </c>
      <c r="H48" s="695"/>
      <c r="I48" s="694" t="str">
        <f>cert!F60</f>
        <v>Yes</v>
      </c>
      <c r="J48" s="641"/>
    </row>
    <row r="49" spans="2:10" ht="15.75">
      <c r="B49" s="152" t="s">
        <v>674</v>
      </c>
      <c r="C49" s="468">
        <v>3643</v>
      </c>
      <c r="D49" s="468">
        <v>2000</v>
      </c>
      <c r="E49" s="93">
        <v>1000</v>
      </c>
      <c r="G49" s="641"/>
      <c r="H49" s="641"/>
      <c r="I49" s="641"/>
      <c r="J49" s="641"/>
    </row>
    <row r="50" spans="2:10" ht="15.75">
      <c r="B50" s="152" t="s">
        <v>675</v>
      </c>
      <c r="C50" s="468">
        <v>12463</v>
      </c>
      <c r="D50" s="468">
        <v>12610</v>
      </c>
      <c r="E50" s="258">
        <f>mvalloc!E16</f>
        <v>3049</v>
      </c>
      <c r="G50" s="641"/>
      <c r="H50" s="641"/>
      <c r="I50" s="641"/>
      <c r="J50" s="641"/>
    </row>
    <row r="51" spans="2:10" ht="15.75">
      <c r="B51" s="152" t="s">
        <v>676</v>
      </c>
      <c r="C51" s="468">
        <v>157</v>
      </c>
      <c r="D51" s="468">
        <v>158</v>
      </c>
      <c r="E51" s="258">
        <f>mvalloc!F16</f>
        <v>32</v>
      </c>
      <c r="G51" s="641"/>
      <c r="H51" s="641"/>
      <c r="I51" s="641"/>
      <c r="J51" s="641"/>
    </row>
    <row r="52" spans="2:10" ht="15.75">
      <c r="B52" s="166" t="s">
        <v>740</v>
      </c>
      <c r="C52" s="468">
        <v>406</v>
      </c>
      <c r="D52" s="468">
        <v>394</v>
      </c>
      <c r="E52" s="258">
        <f>mvalloc!G16</f>
        <v>82</v>
      </c>
      <c r="G52" s="641"/>
      <c r="H52" s="641"/>
      <c r="I52" s="641"/>
      <c r="J52" s="641"/>
    </row>
    <row r="53" spans="2:10" ht="15.75">
      <c r="B53" s="310" t="s">
        <v>170</v>
      </c>
      <c r="C53" s="468">
        <v>70</v>
      </c>
      <c r="D53" s="468">
        <v>50</v>
      </c>
      <c r="E53" s="93">
        <v>50</v>
      </c>
      <c r="G53" s="641"/>
      <c r="H53" s="641"/>
      <c r="I53" s="641"/>
      <c r="J53" s="641"/>
    </row>
    <row r="54" spans="2:10" ht="15.75">
      <c r="B54" s="310" t="s">
        <v>100</v>
      </c>
      <c r="C54" s="468">
        <v>326</v>
      </c>
      <c r="D54" s="468">
        <v>200</v>
      </c>
      <c r="E54" s="93">
        <v>200</v>
      </c>
      <c r="G54" s="641"/>
      <c r="H54" s="641"/>
      <c r="I54" s="641"/>
      <c r="J54" s="641"/>
    </row>
    <row r="55" spans="2:10" ht="15.75">
      <c r="B55" s="310"/>
      <c r="C55" s="468"/>
      <c r="D55" s="468"/>
      <c r="E55" s="93"/>
      <c r="G55" s="641"/>
      <c r="H55" s="641"/>
      <c r="I55" s="641"/>
      <c r="J55" s="641"/>
    </row>
    <row r="56" spans="2:10" ht="15.75">
      <c r="B56" s="310"/>
      <c r="C56" s="468"/>
      <c r="D56" s="468"/>
      <c r="E56" s="93"/>
      <c r="G56" s="641"/>
      <c r="H56" s="641"/>
      <c r="I56" s="641"/>
      <c r="J56" s="641"/>
    </row>
    <row r="57" spans="2:10" ht="15.75">
      <c r="B57" s="298" t="s">
        <v>680</v>
      </c>
      <c r="C57" s="468"/>
      <c r="D57" s="468"/>
      <c r="E57" s="93"/>
      <c r="G57" s="641"/>
      <c r="H57" s="641"/>
      <c r="I57" s="641"/>
      <c r="J57" s="641"/>
    </row>
    <row r="58" spans="2:10" ht="15.75">
      <c r="B58" s="299" t="s">
        <v>911</v>
      </c>
      <c r="C58" s="468"/>
      <c r="D58" s="468"/>
      <c r="E58" s="93"/>
      <c r="G58" s="641"/>
      <c r="H58" s="641"/>
      <c r="I58" s="641"/>
      <c r="J58" s="641"/>
    </row>
    <row r="59" spans="2:10" ht="15.75">
      <c r="B59" s="299" t="s">
        <v>913</v>
      </c>
      <c r="C59" s="438">
        <f>IF(C60*0.1&lt;C58,"Exceed 10% Rule","")</f>
      </c>
      <c r="D59" s="438">
        <f>IF(D60*0.1&lt;D58,"Exceed 10% Rule","")</f>
      </c>
      <c r="E59" s="327">
        <f>IF(E60*0.1+E80&lt;E58,"Exceed 10% Rule","")</f>
      </c>
      <c r="G59" s="641"/>
      <c r="H59" s="641"/>
      <c r="I59" s="641"/>
      <c r="J59" s="641"/>
    </row>
    <row r="60" spans="2:10" ht="15.75">
      <c r="B60" s="301" t="s">
        <v>681</v>
      </c>
      <c r="C60" s="442">
        <f>SUM(C48:C58)</f>
        <v>164043</v>
      </c>
      <c r="D60" s="442">
        <f>SUM(D48:D58)</f>
        <v>41122</v>
      </c>
      <c r="E60" s="347">
        <f>SUM(E49:E58)</f>
        <v>4413</v>
      </c>
      <c r="G60" s="641"/>
      <c r="H60" s="641"/>
      <c r="I60" s="641"/>
      <c r="J60" s="641"/>
    </row>
    <row r="61" spans="2:10" ht="15.75">
      <c r="B61" s="301" t="s">
        <v>682</v>
      </c>
      <c r="C61" s="442">
        <f>C46+C60</f>
        <v>290362</v>
      </c>
      <c r="D61" s="442">
        <f>D46+D60</f>
        <v>180404</v>
      </c>
      <c r="E61" s="347">
        <f>E46+E60</f>
        <v>40254</v>
      </c>
      <c r="G61" s="641"/>
      <c r="H61" s="641"/>
      <c r="I61" s="641"/>
      <c r="J61" s="641"/>
    </row>
    <row r="62" spans="2:10" ht="15.75">
      <c r="B62" s="152" t="s">
        <v>685</v>
      </c>
      <c r="C62" s="299"/>
      <c r="D62" s="299"/>
      <c r="E62" s="162"/>
      <c r="G62" s="641"/>
      <c r="H62" s="641"/>
      <c r="I62" s="641"/>
      <c r="J62" s="641"/>
    </row>
    <row r="63" spans="2:10" ht="15.75">
      <c r="B63" s="310" t="s">
        <v>75</v>
      </c>
      <c r="C63" s="468">
        <v>151080</v>
      </c>
      <c r="D63" s="468">
        <v>75123</v>
      </c>
      <c r="E63" s="93">
        <v>75123</v>
      </c>
      <c r="G63" s="641"/>
      <c r="H63" s="641"/>
      <c r="I63" s="641"/>
      <c r="J63" s="641"/>
    </row>
    <row r="64" spans="2:10" ht="15.75">
      <c r="B64" s="310" t="s">
        <v>102</v>
      </c>
      <c r="C64" s="468">
        <v>0</v>
      </c>
      <c r="D64" s="468">
        <v>69440</v>
      </c>
      <c r="E64" s="93">
        <v>12640</v>
      </c>
      <c r="G64" s="752" t="str">
        <f>CONCATENATE("Desired Carryover Into ",E1+1,"")</f>
        <v>Desired Carryover Into 2016</v>
      </c>
      <c r="H64" s="753"/>
      <c r="I64" s="753"/>
      <c r="J64" s="754"/>
    </row>
    <row r="65" spans="2:10" ht="15.75">
      <c r="B65" s="310"/>
      <c r="C65" s="468"/>
      <c r="D65" s="468"/>
      <c r="E65" s="93"/>
      <c r="G65" s="628"/>
      <c r="H65" s="68"/>
      <c r="I65" s="629"/>
      <c r="J65" s="630"/>
    </row>
    <row r="66" spans="2:10" ht="15.75">
      <c r="B66" s="310"/>
      <c r="C66" s="468"/>
      <c r="D66" s="468"/>
      <c r="E66" s="93"/>
      <c r="G66" s="631" t="s">
        <v>461</v>
      </c>
      <c r="H66" s="629"/>
      <c r="I66" s="629"/>
      <c r="J66" s="632"/>
    </row>
    <row r="67" spans="2:10" ht="15.75">
      <c r="B67" s="310"/>
      <c r="C67" s="468"/>
      <c r="D67" s="468"/>
      <c r="E67" s="93"/>
      <c r="G67" s="628" t="s">
        <v>462</v>
      </c>
      <c r="H67" s="68"/>
      <c r="I67" s="68"/>
      <c r="J67" s="633">
        <f>IF(J66=0,"",ROUND((J66+E80-G79)/inputOth!E5*1000,3)-G84)</f>
      </c>
    </row>
    <row r="68" spans="2:10" ht="15.75">
      <c r="B68" s="310"/>
      <c r="C68" s="468"/>
      <c r="D68" s="468"/>
      <c r="E68" s="93"/>
      <c r="G68" s="634" t="str">
        <f>CONCATENATE("",E1," Tot Exp/Non-Appr Must Be:")</f>
        <v>2015 Tot Exp/Non-Appr Must Be:</v>
      </c>
      <c r="H68" s="635"/>
      <c r="I68" s="636"/>
      <c r="J68" s="637">
        <f>IF(J66&gt;0,IF(E77&lt;E61,IF(J66=G79,E77,((J66-G79)*(1-D79))+E61),E77+(J66-G79)),0)</f>
        <v>0</v>
      </c>
    </row>
    <row r="69" spans="2:10" ht="15.75">
      <c r="B69" s="310"/>
      <c r="C69" s="468"/>
      <c r="D69" s="468"/>
      <c r="E69" s="93"/>
      <c r="G69" s="638" t="s">
        <v>598</v>
      </c>
      <c r="H69" s="639"/>
      <c r="I69" s="639"/>
      <c r="J69" s="640">
        <f>IF(J66&gt;0,J68-E77,0)</f>
        <v>0</v>
      </c>
    </row>
    <row r="70" spans="2:10" ht="15.75">
      <c r="B70" s="299" t="s">
        <v>910</v>
      </c>
      <c r="C70" s="468"/>
      <c r="D70" s="468"/>
      <c r="E70" s="97">
        <f>Nhood!E12</f>
        <v>13</v>
      </c>
      <c r="G70" s="641"/>
      <c r="H70" s="641"/>
      <c r="I70" s="641"/>
      <c r="J70" s="641"/>
    </row>
    <row r="71" spans="2:10" ht="15.75">
      <c r="B71" s="299" t="s">
        <v>911</v>
      </c>
      <c r="C71" s="468"/>
      <c r="D71" s="468"/>
      <c r="E71" s="93"/>
      <c r="G71" s="752" t="str">
        <f>CONCATENATE("Projected Carryover Into ",E1+1,"")</f>
        <v>Projected Carryover Into 2016</v>
      </c>
      <c r="H71" s="759"/>
      <c r="I71" s="759"/>
      <c r="J71" s="758"/>
    </row>
    <row r="72" spans="2:10" ht="15.75">
      <c r="B72" s="299" t="s">
        <v>912</v>
      </c>
      <c r="C72" s="438">
        <f>IF(C73*0.1&lt;C71,"Exceed 10% Rule","")</f>
      </c>
      <c r="D72" s="438">
        <f>IF(D73*0.1&lt;D71,"Exceed 10% Rule","")</f>
      </c>
      <c r="E72" s="327">
        <f>IF(E73*0.1&lt;E71,"Exceed 10% Rule","")</f>
      </c>
      <c r="G72" s="281"/>
      <c r="H72" s="68"/>
      <c r="I72" s="68"/>
      <c r="J72" s="661"/>
    </row>
    <row r="73" spans="2:10" ht="15.75">
      <c r="B73" s="301" t="s">
        <v>686</v>
      </c>
      <c r="C73" s="442">
        <f>SUM(C63:C71)</f>
        <v>151080</v>
      </c>
      <c r="D73" s="442">
        <f>SUM(D63:D71)</f>
        <v>144563</v>
      </c>
      <c r="E73" s="347">
        <f>SUM(E63:E71)</f>
        <v>87776</v>
      </c>
      <c r="G73" s="643">
        <f>D74</f>
        <v>35841</v>
      </c>
      <c r="H73" s="644" t="str">
        <f>CONCATENATE("",E1-1," Ending Cash Balance (est.)")</f>
        <v>2014 Ending Cash Balance (est.)</v>
      </c>
      <c r="I73" s="645"/>
      <c r="J73" s="661"/>
    </row>
    <row r="74" spans="2:10" ht="15.75">
      <c r="B74" s="152" t="s">
        <v>790</v>
      </c>
      <c r="C74" s="437">
        <f>C61-C73</f>
        <v>139282</v>
      </c>
      <c r="D74" s="437">
        <f>D61-D73</f>
        <v>35841</v>
      </c>
      <c r="E74" s="320" t="s">
        <v>660</v>
      </c>
      <c r="G74" s="643">
        <f>E60</f>
        <v>4413</v>
      </c>
      <c r="H74" s="629" t="str">
        <f>CONCATENATE("",E1," Non-AV Receipts (est.)")</f>
        <v>2015 Non-AV Receipts (est.)</v>
      </c>
      <c r="I74" s="645"/>
      <c r="J74" s="661"/>
    </row>
    <row r="75" spans="2:11" ht="15.75">
      <c r="B75" s="280" t="str">
        <f>CONCATENATE("",$E$1-2,"/",$E$1-1," Budget Authority Amount:")</f>
        <v>2013/2014 Budget Authority Amount:</v>
      </c>
      <c r="C75" s="272">
        <f>inputOth!B35</f>
        <v>190245</v>
      </c>
      <c r="D75" s="272">
        <f>inputPrYr!D22</f>
        <v>144563</v>
      </c>
      <c r="E75" s="320" t="s">
        <v>660</v>
      </c>
      <c r="F75" s="313"/>
      <c r="G75" s="646">
        <f>IF(E79&gt;0,E78,E80)</f>
        <v>47522</v>
      </c>
      <c r="H75" s="629" t="str">
        <f>CONCATENATE("",E1," Ad Valorem Tax (est.)")</f>
        <v>2015 Ad Valorem Tax (est.)</v>
      </c>
      <c r="I75" s="645"/>
      <c r="J75" s="661"/>
      <c r="K75" s="680" t="str">
        <f>IF(G75=E80,"","Note: Does not include Delinquent Taxes")</f>
        <v>Note: Does not include Delinquent Taxes</v>
      </c>
    </row>
    <row r="76" spans="2:10" ht="15.75">
      <c r="B76" s="280"/>
      <c r="C76" s="745" t="s">
        <v>453</v>
      </c>
      <c r="D76" s="746"/>
      <c r="E76" s="93"/>
      <c r="F76" s="481">
        <f>IF(E73/0.95-E73&lt;E76,"Exceeds 5%","")</f>
      </c>
      <c r="G76" s="662">
        <f>SUM(G73:G75)</f>
        <v>87776</v>
      </c>
      <c r="H76" s="629" t="str">
        <f>CONCATENATE("Total ",E1," Resources Available")</f>
        <v>Total 2015 Resources Available</v>
      </c>
      <c r="I76" s="169"/>
      <c r="J76" s="661"/>
    </row>
    <row r="77" spans="2:10" ht="15.75">
      <c r="B77" s="475" t="str">
        <f>CONCATENATE(C90,"      ",D90)</f>
        <v>      </v>
      </c>
      <c r="C77" s="747" t="s">
        <v>454</v>
      </c>
      <c r="D77" s="748"/>
      <c r="E77" s="258">
        <f>E73+E76</f>
        <v>87776</v>
      </c>
      <c r="G77" s="663"/>
      <c r="H77" s="664"/>
      <c r="I77" s="68"/>
      <c r="J77" s="661"/>
    </row>
    <row r="78" spans="2:10" ht="15.75">
      <c r="B78" s="475" t="str">
        <f>CONCATENATE(C91,"      ",D91)</f>
        <v>      </v>
      </c>
      <c r="C78" s="314"/>
      <c r="D78" s="106" t="s">
        <v>687</v>
      </c>
      <c r="E78" s="97">
        <f>IF(E77-E61&gt;0,E77-E61,0)</f>
        <v>47522</v>
      </c>
      <c r="G78" s="665">
        <f>ROUND(C73*0.05+C73,0)</f>
        <v>158634</v>
      </c>
      <c r="H78" s="629" t="str">
        <f>CONCATENATE("Less ",E1-2," Expenditures + 5%")</f>
        <v>Less 2013 Expenditures + 5%</v>
      </c>
      <c r="I78" s="169"/>
      <c r="J78" s="661"/>
    </row>
    <row r="79" spans="2:10" ht="15.75">
      <c r="B79" s="106"/>
      <c r="C79" s="457" t="s">
        <v>455</v>
      </c>
      <c r="D79" s="683">
        <f>inputOth!$E$22</f>
        <v>0.07</v>
      </c>
      <c r="E79" s="258">
        <f>ROUND(IF(D79&gt;0,(E78*D79),0),0)</f>
        <v>3327</v>
      </c>
      <c r="G79" s="666">
        <f>G76-G78</f>
        <v>-70858</v>
      </c>
      <c r="H79" s="649" t="str">
        <f>CONCATENATE("Projected ",E1+1," carryover (est.)")</f>
        <v>Projected 2016 carryover (est.)</v>
      </c>
      <c r="I79" s="667"/>
      <c r="J79" s="668"/>
    </row>
    <row r="80" spans="2:10" ht="15.75">
      <c r="B80" s="66"/>
      <c r="C80" s="743" t="str">
        <f>CONCATENATE("Amount of  ",$E$1-1," Ad Valorem Tax")</f>
        <v>Amount of  2014 Ad Valorem Tax</v>
      </c>
      <c r="D80" s="744"/>
      <c r="E80" s="332">
        <f>E78+E79</f>
        <v>50849</v>
      </c>
      <c r="G80" s="641"/>
      <c r="H80" s="641"/>
      <c r="I80" s="641"/>
      <c r="J80" s="641"/>
    </row>
    <row r="81" spans="2:10" ht="15.75">
      <c r="B81" s="315" t="s">
        <v>700</v>
      </c>
      <c r="C81" s="333">
        <v>11</v>
      </c>
      <c r="D81" s="66"/>
      <c r="E81" s="66"/>
      <c r="G81" s="749" t="s">
        <v>599</v>
      </c>
      <c r="H81" s="750"/>
      <c r="I81" s="750"/>
      <c r="J81" s="751"/>
    </row>
    <row r="82" spans="7:10" ht="15.75">
      <c r="G82" s="652"/>
      <c r="H82" s="644"/>
      <c r="I82" s="653"/>
      <c r="J82" s="654"/>
    </row>
    <row r="83" spans="7:10" ht="15.75">
      <c r="G83" s="655">
        <f>summ!H22</f>
        <v>0.177</v>
      </c>
      <c r="H83" s="644" t="str">
        <f>CONCATENATE("",E1," Fund Mill Rate")</f>
        <v>2015 Fund Mill Rate</v>
      </c>
      <c r="I83" s="653"/>
      <c r="J83" s="654"/>
    </row>
    <row r="84" spans="7:10" ht="15.75">
      <c r="G84" s="656">
        <f>summ!E22</f>
        <v>0.094</v>
      </c>
      <c r="H84" s="644" t="str">
        <f>CONCATENATE("",E1-1," Fund Mill Rate")</f>
        <v>2014 Fund Mill Rate</v>
      </c>
      <c r="I84" s="653"/>
      <c r="J84" s="654"/>
    </row>
    <row r="85" spans="7:10" ht="15.75">
      <c r="G85" s="657">
        <f>summ!H52</f>
        <v>42.268</v>
      </c>
      <c r="H85" s="644" t="str">
        <f>CONCATENATE("Total ",E1," Mill Rate")</f>
        <v>Total 2015 Mill Rate</v>
      </c>
      <c r="I85" s="653"/>
      <c r="J85" s="654"/>
    </row>
    <row r="86" spans="7:10" ht="15.75">
      <c r="G86" s="656">
        <f>summ!E52</f>
        <v>40.64399999999999</v>
      </c>
      <c r="H86" s="658" t="str">
        <f>CONCATENATE("Total ",E1-1," Mill Rate")</f>
        <v>Total 2014 Mill Rate</v>
      </c>
      <c r="I86" s="659"/>
      <c r="J86" s="660"/>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row r="92" spans="7:9" ht="15.75">
      <c r="G92" s="696" t="s">
        <v>53</v>
      </c>
      <c r="H92" s="695"/>
      <c r="I92" s="694" t="str">
        <f>cert!F60</f>
        <v>Yes</v>
      </c>
    </row>
    <row r="94" spans="3:4" ht="15.75">
      <c r="C94" s="52">
        <f>IF(C77&lt;0,"See Tab B","")</f>
      </c>
      <c r="D94" s="52">
        <f>IF(D77&lt;0,"See Tab D","")</f>
      </c>
    </row>
  </sheetData>
  <sheetProtection sheet="1"/>
  <mergeCells count="12">
    <mergeCell ref="G24:J24"/>
    <mergeCell ref="G31:J31"/>
    <mergeCell ref="G41:J41"/>
    <mergeCell ref="G64:J64"/>
    <mergeCell ref="G71:J71"/>
    <mergeCell ref="C36:D36"/>
    <mergeCell ref="C37:D37"/>
    <mergeCell ref="C76:D76"/>
    <mergeCell ref="C77:D77"/>
    <mergeCell ref="G81:J81"/>
    <mergeCell ref="C80:D80"/>
    <mergeCell ref="C40:D40"/>
  </mergeCells>
  <conditionalFormatting sqref="E36">
    <cfRule type="cellIs" priority="3" dxfId="309" operator="greaterThan" stopIfTrue="1">
      <formula>$E$33/0.95-$E$33</formula>
    </cfRule>
  </conditionalFormatting>
  <conditionalFormatting sqref="E71">
    <cfRule type="cellIs" priority="4" dxfId="309" operator="greaterThan" stopIfTrue="1">
      <formula>$E$73*0.1</formula>
    </cfRule>
  </conditionalFormatting>
  <conditionalFormatting sqref="C18">
    <cfRule type="cellIs" priority="5" dxfId="309" operator="greaterThan" stopIfTrue="1">
      <formula>$C$20*0.1</formula>
    </cfRule>
  </conditionalFormatting>
  <conditionalFormatting sqref="D18">
    <cfRule type="cellIs" priority="6" dxfId="309" operator="greaterThan" stopIfTrue="1">
      <formula>$D$20*0.1</formula>
    </cfRule>
  </conditionalFormatting>
  <conditionalFormatting sqref="E31">
    <cfRule type="cellIs" priority="7" dxfId="309" operator="greaterThan" stopIfTrue="1">
      <formula>$E$33*0.1</formula>
    </cfRule>
  </conditionalFormatting>
  <conditionalFormatting sqref="E76">
    <cfRule type="cellIs" priority="8" dxfId="309" operator="greaterThan" stopIfTrue="1">
      <formula>$E$73/0.95-$E$73</formula>
    </cfRule>
  </conditionalFormatting>
  <conditionalFormatting sqref="E18">
    <cfRule type="cellIs" priority="9" dxfId="309" operator="greaterThan" stopIfTrue="1">
      <formula>$E$20*0.1+E40</formula>
    </cfRule>
  </conditionalFormatting>
  <conditionalFormatting sqref="E58">
    <cfRule type="cellIs" priority="10" dxfId="309"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D33">
    <cfRule type="cellIs" priority="17" dxfId="2" operator="greaterThan" stopIfTrue="1">
      <formula>$D$35</formula>
    </cfRule>
  </conditionalFormatting>
  <conditionalFormatting sqref="C74 C3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74 D3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48"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03"/>
  <sheetViews>
    <sheetView zoomScalePageLayoutView="0" workbookViewId="0" topLeftCell="A11">
      <selection activeCell="B61" sqref="B61"/>
    </sheetView>
  </sheetViews>
  <sheetFormatPr defaultColWidth="8.796875" defaultRowHeight="15"/>
  <cols>
    <col min="1" max="1" width="15.796875" style="52" customWidth="1"/>
    <col min="2" max="2" width="20.796875" style="52" customWidth="1"/>
    <col min="3" max="3" width="8.796875" style="52" customWidth="1"/>
    <col min="4" max="5" width="13.296875" style="52" customWidth="1"/>
    <col min="6" max="6" width="10.796875" style="52" customWidth="1"/>
    <col min="7" max="7" width="1.796875" style="52" customWidth="1"/>
    <col min="8" max="8" width="18.69921875" style="52" customWidth="1"/>
    <col min="9" max="16384" width="8.8984375" style="52" customWidth="1"/>
  </cols>
  <sheetData>
    <row r="1" spans="1:6" ht="15.75">
      <c r="A1" s="705" t="s">
        <v>641</v>
      </c>
      <c r="B1" s="706"/>
      <c r="C1" s="706"/>
      <c r="D1" s="706"/>
      <c r="E1" s="706"/>
      <c r="F1" s="706"/>
    </row>
    <row r="2" spans="1:6" ht="15.75">
      <c r="A2" s="63"/>
      <c r="B2" s="64"/>
      <c r="C2" s="64"/>
      <c r="D2" s="64"/>
      <c r="E2" s="64"/>
      <c r="F2" s="64"/>
    </row>
    <row r="3" spans="1:6" ht="15.75">
      <c r="A3" s="65" t="s">
        <v>827</v>
      </c>
      <c r="B3" s="66"/>
      <c r="C3" s="182" t="s">
        <v>59</v>
      </c>
      <c r="D3" s="182"/>
      <c r="E3" s="67"/>
      <c r="F3" s="68"/>
    </row>
    <row r="4" spans="1:6" ht="15.75">
      <c r="A4" s="65"/>
      <c r="B4" s="66"/>
      <c r="C4" s="66"/>
      <c r="D4" s="66"/>
      <c r="E4" s="69"/>
      <c r="F4" s="68"/>
    </row>
    <row r="5" spans="1:6" ht="15.75">
      <c r="A5" s="65" t="s">
        <v>830</v>
      </c>
      <c r="B5" s="66"/>
      <c r="C5" s="70">
        <v>2015</v>
      </c>
      <c r="D5" s="71"/>
      <c r="E5" s="72"/>
      <c r="F5" s="68"/>
    </row>
    <row r="6" spans="1:6" ht="15.75">
      <c r="A6" s="66"/>
      <c r="B6" s="66"/>
      <c r="C6" s="66"/>
      <c r="D6" s="66"/>
      <c r="E6" s="66"/>
      <c r="F6" s="66"/>
    </row>
    <row r="7" spans="1:9" ht="15.75">
      <c r="A7" s="73" t="s">
        <v>427</v>
      </c>
      <c r="B7" s="74"/>
      <c r="C7" s="74"/>
      <c r="D7" s="74"/>
      <c r="E7" s="74"/>
      <c r="F7" s="74"/>
      <c r="G7" s="66"/>
      <c r="H7" s="698" t="s">
        <v>11</v>
      </c>
      <c r="I7" s="699"/>
    </row>
    <row r="8" spans="1:9" ht="15.75">
      <c r="A8" s="73" t="s">
        <v>428</v>
      </c>
      <c r="B8" s="74"/>
      <c r="C8" s="74"/>
      <c r="D8" s="74"/>
      <c r="E8" s="74"/>
      <c r="F8" s="74"/>
      <c r="G8" s="66"/>
      <c r="H8" s="700"/>
      <c r="I8" s="699"/>
    </row>
    <row r="9" spans="1:9" ht="15.75">
      <c r="A9" s="707" t="s">
        <v>966</v>
      </c>
      <c r="B9" s="708"/>
      <c r="C9" s="708"/>
      <c r="D9" s="708"/>
      <c r="E9" s="708"/>
      <c r="F9" s="708"/>
      <c r="G9" s="66"/>
      <c r="H9" s="700"/>
      <c r="I9" s="699"/>
    </row>
    <row r="10" spans="1:9" ht="15.75">
      <c r="A10" s="75"/>
      <c r="B10" s="76"/>
      <c r="C10" s="76"/>
      <c r="D10" s="76"/>
      <c r="E10" s="76"/>
      <c r="F10" s="76"/>
      <c r="G10" s="66"/>
      <c r="H10" s="700"/>
      <c r="I10" s="699"/>
    </row>
    <row r="11" spans="1:9" ht="15.75">
      <c r="A11" s="77" t="str">
        <f>CONCATENATE("The input for the following comes directly from the ",C5-1," Budget:")</f>
        <v>The input for the following comes directly from the 2014 Budget:</v>
      </c>
      <c r="B11" s="78"/>
      <c r="C11" s="78"/>
      <c r="D11" s="78"/>
      <c r="E11" s="66"/>
      <c r="F11" s="66"/>
      <c r="G11" s="66"/>
      <c r="H11" s="700"/>
      <c r="I11" s="699"/>
    </row>
    <row r="12" spans="1:9" ht="15.75">
      <c r="A12" s="79" t="s">
        <v>831</v>
      </c>
      <c r="B12" s="78"/>
      <c r="C12" s="78"/>
      <c r="D12" s="78"/>
      <c r="E12" s="66"/>
      <c r="F12" s="66"/>
      <c r="G12" s="66"/>
      <c r="H12" s="700"/>
      <c r="I12" s="699"/>
    </row>
    <row r="13" spans="1:9" ht="15.75">
      <c r="A13" s="79" t="s">
        <v>977</v>
      </c>
      <c r="B13" s="78"/>
      <c r="C13" s="78"/>
      <c r="D13" s="78"/>
      <c r="E13" s="66"/>
      <c r="F13" s="66"/>
      <c r="G13" s="66"/>
      <c r="H13" s="68"/>
      <c r="I13" s="116"/>
    </row>
    <row r="14" spans="1:9" ht="15.75">
      <c r="A14" s="66"/>
      <c r="B14" s="66"/>
      <c r="C14" s="80"/>
      <c r="D14" s="81">
        <f>C5-1</f>
        <v>2014</v>
      </c>
      <c r="E14" s="82">
        <f>C5-2</f>
        <v>2013</v>
      </c>
      <c r="F14" s="82">
        <f>C5-2</f>
        <v>2013</v>
      </c>
      <c r="H14" s="250" t="s">
        <v>12</v>
      </c>
      <c r="I14" s="245" t="s">
        <v>688</v>
      </c>
    </row>
    <row r="15" spans="1:9" ht="15.75">
      <c r="A15" s="65" t="s">
        <v>853</v>
      </c>
      <c r="B15" s="66"/>
      <c r="C15" s="83" t="s">
        <v>642</v>
      </c>
      <c r="D15" s="84" t="s">
        <v>976</v>
      </c>
      <c r="E15" s="84" t="s">
        <v>915</v>
      </c>
      <c r="F15" s="84" t="s">
        <v>909</v>
      </c>
      <c r="H15" s="256" t="str">
        <f>CONCATENATE("",E14," Ad Valorem Tax")</f>
        <v>2013 Ad Valorem Tax</v>
      </c>
      <c r="I15" s="686">
        <v>0</v>
      </c>
    </row>
    <row r="16" spans="1:8" ht="15.75">
      <c r="A16" s="66"/>
      <c r="B16" s="85" t="s">
        <v>643</v>
      </c>
      <c r="C16" s="86" t="s">
        <v>793</v>
      </c>
      <c r="D16" s="87">
        <v>10258853</v>
      </c>
      <c r="E16" s="88">
        <v>5276498</v>
      </c>
      <c r="F16" s="89">
        <v>18.176</v>
      </c>
      <c r="H16" s="258">
        <f>IF($I$15&gt;0,ROUND(E16-(E16*$I$15),0),0)</f>
        <v>0</v>
      </c>
    </row>
    <row r="17" spans="1:8" ht="15.75">
      <c r="A17" s="66"/>
      <c r="B17" s="85" t="s">
        <v>694</v>
      </c>
      <c r="C17" s="86" t="s">
        <v>832</v>
      </c>
      <c r="D17" s="87">
        <v>0</v>
      </c>
      <c r="E17" s="88">
        <v>0</v>
      </c>
      <c r="F17" s="89">
        <v>0</v>
      </c>
      <c r="H17" s="258">
        <f aca="true" t="shared" si="0" ref="H17:H40">IF($I$15&gt;0,ROUND(E17-(E17*$I$15),0),0)</f>
        <v>0</v>
      </c>
    </row>
    <row r="18" spans="1:8" ht="15.75">
      <c r="A18" s="66"/>
      <c r="B18" s="85" t="s">
        <v>698</v>
      </c>
      <c r="C18" s="86" t="s">
        <v>793</v>
      </c>
      <c r="D18" s="87">
        <v>6569378</v>
      </c>
      <c r="E18" s="88">
        <v>2666459</v>
      </c>
      <c r="F18" s="89">
        <v>9.185</v>
      </c>
      <c r="H18" s="258">
        <f t="shared" si="0"/>
        <v>0</v>
      </c>
    </row>
    <row r="19" spans="1:8" ht="15.75">
      <c r="A19" s="65"/>
      <c r="B19" s="90" t="s">
        <v>105</v>
      </c>
      <c r="C19" s="456" t="s">
        <v>106</v>
      </c>
      <c r="D19" s="87">
        <v>641014</v>
      </c>
      <c r="E19" s="87">
        <v>0</v>
      </c>
      <c r="F19" s="91">
        <v>0</v>
      </c>
      <c r="H19" s="258">
        <f t="shared" si="0"/>
        <v>0</v>
      </c>
    </row>
    <row r="20" spans="1:8" ht="15.75">
      <c r="A20" s="66"/>
      <c r="B20" s="92" t="s">
        <v>107</v>
      </c>
      <c r="C20" s="456" t="s">
        <v>108</v>
      </c>
      <c r="D20" s="87">
        <v>948725</v>
      </c>
      <c r="E20" s="93">
        <v>478056</v>
      </c>
      <c r="F20" s="89">
        <v>1.647</v>
      </c>
      <c r="H20" s="258">
        <f t="shared" si="0"/>
        <v>0</v>
      </c>
    </row>
    <row r="21" spans="1:8" ht="15.75">
      <c r="A21" s="66"/>
      <c r="B21" s="92" t="s">
        <v>665</v>
      </c>
      <c r="C21" s="456" t="s">
        <v>109</v>
      </c>
      <c r="D21" s="87">
        <v>238291</v>
      </c>
      <c r="E21" s="93">
        <v>55721</v>
      </c>
      <c r="F21" s="89">
        <v>0.192</v>
      </c>
      <c r="H21" s="258">
        <f t="shared" si="0"/>
        <v>0</v>
      </c>
    </row>
    <row r="22" spans="1:8" ht="15.75">
      <c r="A22" s="66"/>
      <c r="B22" s="92" t="s">
        <v>697</v>
      </c>
      <c r="C22" s="456" t="s">
        <v>109</v>
      </c>
      <c r="D22" s="87">
        <v>144563</v>
      </c>
      <c r="E22" s="93">
        <v>27185</v>
      </c>
      <c r="F22" s="89">
        <v>0.094</v>
      </c>
      <c r="H22" s="258">
        <f t="shared" si="0"/>
        <v>0</v>
      </c>
    </row>
    <row r="23" spans="1:8" ht="15.75">
      <c r="A23" s="66"/>
      <c r="B23" s="92" t="s">
        <v>110</v>
      </c>
      <c r="C23" s="456" t="s">
        <v>111</v>
      </c>
      <c r="D23" s="87">
        <v>298525</v>
      </c>
      <c r="E23" s="93">
        <v>145058</v>
      </c>
      <c r="F23" s="89">
        <v>0.5</v>
      </c>
      <c r="H23" s="258">
        <f t="shared" si="0"/>
        <v>0</v>
      </c>
    </row>
    <row r="24" spans="1:8" ht="15.75">
      <c r="A24" s="66"/>
      <c r="B24" s="92" t="s">
        <v>696</v>
      </c>
      <c r="C24" s="456" t="s">
        <v>112</v>
      </c>
      <c r="D24" s="87">
        <v>5012560</v>
      </c>
      <c r="E24" s="93">
        <v>2581758</v>
      </c>
      <c r="F24" s="89">
        <v>8.893</v>
      </c>
      <c r="H24" s="258">
        <f t="shared" si="0"/>
        <v>0</v>
      </c>
    </row>
    <row r="25" spans="1:8" ht="15.75">
      <c r="A25" s="66"/>
      <c r="B25" s="92" t="s">
        <v>113</v>
      </c>
      <c r="C25" s="456" t="s">
        <v>114</v>
      </c>
      <c r="D25" s="87">
        <v>284354</v>
      </c>
      <c r="E25" s="93">
        <v>86835</v>
      </c>
      <c r="F25" s="89">
        <v>0.299</v>
      </c>
      <c r="H25" s="258">
        <f t="shared" si="0"/>
        <v>0</v>
      </c>
    </row>
    <row r="26" spans="1:8" ht="15.75">
      <c r="A26" s="66"/>
      <c r="B26" s="92" t="s">
        <v>115</v>
      </c>
      <c r="C26" s="456" t="s">
        <v>116</v>
      </c>
      <c r="D26" s="87">
        <v>738418</v>
      </c>
      <c r="E26" s="93">
        <v>392630</v>
      </c>
      <c r="F26" s="89">
        <v>1.352</v>
      </c>
      <c r="H26" s="258">
        <f t="shared" si="0"/>
        <v>0</v>
      </c>
    </row>
    <row r="27" spans="1:8" ht="15.75">
      <c r="A27" s="66"/>
      <c r="B27" s="92" t="s">
        <v>695</v>
      </c>
      <c r="C27" s="456" t="s">
        <v>117</v>
      </c>
      <c r="D27" s="87">
        <v>140247</v>
      </c>
      <c r="E27" s="93">
        <v>71590</v>
      </c>
      <c r="F27" s="89">
        <v>0.247</v>
      </c>
      <c r="H27" s="258">
        <f t="shared" si="0"/>
        <v>0</v>
      </c>
    </row>
    <row r="28" spans="1:8" ht="15.75">
      <c r="A28" s="66"/>
      <c r="B28" s="92" t="s">
        <v>118</v>
      </c>
      <c r="C28" s="456" t="s">
        <v>119</v>
      </c>
      <c r="D28" s="87">
        <v>24500</v>
      </c>
      <c r="E28" s="93">
        <v>17231</v>
      </c>
      <c r="F28" s="89">
        <v>0.059</v>
      </c>
      <c r="H28" s="258">
        <f t="shared" si="0"/>
        <v>0</v>
      </c>
    </row>
    <row r="29" spans="1:8" ht="15.75">
      <c r="A29" s="66"/>
      <c r="B29" s="92" t="s">
        <v>120</v>
      </c>
      <c r="C29" s="456" t="s">
        <v>121</v>
      </c>
      <c r="D29" s="87">
        <v>6000</v>
      </c>
      <c r="E29" s="93">
        <v>0</v>
      </c>
      <c r="F29" s="89">
        <v>0</v>
      </c>
      <c r="H29" s="258">
        <f t="shared" si="0"/>
        <v>0</v>
      </c>
    </row>
    <row r="30" spans="1:8" ht="15.75">
      <c r="A30" s="66"/>
      <c r="B30" s="92"/>
      <c r="C30" s="456"/>
      <c r="D30" s="87"/>
      <c r="E30" s="93"/>
      <c r="F30" s="89"/>
      <c r="H30" s="258">
        <f t="shared" si="0"/>
        <v>0</v>
      </c>
    </row>
    <row r="31" spans="1:8" ht="15.75">
      <c r="A31" s="66"/>
      <c r="B31" s="92"/>
      <c r="C31" s="456"/>
      <c r="D31" s="87"/>
      <c r="E31" s="93"/>
      <c r="F31" s="89"/>
      <c r="H31" s="258">
        <f t="shared" si="0"/>
        <v>0</v>
      </c>
    </row>
    <row r="32" spans="1:8" ht="15.75">
      <c r="A32" s="66"/>
      <c r="B32" s="92"/>
      <c r="C32" s="456"/>
      <c r="D32" s="87"/>
      <c r="E32" s="93"/>
      <c r="F32" s="89"/>
      <c r="H32" s="258">
        <f t="shared" si="0"/>
        <v>0</v>
      </c>
    </row>
    <row r="33" spans="1:8" ht="15.75">
      <c r="A33" s="66"/>
      <c r="B33" s="92"/>
      <c r="C33" s="456"/>
      <c r="D33" s="87"/>
      <c r="E33" s="93"/>
      <c r="F33" s="89"/>
      <c r="H33" s="258">
        <f t="shared" si="0"/>
        <v>0</v>
      </c>
    </row>
    <row r="34" spans="1:8" ht="15.75">
      <c r="A34" s="66"/>
      <c r="B34" s="92"/>
      <c r="C34" s="456"/>
      <c r="D34" s="87"/>
      <c r="E34" s="93"/>
      <c r="F34" s="89"/>
      <c r="H34" s="258">
        <f t="shared" si="0"/>
        <v>0</v>
      </c>
    </row>
    <row r="35" spans="1:8" ht="15.75">
      <c r="A35" s="66"/>
      <c r="B35" s="92"/>
      <c r="C35" s="456"/>
      <c r="D35" s="87"/>
      <c r="E35" s="93"/>
      <c r="F35" s="89"/>
      <c r="H35" s="258">
        <f t="shared" si="0"/>
        <v>0</v>
      </c>
    </row>
    <row r="36" spans="1:8" ht="15.75">
      <c r="A36" s="66"/>
      <c r="B36" s="92"/>
      <c r="C36" s="456"/>
      <c r="D36" s="87"/>
      <c r="E36" s="93"/>
      <c r="F36" s="89"/>
      <c r="H36" s="258">
        <f t="shared" si="0"/>
        <v>0</v>
      </c>
    </row>
    <row r="37" spans="1:8" ht="15.75">
      <c r="A37" s="66"/>
      <c r="B37" s="92"/>
      <c r="C37" s="456"/>
      <c r="D37" s="87"/>
      <c r="E37" s="93"/>
      <c r="F37" s="89"/>
      <c r="H37" s="258">
        <f t="shared" si="0"/>
        <v>0</v>
      </c>
    </row>
    <row r="38" spans="1:8" ht="15.75">
      <c r="A38" s="66"/>
      <c r="B38" s="92"/>
      <c r="C38" s="456"/>
      <c r="D38" s="87"/>
      <c r="E38" s="93"/>
      <c r="F38" s="89"/>
      <c r="H38" s="258">
        <f t="shared" si="0"/>
        <v>0</v>
      </c>
    </row>
    <row r="39" spans="1:8" ht="15.75">
      <c r="A39" s="66"/>
      <c r="B39" s="92"/>
      <c r="C39" s="456"/>
      <c r="D39" s="87"/>
      <c r="E39" s="93"/>
      <c r="F39" s="89"/>
      <c r="H39" s="258">
        <f t="shared" si="0"/>
        <v>0</v>
      </c>
    </row>
    <row r="40" spans="1:8" ht="15.75">
      <c r="A40" s="66"/>
      <c r="B40" s="92"/>
      <c r="C40" s="456"/>
      <c r="D40" s="87"/>
      <c r="E40" s="93"/>
      <c r="F40" s="89"/>
      <c r="H40" s="258">
        <f t="shared" si="0"/>
        <v>0</v>
      </c>
    </row>
    <row r="41" spans="1:6" ht="15.75">
      <c r="A41" s="94" t="str">
        <f>CONCATENATE("Total Tax Levy Funds Levy Amounts and Levy Rates for ",C5-1," Budget")</f>
        <v>Total Tax Levy Funds Levy Amounts and Levy Rates for 2014 Budget</v>
      </c>
      <c r="B41" s="95"/>
      <c r="C41" s="95"/>
      <c r="D41" s="96"/>
      <c r="E41" s="97">
        <f>SUM(E16:E40)</f>
        <v>11799021</v>
      </c>
      <c r="F41" s="98">
        <f>SUM(F16:F40)</f>
        <v>40.64399999999999</v>
      </c>
    </row>
    <row r="42" spans="1:6" ht="15.75">
      <c r="A42" s="72"/>
      <c r="B42" s="68"/>
      <c r="C42" s="68"/>
      <c r="D42" s="68"/>
      <c r="E42" s="99"/>
      <c r="F42" s="100"/>
    </row>
    <row r="43" spans="1:6" ht="15.75">
      <c r="A43" s="65" t="s">
        <v>833</v>
      </c>
      <c r="B43" s="66"/>
      <c r="C43" s="66"/>
      <c r="D43" s="66"/>
      <c r="E43" s="66"/>
      <c r="F43" s="66"/>
    </row>
    <row r="44" spans="1:6" ht="15.75">
      <c r="A44" s="66"/>
      <c r="B44" s="89" t="s">
        <v>122</v>
      </c>
      <c r="C44" s="66"/>
      <c r="D44" s="101">
        <v>60086</v>
      </c>
      <c r="E44" s="66"/>
      <c r="F44" s="66"/>
    </row>
    <row r="45" spans="1:6" ht="15.75">
      <c r="A45" s="66"/>
      <c r="B45" s="89" t="s">
        <v>123</v>
      </c>
      <c r="C45" s="66"/>
      <c r="D45" s="101">
        <v>325000</v>
      </c>
      <c r="E45" s="66"/>
      <c r="F45" s="66"/>
    </row>
    <row r="46" spans="1:6" ht="15.75">
      <c r="A46" s="66"/>
      <c r="B46" s="89" t="s">
        <v>124</v>
      </c>
      <c r="C46" s="66"/>
      <c r="D46" s="101">
        <v>80061</v>
      </c>
      <c r="E46" s="66"/>
      <c r="F46" s="66"/>
    </row>
    <row r="47" spans="1:6" ht="15.75">
      <c r="A47" s="66"/>
      <c r="B47" s="89" t="s">
        <v>125</v>
      </c>
      <c r="C47" s="66"/>
      <c r="D47" s="101">
        <v>23814</v>
      </c>
      <c r="E47" s="66"/>
      <c r="F47" s="66"/>
    </row>
    <row r="48" spans="1:6" ht="15.75">
      <c r="A48" s="66"/>
      <c r="B48" s="89" t="s">
        <v>126</v>
      </c>
      <c r="C48" s="66"/>
      <c r="D48" s="101">
        <v>30124</v>
      </c>
      <c r="E48" s="66"/>
      <c r="F48" s="66"/>
    </row>
    <row r="49" spans="1:6" ht="15.75">
      <c r="A49" s="66"/>
      <c r="B49" s="89" t="s">
        <v>127</v>
      </c>
      <c r="C49" s="66"/>
      <c r="D49" s="101">
        <v>20431</v>
      </c>
      <c r="E49" s="66"/>
      <c r="F49" s="66"/>
    </row>
    <row r="50" spans="1:6" ht="15.75">
      <c r="A50" s="66"/>
      <c r="B50" s="89" t="s">
        <v>128</v>
      </c>
      <c r="C50" s="66"/>
      <c r="D50" s="101">
        <v>2568</v>
      </c>
      <c r="E50" s="66"/>
      <c r="F50" s="66"/>
    </row>
    <row r="51" spans="1:6" ht="15.75">
      <c r="A51" s="66"/>
      <c r="B51" s="89" t="s">
        <v>129</v>
      </c>
      <c r="C51" s="66"/>
      <c r="D51" s="101">
        <v>105000</v>
      </c>
      <c r="E51" s="66"/>
      <c r="F51" s="66"/>
    </row>
    <row r="52" spans="1:6" ht="15.75">
      <c r="A52" s="66"/>
      <c r="B52" s="89" t="s">
        <v>130</v>
      </c>
      <c r="C52" s="66"/>
      <c r="D52" s="101">
        <v>119379</v>
      </c>
      <c r="E52" s="66"/>
      <c r="F52" s="66"/>
    </row>
    <row r="53" spans="1:6" ht="15.75">
      <c r="A53" s="66"/>
      <c r="B53" s="89" t="s">
        <v>131</v>
      </c>
      <c r="C53" s="66"/>
      <c r="D53" s="101">
        <v>200175</v>
      </c>
      <c r="E53" s="66"/>
      <c r="F53" s="66"/>
    </row>
    <row r="54" spans="1:6" ht="15.75">
      <c r="A54" s="94" t="str">
        <f>CONCATENATE("Total Expenditures for ",C5-1," Budgeted Year")</f>
        <v>Total Expenditures for 2014 Budgeted Year</v>
      </c>
      <c r="B54" s="102"/>
      <c r="C54" s="103"/>
      <c r="D54" s="97">
        <f>SUM(D16:D40,D44:D53)</f>
        <v>26272066</v>
      </c>
      <c r="E54" s="66"/>
      <c r="F54" s="66"/>
    </row>
    <row r="55" spans="1:6" ht="15.75">
      <c r="A55" s="66"/>
      <c r="B55" s="104"/>
      <c r="C55" s="66"/>
      <c r="D55" s="68"/>
      <c r="E55" s="66"/>
      <c r="F55" s="66"/>
    </row>
    <row r="56" spans="1:6" ht="15.75">
      <c r="A56" s="65" t="s">
        <v>871</v>
      </c>
      <c r="B56" s="66"/>
      <c r="C56" s="66"/>
      <c r="D56" s="66"/>
      <c r="E56" s="66"/>
      <c r="F56" s="105"/>
    </row>
    <row r="57" spans="1:6" ht="15.75">
      <c r="A57" s="106">
        <v>1</v>
      </c>
      <c r="B57" s="90" t="s">
        <v>220</v>
      </c>
      <c r="C57" s="66"/>
      <c r="D57" s="66"/>
      <c r="E57" s="66"/>
      <c r="F57" s="105"/>
    </row>
    <row r="58" spans="1:6" ht="15.75">
      <c r="A58" s="106">
        <v>2</v>
      </c>
      <c r="B58" s="90" t="s">
        <v>221</v>
      </c>
      <c r="C58" s="66"/>
      <c r="D58" s="66"/>
      <c r="E58" s="66"/>
      <c r="F58" s="105"/>
    </row>
    <row r="59" spans="1:6" ht="15.75">
      <c r="A59" s="106">
        <v>3</v>
      </c>
      <c r="B59" s="90" t="s">
        <v>222</v>
      </c>
      <c r="C59" s="66"/>
      <c r="D59" s="66"/>
      <c r="E59" s="66"/>
      <c r="F59" s="105"/>
    </row>
    <row r="60" spans="1:6" ht="15.75">
      <c r="A60" s="106">
        <v>4</v>
      </c>
      <c r="B60" s="90" t="s">
        <v>223</v>
      </c>
      <c r="C60" s="66"/>
      <c r="D60" s="66"/>
      <c r="E60" s="66"/>
      <c r="F60" s="105"/>
    </row>
    <row r="61" spans="1:6" ht="15.75">
      <c r="A61" s="106">
        <v>5</v>
      </c>
      <c r="B61" s="90" t="s">
        <v>224</v>
      </c>
      <c r="C61" s="66"/>
      <c r="D61" s="66"/>
      <c r="E61" s="66"/>
      <c r="F61" s="105"/>
    </row>
    <row r="62" spans="1:6" ht="15.75">
      <c r="A62" s="65"/>
      <c r="B62" s="66"/>
      <c r="C62" s="66"/>
      <c r="D62" s="66"/>
      <c r="E62" s="66"/>
      <c r="F62" s="105"/>
    </row>
    <row r="63" spans="1:6" ht="15.75">
      <c r="A63" s="65"/>
      <c r="B63" s="66"/>
      <c r="C63" s="66"/>
      <c r="D63" s="66"/>
      <c r="E63" s="66"/>
      <c r="F63" s="105"/>
    </row>
    <row r="64" spans="1:6" ht="15.75">
      <c r="A64" s="65" t="str">
        <f>CONCATENATE("County's Final Assessed Valuation for ",C5-1," (November 1,",C5-2," Abstract):")</f>
        <v>County's Final Assessed Valuation for 2014 (November 1,2013 Abstract):</v>
      </c>
      <c r="B64" s="66"/>
      <c r="C64" s="66"/>
      <c r="D64" s="66"/>
      <c r="E64" s="93">
        <v>290300146</v>
      </c>
      <c r="F64" s="107"/>
    </row>
    <row r="65" spans="1:6" ht="15.75">
      <c r="A65" s="66"/>
      <c r="B65" s="66"/>
      <c r="C65" s="66"/>
      <c r="D65" s="66"/>
      <c r="E65" s="66"/>
      <c r="F65" s="66"/>
    </row>
    <row r="66" spans="1:6" ht="15.75">
      <c r="A66" s="79" t="str">
        <f>CONCATENATE("From the ",C5-1," Budget:")</f>
        <v>From the 2014 Budget:</v>
      </c>
      <c r="B66" s="108"/>
      <c r="C66" s="66"/>
      <c r="D66" s="703" t="str">
        <f>CONCATENATE("",C5-3," Tax Rate (",C5-2," Column)")</f>
        <v>2012 Tax Rate (2013 Column)</v>
      </c>
      <c r="E66" s="701"/>
      <c r="F66" s="66"/>
    </row>
    <row r="67" spans="1:6" ht="15.75">
      <c r="A67" s="79" t="s">
        <v>962</v>
      </c>
      <c r="B67" s="78"/>
      <c r="C67" s="66"/>
      <c r="D67" s="704"/>
      <c r="E67" s="702"/>
      <c r="F67" s="66"/>
    </row>
    <row r="68" spans="1:6" ht="15.75">
      <c r="A68" s="66"/>
      <c r="B68" s="109" t="str">
        <f>B16</f>
        <v>General</v>
      </c>
      <c r="C68" s="66"/>
      <c r="D68" s="89">
        <v>16.247</v>
      </c>
      <c r="E68" s="104"/>
      <c r="F68" s="66"/>
    </row>
    <row r="69" spans="1:6" ht="15.75">
      <c r="A69" s="66"/>
      <c r="B69" s="109" t="str">
        <f>B17</f>
        <v>Debt Service</v>
      </c>
      <c r="C69" s="66"/>
      <c r="D69" s="89">
        <v>0</v>
      </c>
      <c r="E69" s="104"/>
      <c r="F69" s="66"/>
    </row>
    <row r="70" spans="1:6" ht="15.75">
      <c r="A70" s="66"/>
      <c r="B70" s="109" t="str">
        <f>B18</f>
        <v>Road &amp; Bridge</v>
      </c>
      <c r="C70" s="66"/>
      <c r="D70" s="89">
        <v>11.577</v>
      </c>
      <c r="E70" s="104"/>
      <c r="F70" s="66"/>
    </row>
    <row r="71" spans="1:6" ht="15.75">
      <c r="A71" s="66"/>
      <c r="B71" s="109" t="str">
        <f>B19</f>
        <v>County Health</v>
      </c>
      <c r="C71" s="66"/>
      <c r="D71" s="89">
        <v>0.635</v>
      </c>
      <c r="E71" s="104"/>
      <c r="F71" s="66"/>
    </row>
    <row r="72" spans="1:6" ht="15.75">
      <c r="A72" s="66"/>
      <c r="B72" s="109" t="str">
        <f aca="true" t="shared" si="1" ref="B72:B92">B20</f>
        <v>Special Bridge</v>
      </c>
      <c r="C72" s="66"/>
      <c r="D72" s="89">
        <v>1.145</v>
      </c>
      <c r="E72" s="104"/>
      <c r="F72" s="66"/>
    </row>
    <row r="73" spans="1:6" ht="15.75">
      <c r="A73" s="66"/>
      <c r="B73" s="109" t="str">
        <f t="shared" si="1"/>
        <v>Mental Health</v>
      </c>
      <c r="C73" s="66"/>
      <c r="D73" s="89">
        <v>0.713</v>
      </c>
      <c r="E73" s="104"/>
      <c r="F73" s="66"/>
    </row>
    <row r="74" spans="1:6" ht="15.75">
      <c r="A74" s="66"/>
      <c r="B74" s="109" t="str">
        <f t="shared" si="1"/>
        <v>Mental Retardation</v>
      </c>
      <c r="C74" s="66"/>
      <c r="D74" s="89">
        <v>0.422</v>
      </c>
      <c r="E74" s="104"/>
      <c r="F74" s="66"/>
    </row>
    <row r="75" spans="1:6" ht="15.75">
      <c r="A75" s="66"/>
      <c r="B75" s="109" t="str">
        <f t="shared" si="1"/>
        <v>Council on Aging</v>
      </c>
      <c r="C75" s="66"/>
      <c r="D75" s="89">
        <v>0.503</v>
      </c>
      <c r="E75" s="104"/>
      <c r="F75" s="66"/>
    </row>
    <row r="76" spans="1:6" ht="15.75">
      <c r="A76" s="66"/>
      <c r="B76" s="109" t="str">
        <f t="shared" si="1"/>
        <v>Employee Benefits</v>
      </c>
      <c r="C76" s="66"/>
      <c r="D76" s="89">
        <v>7.149</v>
      </c>
      <c r="E76" s="104"/>
      <c r="F76" s="66"/>
    </row>
    <row r="77" spans="1:6" ht="15.75">
      <c r="A77" s="66"/>
      <c r="B77" s="109" t="str">
        <f t="shared" si="1"/>
        <v>Noxious Weed</v>
      </c>
      <c r="C77" s="66"/>
      <c r="D77" s="89">
        <v>0.43</v>
      </c>
      <c r="E77" s="104"/>
      <c r="F77" s="66"/>
    </row>
    <row r="78" spans="1:6" ht="15.75">
      <c r="A78" s="66"/>
      <c r="B78" s="109" t="str">
        <f t="shared" si="1"/>
        <v>.Ambulance Services</v>
      </c>
      <c r="C78" s="66"/>
      <c r="D78" s="89">
        <v>1.523</v>
      </c>
      <c r="E78" s="104"/>
      <c r="F78" s="66"/>
    </row>
    <row r="79" spans="1:6" ht="15.75">
      <c r="A79" s="66"/>
      <c r="B79" s="109" t="str">
        <f t="shared" si="1"/>
        <v>Economic Development</v>
      </c>
      <c r="C79" s="66"/>
      <c r="D79" s="89">
        <v>0.283</v>
      </c>
      <c r="E79" s="104"/>
      <c r="F79" s="66"/>
    </row>
    <row r="80" spans="1:6" ht="15.75">
      <c r="A80" s="66"/>
      <c r="B80" s="109" t="str">
        <f t="shared" si="1"/>
        <v>Special Liability</v>
      </c>
      <c r="C80" s="66"/>
      <c r="D80" s="89">
        <v>0.07</v>
      </c>
      <c r="E80" s="104"/>
      <c r="F80" s="66"/>
    </row>
    <row r="81" spans="1:6" ht="15.75">
      <c r="A81" s="66"/>
      <c r="B81" s="109" t="str">
        <f t="shared" si="1"/>
        <v>No Fund Warr-B&amp;I</v>
      </c>
      <c r="C81" s="66"/>
      <c r="D81" s="89">
        <v>0</v>
      </c>
      <c r="E81" s="104"/>
      <c r="F81" s="66"/>
    </row>
    <row r="82" spans="1:6" ht="15.75">
      <c r="A82" s="66"/>
      <c r="B82" s="109">
        <f t="shared" si="1"/>
        <v>0</v>
      </c>
      <c r="C82" s="66"/>
      <c r="D82" s="89"/>
      <c r="E82" s="104"/>
      <c r="F82" s="66"/>
    </row>
    <row r="83" spans="1:6" ht="15.75">
      <c r="A83" s="66"/>
      <c r="B83" s="109">
        <f t="shared" si="1"/>
        <v>0</v>
      </c>
      <c r="C83" s="66"/>
      <c r="D83" s="89"/>
      <c r="E83" s="104"/>
      <c r="F83" s="66"/>
    </row>
    <row r="84" spans="1:6" ht="15.75">
      <c r="A84" s="66"/>
      <c r="B84" s="109">
        <f t="shared" si="1"/>
        <v>0</v>
      </c>
      <c r="C84" s="66"/>
      <c r="D84" s="89"/>
      <c r="E84" s="104"/>
      <c r="F84" s="66"/>
    </row>
    <row r="85" spans="1:6" ht="15.75">
      <c r="A85" s="66"/>
      <c r="B85" s="109">
        <f t="shared" si="1"/>
        <v>0</v>
      </c>
      <c r="C85" s="66"/>
      <c r="D85" s="89"/>
      <c r="E85" s="104"/>
      <c r="F85" s="66"/>
    </row>
    <row r="86" spans="1:6" ht="15.75">
      <c r="A86" s="66"/>
      <c r="B86" s="109">
        <f t="shared" si="1"/>
        <v>0</v>
      </c>
      <c r="C86" s="66"/>
      <c r="D86" s="89"/>
      <c r="E86" s="104"/>
      <c r="F86" s="66"/>
    </row>
    <row r="87" spans="1:6" ht="15.75">
      <c r="A87" s="66"/>
      <c r="B87" s="109">
        <f t="shared" si="1"/>
        <v>0</v>
      </c>
      <c r="C87" s="66"/>
      <c r="D87" s="89"/>
      <c r="E87" s="104"/>
      <c r="F87" s="66"/>
    </row>
    <row r="88" spans="1:6" ht="15.75">
      <c r="A88" s="66"/>
      <c r="B88" s="109">
        <f t="shared" si="1"/>
        <v>0</v>
      </c>
      <c r="C88" s="66"/>
      <c r="D88" s="89"/>
      <c r="E88" s="104"/>
      <c r="F88" s="66"/>
    </row>
    <row r="89" spans="1:6" ht="15.75">
      <c r="A89" s="66"/>
      <c r="B89" s="109">
        <f t="shared" si="1"/>
        <v>0</v>
      </c>
      <c r="C89" s="66"/>
      <c r="D89" s="89"/>
      <c r="E89" s="104"/>
      <c r="F89" s="66"/>
    </row>
    <row r="90" spans="1:6" ht="15.75">
      <c r="A90" s="66"/>
      <c r="B90" s="109">
        <f t="shared" si="1"/>
        <v>0</v>
      </c>
      <c r="C90" s="66"/>
      <c r="D90" s="89"/>
      <c r="E90" s="104"/>
      <c r="F90" s="66"/>
    </row>
    <row r="91" spans="1:6" ht="15.75">
      <c r="A91" s="66"/>
      <c r="B91" s="109">
        <f t="shared" si="1"/>
        <v>0</v>
      </c>
      <c r="C91" s="66"/>
      <c r="D91" s="89"/>
      <c r="E91" s="104"/>
      <c r="F91" s="66"/>
    </row>
    <row r="92" spans="1:6" ht="15.75">
      <c r="A92" s="66"/>
      <c r="B92" s="109">
        <f t="shared" si="1"/>
        <v>0</v>
      </c>
      <c r="C92" s="66"/>
      <c r="D92" s="89"/>
      <c r="E92" s="104"/>
      <c r="F92" s="66"/>
    </row>
    <row r="93" spans="1:6" ht="15.75">
      <c r="A93" s="95" t="s">
        <v>644</v>
      </c>
      <c r="B93" s="95"/>
      <c r="C93" s="103"/>
      <c r="D93" s="98">
        <f>SUM(D68:D92)</f>
        <v>40.697</v>
      </c>
      <c r="E93" s="100"/>
      <c r="F93" s="66"/>
    </row>
    <row r="94" spans="1:6" ht="15.75">
      <c r="A94" s="66"/>
      <c r="B94" s="66"/>
      <c r="C94" s="66"/>
      <c r="D94" s="66"/>
      <c r="E94" s="66"/>
      <c r="F94" s="66"/>
    </row>
    <row r="95" spans="1:6" ht="15.75">
      <c r="A95" s="110" t="str">
        <f>CONCATENATE("Total Tax Levied (",C5-2," budget column)")</f>
        <v>Total Tax Levied (2013 budget column)</v>
      </c>
      <c r="B95" s="111"/>
      <c r="C95" s="95"/>
      <c r="D95" s="93">
        <v>14970688</v>
      </c>
      <c r="E95" s="68"/>
      <c r="F95" s="107"/>
    </row>
    <row r="96" spans="1:6" ht="15.75">
      <c r="A96" s="112" t="str">
        <f>CONCATENATE("Assessed Valuation  (",C5-2," budget column)")</f>
        <v>Assessed Valuation  (2013 budget column)</v>
      </c>
      <c r="B96" s="113"/>
      <c r="C96" s="96"/>
      <c r="D96" s="93">
        <v>367845695</v>
      </c>
      <c r="E96" s="68"/>
      <c r="F96" s="107"/>
    </row>
    <row r="97" spans="1:6" ht="15.75">
      <c r="A97" s="72"/>
      <c r="B97" s="68"/>
      <c r="C97" s="68"/>
      <c r="D97" s="68"/>
      <c r="E97" s="68"/>
      <c r="F97" s="105"/>
    </row>
    <row r="98" spans="1:6" ht="15.75">
      <c r="A98" s="114" t="str">
        <f>CONCATENATE("From the ",C5-1," Budget, Budget Summary Page")</f>
        <v>From the 2014 Budget, Budget Summary Page</v>
      </c>
      <c r="B98" s="115"/>
      <c r="C98" s="107"/>
      <c r="D98" s="107"/>
      <c r="E98" s="107"/>
      <c r="F98" s="107"/>
    </row>
    <row r="99" spans="1:6" ht="15.75">
      <c r="A99" s="78" t="s">
        <v>858</v>
      </c>
      <c r="B99" s="78"/>
      <c r="C99" s="116"/>
      <c r="D99" s="117">
        <f>C5-3</f>
        <v>2012</v>
      </c>
      <c r="E99" s="118">
        <f>C5-2</f>
        <v>2013</v>
      </c>
      <c r="F99" s="107"/>
    </row>
    <row r="100" spans="1:6" ht="15.75">
      <c r="A100" s="119" t="s">
        <v>859</v>
      </c>
      <c r="B100" s="119"/>
      <c r="C100" s="120"/>
      <c r="D100" s="87">
        <v>12840</v>
      </c>
      <c r="E100" s="87">
        <v>0</v>
      </c>
      <c r="F100" s="107"/>
    </row>
    <row r="101" spans="1:6" s="123" customFormat="1" ht="15.75">
      <c r="A101" s="121" t="s">
        <v>860</v>
      </c>
      <c r="B101" s="121"/>
      <c r="C101" s="122"/>
      <c r="D101" s="87">
        <v>0</v>
      </c>
      <c r="E101" s="87">
        <v>0</v>
      </c>
      <c r="F101" s="116"/>
    </row>
    <row r="102" spans="1:6" s="123" customFormat="1" ht="15.75">
      <c r="A102" s="121" t="s">
        <v>861</v>
      </c>
      <c r="B102" s="121"/>
      <c r="C102" s="122"/>
      <c r="D102" s="87">
        <v>171525</v>
      </c>
      <c r="E102" s="87">
        <v>149016</v>
      </c>
      <c r="F102" s="116"/>
    </row>
    <row r="103" spans="1:6" s="123" customFormat="1" ht="15.75">
      <c r="A103" s="121" t="s">
        <v>862</v>
      </c>
      <c r="B103" s="121"/>
      <c r="C103" s="122"/>
      <c r="D103" s="87">
        <v>476837</v>
      </c>
      <c r="E103" s="87">
        <v>428608</v>
      </c>
      <c r="F103" s="116" t="s">
        <v>701</v>
      </c>
    </row>
    <row r="104" s="123" customFormat="1" ht="15.75"/>
  </sheetData>
  <sheetProtection/>
  <mergeCells count="5">
    <mergeCell ref="H7:I12"/>
    <mergeCell ref="E66:E67"/>
    <mergeCell ref="D66:D67"/>
    <mergeCell ref="A1:F1"/>
    <mergeCell ref="A9:F9"/>
  </mergeCells>
  <printOptions/>
  <pageMargins left="0.5" right="0.5" top="1" bottom="0.5" header="0.5" footer="0.5"/>
  <pageSetup blackAndWhite="1" fitToHeight="2" fitToWidth="1" horizontalDpi="120" verticalDpi="120" orientation="portrait" scale="86" r:id="rId1"/>
</worksheet>
</file>

<file path=xl/worksheets/sheet20.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52">
      <selection activeCell="E67" sqref="E67"/>
    </sheetView>
  </sheetViews>
  <sheetFormatPr defaultColWidth="8.796875" defaultRowHeight="15"/>
  <cols>
    <col min="1" max="1" width="2.3984375" style="52" customWidth="1"/>
    <col min="2" max="2" width="31.09765625" style="52" customWidth="1"/>
    <col min="3" max="4" width="15.796875" style="52" customWidth="1"/>
    <col min="5" max="5" width="16.6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472" t="s">
        <v>748</v>
      </c>
      <c r="C3" s="144"/>
      <c r="D3" s="144"/>
      <c r="E3" s="144"/>
    </row>
    <row r="4" spans="2:5" ht="15.75">
      <c r="B4" s="65" t="s">
        <v>672</v>
      </c>
      <c r="C4" s="624" t="s">
        <v>595</v>
      </c>
      <c r="D4" s="625" t="s">
        <v>596</v>
      </c>
      <c r="E4" s="148" t="s">
        <v>597</v>
      </c>
    </row>
    <row r="5" spans="2:5" ht="15.75">
      <c r="B5" s="460" t="str">
        <f>inputPrYr!$B$23</f>
        <v>Council on Aging</v>
      </c>
      <c r="C5" s="440" t="str">
        <f>CONCATENATE("Actual for ",E1-2,"")</f>
        <v>Actual for 2013</v>
      </c>
      <c r="D5" s="440" t="str">
        <f>CONCATENATE("Estimate for ",E1-1,"")</f>
        <v>Estimate for 2014</v>
      </c>
      <c r="E5" s="293" t="str">
        <f>CONCATENATE("Year for ",E1,"")</f>
        <v>Year for 2015</v>
      </c>
    </row>
    <row r="6" spans="2:5" ht="15.75">
      <c r="B6" s="152" t="s">
        <v>789</v>
      </c>
      <c r="C6" s="468">
        <v>205242</v>
      </c>
      <c r="D6" s="439">
        <f>C34</f>
        <v>250642</v>
      </c>
      <c r="E6" s="258">
        <f>D34</f>
        <v>107832</v>
      </c>
    </row>
    <row r="7" spans="2:5" ht="15.75">
      <c r="B7" s="283" t="s">
        <v>791</v>
      </c>
      <c r="C7" s="166"/>
      <c r="D7" s="166"/>
      <c r="E7" s="109"/>
    </row>
    <row r="8" spans="2:5" ht="15.75">
      <c r="B8" s="152" t="s">
        <v>673</v>
      </c>
      <c r="C8" s="468">
        <v>175192</v>
      </c>
      <c r="D8" s="439">
        <v>136757</v>
      </c>
      <c r="E8" s="320" t="s">
        <v>660</v>
      </c>
    </row>
    <row r="9" spans="2:5" ht="15.75">
      <c r="B9" s="152" t="s">
        <v>674</v>
      </c>
      <c r="C9" s="468">
        <v>4257</v>
      </c>
      <c r="D9" s="468">
        <v>3000</v>
      </c>
      <c r="E9" s="93">
        <v>3000</v>
      </c>
    </row>
    <row r="10" spans="2:5" ht="15.75">
      <c r="B10" s="152" t="s">
        <v>675</v>
      </c>
      <c r="C10" s="468">
        <v>15637</v>
      </c>
      <c r="D10" s="468">
        <v>15016</v>
      </c>
      <c r="E10" s="258">
        <f>mvalloc!E17</f>
        <v>16269</v>
      </c>
    </row>
    <row r="11" spans="2:5" ht="15.75">
      <c r="B11" s="152" t="s">
        <v>676</v>
      </c>
      <c r="C11" s="468">
        <v>197</v>
      </c>
      <c r="D11" s="468">
        <v>189</v>
      </c>
      <c r="E11" s="258">
        <f>mvalloc!F17</f>
        <v>173</v>
      </c>
    </row>
    <row r="12" spans="2:5" ht="15.75">
      <c r="B12" s="166" t="s">
        <v>740</v>
      </c>
      <c r="C12" s="468">
        <v>456</v>
      </c>
      <c r="D12" s="468">
        <v>469</v>
      </c>
      <c r="E12" s="258">
        <f>mvalloc!G17</f>
        <v>438</v>
      </c>
    </row>
    <row r="13" spans="2:5" ht="15.75">
      <c r="B13" s="310" t="s">
        <v>172</v>
      </c>
      <c r="C13" s="468">
        <v>88</v>
      </c>
      <c r="D13" s="468">
        <v>84</v>
      </c>
      <c r="E13" s="93">
        <v>70</v>
      </c>
    </row>
    <row r="14" spans="2:5" ht="15.75">
      <c r="B14" s="310" t="s">
        <v>100</v>
      </c>
      <c r="C14" s="468">
        <v>389</v>
      </c>
      <c r="D14" s="468">
        <v>200</v>
      </c>
      <c r="E14" s="93">
        <v>200</v>
      </c>
    </row>
    <row r="15" spans="2:5" ht="15.75">
      <c r="B15" s="310"/>
      <c r="C15" s="468"/>
      <c r="D15" s="468"/>
      <c r="E15" s="93"/>
    </row>
    <row r="16" spans="2:5" ht="15.75">
      <c r="B16" s="310"/>
      <c r="C16" s="468"/>
      <c r="D16" s="468"/>
      <c r="E16" s="93"/>
    </row>
    <row r="17" spans="2:5" ht="15.75">
      <c r="B17" s="298" t="s">
        <v>680</v>
      </c>
      <c r="C17" s="468"/>
      <c r="D17" s="468"/>
      <c r="E17" s="93"/>
    </row>
    <row r="18" spans="2:5" ht="15.75">
      <c r="B18" s="299" t="s">
        <v>911</v>
      </c>
      <c r="C18" s="468"/>
      <c r="D18" s="468"/>
      <c r="E18" s="93"/>
    </row>
    <row r="19" spans="2:5" ht="15.75">
      <c r="B19" s="299" t="s">
        <v>913</v>
      </c>
      <c r="C19" s="438">
        <f>IF(C20*0.1&lt;C18,"Exceed 10% Rule","")</f>
      </c>
      <c r="D19" s="438">
        <f>IF(D20*0.1&lt;D18,"Exceed 10% Rule","")</f>
      </c>
      <c r="E19" s="327">
        <f>IF(E20*0.1+E40&lt;E18,"Exceed 10% Rule","")</f>
      </c>
    </row>
    <row r="20" spans="2:5" ht="15.75">
      <c r="B20" s="301" t="s">
        <v>681</v>
      </c>
      <c r="C20" s="442">
        <f>SUM(C8:C18)</f>
        <v>196216</v>
      </c>
      <c r="D20" s="442">
        <f>SUM(D8:D18)</f>
        <v>155715</v>
      </c>
      <c r="E20" s="347">
        <f>SUM(E8:E18)</f>
        <v>20150</v>
      </c>
    </row>
    <row r="21" spans="2:5" ht="15.75">
      <c r="B21" s="301" t="s">
        <v>682</v>
      </c>
      <c r="C21" s="442">
        <f>C6+C20</f>
        <v>401458</v>
      </c>
      <c r="D21" s="442">
        <f>D6+D20</f>
        <v>406357</v>
      </c>
      <c r="E21" s="347">
        <f>E6+E20</f>
        <v>127982</v>
      </c>
    </row>
    <row r="22" spans="2:5" ht="15.75">
      <c r="B22" s="152" t="s">
        <v>685</v>
      </c>
      <c r="C22" s="299"/>
      <c r="D22" s="299"/>
      <c r="E22" s="162"/>
    </row>
    <row r="23" spans="2:5" ht="15.75">
      <c r="B23" s="310" t="s">
        <v>75</v>
      </c>
      <c r="C23" s="468">
        <v>150816</v>
      </c>
      <c r="D23" s="468">
        <v>238525</v>
      </c>
      <c r="E23" s="93">
        <v>232061</v>
      </c>
    </row>
    <row r="24" spans="2:10" ht="15.75">
      <c r="B24" s="310" t="s">
        <v>102</v>
      </c>
      <c r="C24" s="468">
        <v>0</v>
      </c>
      <c r="D24" s="468">
        <v>60000</v>
      </c>
      <c r="E24" s="93">
        <v>30000</v>
      </c>
      <c r="G24" s="752" t="str">
        <f>CONCATENATE("Desired Carryover Into ",E1+1,"")</f>
        <v>Desired Carryover Into 2016</v>
      </c>
      <c r="H24" s="753"/>
      <c r="I24" s="753"/>
      <c r="J24" s="754"/>
    </row>
    <row r="25" spans="2:10" ht="15.75">
      <c r="B25" s="310"/>
      <c r="C25" s="468"/>
      <c r="D25" s="468"/>
      <c r="E25" s="93"/>
      <c r="G25" s="628"/>
      <c r="H25" s="68"/>
      <c r="I25" s="629"/>
      <c r="J25" s="630"/>
    </row>
    <row r="26" spans="2:10" ht="15.75">
      <c r="B26" s="310"/>
      <c r="C26" s="468"/>
      <c r="D26" s="468"/>
      <c r="E26" s="93"/>
      <c r="G26" s="631" t="s">
        <v>461</v>
      </c>
      <c r="H26" s="629"/>
      <c r="I26" s="629"/>
      <c r="J26" s="632">
        <v>0</v>
      </c>
    </row>
    <row r="27" spans="2:10" ht="15.75">
      <c r="B27" s="310"/>
      <c r="C27" s="468"/>
      <c r="D27" s="468"/>
      <c r="E27" s="93"/>
      <c r="G27" s="628" t="s">
        <v>462</v>
      </c>
      <c r="H27" s="68"/>
      <c r="I27" s="68"/>
      <c r="J27" s="633">
        <f>IF(J26=0,"",ROUND((J26+E40-G39)/inputOth!E5*1000,3)-G44)</f>
      </c>
    </row>
    <row r="28" spans="2:10" ht="15.75">
      <c r="B28" s="310"/>
      <c r="C28" s="468"/>
      <c r="D28" s="468"/>
      <c r="E28" s="93"/>
      <c r="G28" s="634" t="str">
        <f>CONCATENATE("",E1," Tot Exp/Non-Appr Must Be:")</f>
        <v>2015 Tot Exp/Non-Appr Must Be:</v>
      </c>
      <c r="H28" s="635"/>
      <c r="I28" s="636"/>
      <c r="J28" s="637">
        <f>IF(J26&gt;0,IF(E37&lt;E21,IF(J26=G39,E37,((J26-G39)*(1-D39))+E21),E37+(J26-G39)),0)</f>
        <v>0</v>
      </c>
    </row>
    <row r="29" spans="2:10" ht="15.75">
      <c r="B29" s="310"/>
      <c r="C29" s="468"/>
      <c r="D29" s="468"/>
      <c r="E29" s="93"/>
      <c r="G29" s="638" t="s">
        <v>598</v>
      </c>
      <c r="H29" s="639"/>
      <c r="I29" s="639"/>
      <c r="J29" s="640">
        <f>IF(J26&gt;0,J28-E37,0)</f>
        <v>0</v>
      </c>
    </row>
    <row r="30" spans="2:10" ht="15.75">
      <c r="B30" s="299" t="s">
        <v>910</v>
      </c>
      <c r="C30" s="468"/>
      <c r="D30" s="468"/>
      <c r="E30" s="97">
        <f>Nhood!E13</f>
        <v>36</v>
      </c>
      <c r="G30" s="641"/>
      <c r="H30" s="641"/>
      <c r="I30" s="641"/>
      <c r="J30" s="641"/>
    </row>
    <row r="31" spans="2:10" ht="15.75">
      <c r="B31" s="299" t="s">
        <v>911</v>
      </c>
      <c r="C31" s="468"/>
      <c r="D31" s="468"/>
      <c r="E31" s="93"/>
      <c r="G31" s="752" t="str">
        <f>CONCATENATE("Projected Carryover Into ",E1+1,"")</f>
        <v>Projected Carryover Into 2016</v>
      </c>
      <c r="H31" s="757"/>
      <c r="I31" s="757"/>
      <c r="J31" s="758"/>
    </row>
    <row r="32" spans="2:10" ht="15.75">
      <c r="B32" s="299" t="s">
        <v>912</v>
      </c>
      <c r="C32" s="438">
        <f>IF(C33*0.1&lt;C31,"Exceed 10% Rule","")</f>
      </c>
      <c r="D32" s="438">
        <f>IF(D33*0.1&lt;D31,"Exceed 10% Rule","")</f>
      </c>
      <c r="E32" s="327">
        <f>IF(E33*0.1&lt;E31,"Exceed 10% Rule","")</f>
      </c>
      <c r="G32" s="628"/>
      <c r="H32" s="629"/>
      <c r="I32" s="629"/>
      <c r="J32" s="642"/>
    </row>
    <row r="33" spans="2:10" ht="15.75">
      <c r="B33" s="301" t="s">
        <v>686</v>
      </c>
      <c r="C33" s="442">
        <f>SUM(C23:C31)</f>
        <v>150816</v>
      </c>
      <c r="D33" s="442">
        <f>SUM(D23:D31)</f>
        <v>298525</v>
      </c>
      <c r="E33" s="347">
        <f>SUM(E23:E31)</f>
        <v>262097</v>
      </c>
      <c r="G33" s="643">
        <f>D34</f>
        <v>107832</v>
      </c>
      <c r="H33" s="644" t="str">
        <f>CONCATENATE("",E1-1," Ending Cash Balance (est.)")</f>
        <v>2014 Ending Cash Balance (est.)</v>
      </c>
      <c r="I33" s="645"/>
      <c r="J33" s="642"/>
    </row>
    <row r="34" spans="2:10" ht="15.75">
      <c r="B34" s="152" t="s">
        <v>790</v>
      </c>
      <c r="C34" s="437">
        <f>C21-C33</f>
        <v>250642</v>
      </c>
      <c r="D34" s="437">
        <f>D21-D33</f>
        <v>107832</v>
      </c>
      <c r="E34" s="320" t="s">
        <v>660</v>
      </c>
      <c r="G34" s="643">
        <f>E20</f>
        <v>20150</v>
      </c>
      <c r="H34" s="629" t="str">
        <f>CONCATENATE("",E1," Non-AV Receipts (est.)")</f>
        <v>2015 Non-AV Receipts (est.)</v>
      </c>
      <c r="I34" s="645"/>
      <c r="J34" s="642"/>
    </row>
    <row r="35" spans="2:11" ht="15.75">
      <c r="B35" s="280" t="str">
        <f>CONCATENATE("",$E$1-2,"/",$E$1-1," Budget Authority Amount:")</f>
        <v>2013/2014 Budget Authority Amount:</v>
      </c>
      <c r="C35" s="272">
        <f>inputOth!B36</f>
        <v>255484</v>
      </c>
      <c r="D35" s="272">
        <f>inputPrYr!D23</f>
        <v>298525</v>
      </c>
      <c r="E35" s="320" t="s">
        <v>660</v>
      </c>
      <c r="F35" s="313"/>
      <c r="G35" s="646">
        <f>IF(E39&gt;0,E38,E40)</f>
        <v>134115</v>
      </c>
      <c r="H35" s="629" t="str">
        <f>CONCATENATE("",E1," Ad Valorem Tax (est.)")</f>
        <v>2015 Ad Valorem Tax (est.)</v>
      </c>
      <c r="I35" s="645"/>
      <c r="J35" s="642"/>
      <c r="K35" s="680" t="str">
        <f>IF(G35=E40,"","Note: Does not include Delinquent Taxes")</f>
        <v>Note: Does not include Delinquent Taxes</v>
      </c>
    </row>
    <row r="36" spans="2:10" ht="15.75">
      <c r="B36" s="280"/>
      <c r="C36" s="745" t="s">
        <v>453</v>
      </c>
      <c r="D36" s="746"/>
      <c r="E36" s="93"/>
      <c r="F36" s="481">
        <f>IF(E33/0.95-E33&lt;E36,"Exceeds 5%","")</f>
      </c>
      <c r="G36" s="643">
        <f>SUM(G33:G35)</f>
        <v>262097</v>
      </c>
      <c r="H36" s="629" t="str">
        <f>CONCATENATE("Total ",E1," Resources Available")</f>
        <v>Total 2015 Resources Available</v>
      </c>
      <c r="I36" s="645"/>
      <c r="J36" s="642"/>
    </row>
    <row r="37" spans="2:10" ht="15.75">
      <c r="B37" s="475" t="str">
        <f>CONCATENATE(C88,"     ",D88)</f>
        <v>     </v>
      </c>
      <c r="C37" s="747" t="s">
        <v>454</v>
      </c>
      <c r="D37" s="748"/>
      <c r="E37" s="258">
        <f>E33+E36</f>
        <v>262097</v>
      </c>
      <c r="G37" s="647"/>
      <c r="H37" s="629"/>
      <c r="I37" s="629"/>
      <c r="J37" s="642"/>
    </row>
    <row r="38" spans="2:10" ht="15.75">
      <c r="B38" s="475" t="str">
        <f>CONCATENATE(C89,"      ",D89)</f>
        <v>      </v>
      </c>
      <c r="C38" s="314"/>
      <c r="D38" s="106" t="s">
        <v>687</v>
      </c>
      <c r="E38" s="97">
        <f>IF(E37-E21&gt;0,E37-E21,0)</f>
        <v>134115</v>
      </c>
      <c r="G38" s="646">
        <f>ROUND(C33*0.05+C33,0)</f>
        <v>158357</v>
      </c>
      <c r="H38" s="629" t="str">
        <f>CONCATENATE("Less ",E1-2," Expenditures + 5%")</f>
        <v>Less 2013 Expenditures + 5%</v>
      </c>
      <c r="I38" s="645"/>
      <c r="J38" s="661"/>
    </row>
    <row r="39" spans="2:10" ht="15.75">
      <c r="B39" s="106"/>
      <c r="C39" s="457" t="s">
        <v>455</v>
      </c>
      <c r="D39" s="683">
        <f>inputOth!$E$22</f>
        <v>0.07</v>
      </c>
      <c r="E39" s="258">
        <f>ROUND(IF(D39&gt;0,(E38*D39),0),0)</f>
        <v>9388</v>
      </c>
      <c r="G39" s="648">
        <f>G36-G38</f>
        <v>103740</v>
      </c>
      <c r="H39" s="649" t="str">
        <f>CONCATENATE("Projected ",E1+1," carryover (est.)")</f>
        <v>Projected 2016 carryover (est.)</v>
      </c>
      <c r="I39" s="650"/>
      <c r="J39" s="651"/>
    </row>
    <row r="40" spans="2:10" ht="15.75">
      <c r="B40" s="66"/>
      <c r="C40" s="743" t="str">
        <f>CONCATENATE("Amount of  ",$E$1-1," Ad Valorem Tax")</f>
        <v>Amount of  2014 Ad Valorem Tax</v>
      </c>
      <c r="D40" s="744"/>
      <c r="E40" s="332">
        <f>E38+E39</f>
        <v>143503</v>
      </c>
      <c r="G40" s="641"/>
      <c r="H40" s="641"/>
      <c r="I40" s="641"/>
      <c r="J40" s="641"/>
    </row>
    <row r="41" spans="2:10" ht="15.75">
      <c r="B41" s="66"/>
      <c r="C41" s="607"/>
      <c r="D41" s="66"/>
      <c r="E41" s="66"/>
      <c r="G41" s="749" t="s">
        <v>599</v>
      </c>
      <c r="H41" s="750"/>
      <c r="I41" s="750"/>
      <c r="J41" s="751"/>
    </row>
    <row r="42" spans="2:10" ht="15.75">
      <c r="B42" s="66"/>
      <c r="C42" s="607"/>
      <c r="D42" s="66"/>
      <c r="E42" s="66"/>
      <c r="G42" s="652"/>
      <c r="H42" s="644"/>
      <c r="I42" s="653"/>
      <c r="J42" s="654"/>
    </row>
    <row r="43" spans="2:10" ht="15.75">
      <c r="B43" s="66"/>
      <c r="C43" s="144"/>
      <c r="D43" s="144"/>
      <c r="E43" s="144"/>
      <c r="G43" s="655">
        <f>summ!H23</f>
        <v>0.5</v>
      </c>
      <c r="H43" s="644" t="str">
        <f>CONCATENATE("",E1," Fund Mill Rate")</f>
        <v>2015 Fund Mill Rate</v>
      </c>
      <c r="I43" s="653"/>
      <c r="J43" s="654"/>
    </row>
    <row r="44" spans="2:10" ht="15.75">
      <c r="B44" s="65" t="s">
        <v>672</v>
      </c>
      <c r="C44" s="624" t="str">
        <f aca="true" t="shared" si="0" ref="C44:E45">C4</f>
        <v>Prior Year </v>
      </c>
      <c r="D44" s="625" t="str">
        <f t="shared" si="0"/>
        <v>Current Year </v>
      </c>
      <c r="E44" s="148" t="str">
        <f t="shared" si="0"/>
        <v>Proposed Budget </v>
      </c>
      <c r="G44" s="656">
        <f>summ!E23</f>
        <v>0.5</v>
      </c>
      <c r="H44" s="644" t="str">
        <f>CONCATENATE("",E1-1," Fund Mill Rate")</f>
        <v>2014 Fund Mill Rate</v>
      </c>
      <c r="I44" s="653"/>
      <c r="J44" s="654"/>
    </row>
    <row r="45" spans="2:10" ht="15.75">
      <c r="B45" s="460" t="str">
        <f>inputPrYr!$B$24</f>
        <v>Employee Benefits</v>
      </c>
      <c r="C45" s="440" t="str">
        <f t="shared" si="0"/>
        <v>Actual for 2013</v>
      </c>
      <c r="D45" s="440" t="str">
        <f t="shared" si="0"/>
        <v>Estimate for 2014</v>
      </c>
      <c r="E45" s="305" t="str">
        <f t="shared" si="0"/>
        <v>Year for 2015</v>
      </c>
      <c r="G45" s="657">
        <f>summ!H52</f>
        <v>42.268</v>
      </c>
      <c r="H45" s="644" t="str">
        <f>CONCATENATE("Total ",E1," Mill Rate")</f>
        <v>Total 2015 Mill Rate</v>
      </c>
      <c r="I45" s="653"/>
      <c r="J45" s="654"/>
    </row>
    <row r="46" spans="2:10" ht="15.75">
      <c r="B46" s="152" t="s">
        <v>789</v>
      </c>
      <c r="C46" s="468">
        <v>3537115</v>
      </c>
      <c r="D46" s="439">
        <f>C74</f>
        <v>3345291</v>
      </c>
      <c r="E46" s="258">
        <f>D74</f>
        <v>1492071</v>
      </c>
      <c r="G46" s="656">
        <f>summ!E52</f>
        <v>40.64399999999999</v>
      </c>
      <c r="H46" s="658" t="str">
        <f>CONCATENATE("Total ",E1-1," Mill Rate")</f>
        <v>Total 2014 Mill Rate</v>
      </c>
      <c r="I46" s="659"/>
      <c r="J46" s="660"/>
    </row>
    <row r="47" spans="2:10" ht="15.75">
      <c r="B47" s="294" t="s">
        <v>791</v>
      </c>
      <c r="C47" s="166"/>
      <c r="D47" s="166"/>
      <c r="E47" s="109"/>
      <c r="G47" s="641"/>
      <c r="H47" s="641"/>
      <c r="I47" s="641"/>
      <c r="J47" s="641"/>
    </row>
    <row r="48" spans="2:10" ht="15.75">
      <c r="B48" s="152" t="s">
        <v>673</v>
      </c>
      <c r="C48" s="468">
        <v>2489926</v>
      </c>
      <c r="D48" s="439">
        <v>2432357</v>
      </c>
      <c r="E48" s="320" t="s">
        <v>660</v>
      </c>
      <c r="G48" s="696" t="s">
        <v>53</v>
      </c>
      <c r="H48" s="695"/>
      <c r="I48" s="694" t="str">
        <f>cert!F60</f>
        <v>Yes</v>
      </c>
      <c r="J48" s="641"/>
    </row>
    <row r="49" spans="2:10" ht="15.75">
      <c r="B49" s="152" t="s">
        <v>674</v>
      </c>
      <c r="C49" s="468">
        <v>71607</v>
      </c>
      <c r="D49" s="468">
        <v>50000</v>
      </c>
      <c r="E49" s="93">
        <v>50000</v>
      </c>
      <c r="G49" s="641"/>
      <c r="H49" s="641"/>
      <c r="I49" s="641"/>
      <c r="J49" s="641"/>
    </row>
    <row r="50" spans="2:10" ht="15.75">
      <c r="B50" s="152" t="s">
        <v>675</v>
      </c>
      <c r="C50" s="468">
        <v>274295</v>
      </c>
      <c r="D50" s="468">
        <v>213445</v>
      </c>
      <c r="E50" s="258">
        <f>mvalloc!E18</f>
        <v>289561</v>
      </c>
      <c r="G50" s="641"/>
      <c r="H50" s="641"/>
      <c r="I50" s="641"/>
      <c r="J50" s="641"/>
    </row>
    <row r="51" spans="2:10" ht="15.75">
      <c r="B51" s="152" t="s">
        <v>676</v>
      </c>
      <c r="C51" s="468">
        <v>3449</v>
      </c>
      <c r="D51" s="468">
        <v>2681</v>
      </c>
      <c r="E51" s="258">
        <f>mvalloc!F18</f>
        <v>3085</v>
      </c>
      <c r="G51" s="641"/>
      <c r="H51" s="641"/>
      <c r="I51" s="641"/>
      <c r="J51" s="641"/>
    </row>
    <row r="52" spans="2:10" ht="15.75">
      <c r="B52" s="166" t="s">
        <v>740</v>
      </c>
      <c r="C52" s="468">
        <v>8897</v>
      </c>
      <c r="D52" s="468">
        <v>6664</v>
      </c>
      <c r="E52" s="258">
        <f>mvalloc!G18</f>
        <v>7797</v>
      </c>
      <c r="G52" s="641"/>
      <c r="H52" s="641"/>
      <c r="I52" s="641"/>
      <c r="J52" s="641"/>
    </row>
    <row r="53" spans="2:10" ht="15.75">
      <c r="B53" s="310" t="s">
        <v>172</v>
      </c>
      <c r="C53" s="468">
        <v>1549</v>
      </c>
      <c r="D53" s="468">
        <v>1193</v>
      </c>
      <c r="E53" s="93">
        <v>1000</v>
      </c>
      <c r="G53" s="641"/>
      <c r="H53" s="641"/>
      <c r="I53" s="641"/>
      <c r="J53" s="641"/>
    </row>
    <row r="54" spans="2:10" ht="15.75">
      <c r="B54" s="310" t="s">
        <v>173</v>
      </c>
      <c r="C54" s="468">
        <v>959265</v>
      </c>
      <c r="D54" s="468">
        <v>350000</v>
      </c>
      <c r="E54" s="93">
        <v>400000</v>
      </c>
      <c r="G54" s="641"/>
      <c r="H54" s="641"/>
      <c r="I54" s="641"/>
      <c r="J54" s="641"/>
    </row>
    <row r="55" spans="2:10" ht="15.75">
      <c r="B55" s="310" t="s">
        <v>100</v>
      </c>
      <c r="C55" s="468">
        <v>5518</v>
      </c>
      <c r="D55" s="468">
        <v>3000</v>
      </c>
      <c r="E55" s="93">
        <v>3000</v>
      </c>
      <c r="G55" s="641"/>
      <c r="H55" s="641"/>
      <c r="I55" s="641"/>
      <c r="J55" s="641"/>
    </row>
    <row r="56" spans="2:10" ht="15.75">
      <c r="B56" s="310"/>
      <c r="C56" s="468"/>
      <c r="D56" s="468"/>
      <c r="E56" s="93"/>
      <c r="G56" s="641"/>
      <c r="H56" s="641"/>
      <c r="I56" s="641"/>
      <c r="J56" s="641"/>
    </row>
    <row r="57" spans="2:10" ht="15.75">
      <c r="B57" s="298" t="s">
        <v>680</v>
      </c>
      <c r="C57" s="468"/>
      <c r="D57" s="468"/>
      <c r="E57" s="93"/>
      <c r="G57" s="641"/>
      <c r="H57" s="641"/>
      <c r="I57" s="641"/>
      <c r="J57" s="641"/>
    </row>
    <row r="58" spans="2:10" ht="15.75">
      <c r="B58" s="299" t="s">
        <v>911</v>
      </c>
      <c r="C58" s="468"/>
      <c r="D58" s="468"/>
      <c r="E58" s="93"/>
      <c r="G58" s="641"/>
      <c r="H58" s="641"/>
      <c r="I58" s="641"/>
      <c r="J58" s="641"/>
    </row>
    <row r="59" spans="2:10" ht="15.75">
      <c r="B59" s="299" t="s">
        <v>913</v>
      </c>
      <c r="C59" s="438">
        <f>IF(C60*0.1&lt;C58,"Exceed 10% Rule","")</f>
      </c>
      <c r="D59" s="438">
        <f>IF(D60*0.1&lt;D58,"Exceed 10% Rule","")</f>
      </c>
      <c r="E59" s="327">
        <f>IF(E60*0.1+E80&lt;E58,"Exceed 10% Rule","")</f>
      </c>
      <c r="G59" s="641"/>
      <c r="H59" s="641"/>
      <c r="I59" s="641"/>
      <c r="J59" s="641"/>
    </row>
    <row r="60" spans="2:10" ht="15.75">
      <c r="B60" s="301" t="s">
        <v>681</v>
      </c>
      <c r="C60" s="442">
        <f>SUM(C48:C58)</f>
        <v>3814506</v>
      </c>
      <c r="D60" s="442">
        <f>SUM(D48:D58)</f>
        <v>3059340</v>
      </c>
      <c r="E60" s="347">
        <f>SUM(E48:E58)</f>
        <v>754443</v>
      </c>
      <c r="G60" s="641"/>
      <c r="H60" s="641"/>
      <c r="I60" s="641"/>
      <c r="J60" s="641"/>
    </row>
    <row r="61" spans="2:10" ht="15.75">
      <c r="B61" s="301" t="s">
        <v>682</v>
      </c>
      <c r="C61" s="442">
        <f>C46+C60</f>
        <v>7351621</v>
      </c>
      <c r="D61" s="442">
        <f>D46+D60</f>
        <v>6404631</v>
      </c>
      <c r="E61" s="347">
        <f>E46+E60</f>
        <v>2246514</v>
      </c>
      <c r="G61" s="641"/>
      <c r="H61" s="641"/>
      <c r="I61" s="641"/>
      <c r="J61" s="641"/>
    </row>
    <row r="62" spans="2:10" ht="15.75">
      <c r="B62" s="152" t="s">
        <v>685</v>
      </c>
      <c r="C62" s="299"/>
      <c r="D62" s="299"/>
      <c r="E62" s="162"/>
      <c r="G62" s="641"/>
      <c r="H62" s="641"/>
      <c r="I62" s="641"/>
      <c r="J62" s="641"/>
    </row>
    <row r="63" spans="2:10" ht="15.75">
      <c r="B63" s="310" t="s">
        <v>174</v>
      </c>
      <c r="C63" s="468">
        <v>446933</v>
      </c>
      <c r="D63" s="468">
        <v>510000</v>
      </c>
      <c r="E63" s="93">
        <v>510000</v>
      </c>
      <c r="G63" s="641"/>
      <c r="H63" s="641"/>
      <c r="I63" s="641"/>
      <c r="J63" s="641"/>
    </row>
    <row r="64" spans="2:10" ht="15.75">
      <c r="B64" s="310" t="s">
        <v>175</v>
      </c>
      <c r="C64" s="468">
        <v>499056</v>
      </c>
      <c r="D64" s="468">
        <v>510000</v>
      </c>
      <c r="E64" s="93">
        <v>520000</v>
      </c>
      <c r="G64" s="752" t="str">
        <f>CONCATENATE("Desired Carryover Into ",E1+1,"")</f>
        <v>Desired Carryover Into 2016</v>
      </c>
      <c r="H64" s="753"/>
      <c r="I64" s="753"/>
      <c r="J64" s="754"/>
    </row>
    <row r="65" spans="2:10" ht="15.75">
      <c r="B65" s="310" t="s">
        <v>176</v>
      </c>
      <c r="C65" s="468">
        <v>18879</v>
      </c>
      <c r="D65" s="468">
        <v>150000</v>
      </c>
      <c r="E65" s="93">
        <v>100000</v>
      </c>
      <c r="G65" s="628"/>
      <c r="H65" s="68"/>
      <c r="I65" s="629"/>
      <c r="J65" s="630"/>
    </row>
    <row r="66" spans="2:10" ht="15.75">
      <c r="B66" s="310" t="s">
        <v>177</v>
      </c>
      <c r="C66" s="468">
        <v>46193</v>
      </c>
      <c r="D66" s="468">
        <v>100000</v>
      </c>
      <c r="E66" s="93">
        <v>66970</v>
      </c>
      <c r="G66" s="631" t="s">
        <v>461</v>
      </c>
      <c r="H66" s="629"/>
      <c r="I66" s="629"/>
      <c r="J66" s="632"/>
    </row>
    <row r="67" spans="2:10" ht="15.75">
      <c r="B67" s="310" t="s">
        <v>178</v>
      </c>
      <c r="C67" s="468">
        <v>2995269</v>
      </c>
      <c r="D67" s="468">
        <v>2600000</v>
      </c>
      <c r="E67" s="93">
        <v>3200000</v>
      </c>
      <c r="G67" s="628" t="s">
        <v>462</v>
      </c>
      <c r="H67" s="68"/>
      <c r="I67" s="68"/>
      <c r="J67" s="633">
        <f>IF(J66=0,"",ROUND((J66+E80-G79)/inputOth!E5*1000,3)-G84)</f>
      </c>
    </row>
    <row r="68" spans="2:10" ht="15.75">
      <c r="B68" s="310" t="s">
        <v>102</v>
      </c>
      <c r="C68" s="468">
        <v>0</v>
      </c>
      <c r="D68" s="468">
        <v>1042560</v>
      </c>
      <c r="E68" s="93">
        <v>376860</v>
      </c>
      <c r="G68" s="634" t="str">
        <f>CONCATENATE("",E1," Tot Exp/Non-Appr Must Be:")</f>
        <v>2015 Tot Exp/Non-Appr Must Be:</v>
      </c>
      <c r="H68" s="635"/>
      <c r="I68" s="636"/>
      <c r="J68" s="637">
        <f>IF(J66&gt;0,IF(E77&lt;E61,IF(J66=G79,E77,((J66-G79)*(1-D79))+E61),E77+(J66-G79)),0)</f>
        <v>0</v>
      </c>
    </row>
    <row r="69" spans="2:10" ht="15.75">
      <c r="B69" s="310"/>
      <c r="C69" s="468"/>
      <c r="D69" s="468"/>
      <c r="E69" s="93"/>
      <c r="G69" s="638" t="s">
        <v>598</v>
      </c>
      <c r="H69" s="639"/>
      <c r="I69" s="639"/>
      <c r="J69" s="640">
        <f>IF(J66&gt;0,J68-E77,0)</f>
        <v>0</v>
      </c>
    </row>
    <row r="70" spans="2:10" ht="15.75">
      <c r="B70" s="299" t="s">
        <v>910</v>
      </c>
      <c r="C70" s="468"/>
      <c r="D70" s="468"/>
      <c r="E70" s="97">
        <f>Nhood!E14</f>
        <v>678</v>
      </c>
      <c r="G70" s="641"/>
      <c r="H70" s="641"/>
      <c r="I70" s="641"/>
      <c r="J70" s="641"/>
    </row>
    <row r="71" spans="2:10" ht="15.75">
      <c r="B71" s="299" t="s">
        <v>911</v>
      </c>
      <c r="C71" s="468"/>
      <c r="D71" s="468"/>
      <c r="E71" s="93"/>
      <c r="G71" s="752" t="str">
        <f>CONCATENATE("Projected Carryover Into ",E1+1,"")</f>
        <v>Projected Carryover Into 2016</v>
      </c>
      <c r="H71" s="759"/>
      <c r="I71" s="759"/>
      <c r="J71" s="758"/>
    </row>
    <row r="72" spans="2:10" ht="15.75">
      <c r="B72" s="299" t="s">
        <v>912</v>
      </c>
      <c r="C72" s="438">
        <f>IF(C73*0.1&lt;C71,"Exceed 10% Rule","")</f>
      </c>
      <c r="D72" s="438">
        <f>IF(D73*0.1&lt;D71,"Exceed 10% Rule","")</f>
      </c>
      <c r="E72" s="327">
        <f>IF(E73*0.1&lt;E71,"Exceed 10% Rule","")</f>
      </c>
      <c r="G72" s="281"/>
      <c r="H72" s="68"/>
      <c r="I72" s="68"/>
      <c r="J72" s="661"/>
    </row>
    <row r="73" spans="2:10" ht="15.75">
      <c r="B73" s="301" t="s">
        <v>686</v>
      </c>
      <c r="C73" s="442">
        <f>SUM(C63:C71)</f>
        <v>4006330</v>
      </c>
      <c r="D73" s="442">
        <f>SUM(D63:D71)</f>
        <v>4912560</v>
      </c>
      <c r="E73" s="347">
        <f>SUM(E63:E71)</f>
        <v>4774508</v>
      </c>
      <c r="G73" s="643">
        <f>D74</f>
        <v>1492071</v>
      </c>
      <c r="H73" s="644" t="str">
        <f>CONCATENATE("",E1-1," Ending Cash Balance (est.)")</f>
        <v>2014 Ending Cash Balance (est.)</v>
      </c>
      <c r="I73" s="645"/>
      <c r="J73" s="661"/>
    </row>
    <row r="74" spans="2:10" ht="15.75">
      <c r="B74" s="152" t="s">
        <v>790</v>
      </c>
      <c r="C74" s="437">
        <f>C61-C73</f>
        <v>3345291</v>
      </c>
      <c r="D74" s="437">
        <f>D61-D73</f>
        <v>1492071</v>
      </c>
      <c r="E74" s="320" t="s">
        <v>660</v>
      </c>
      <c r="G74" s="643">
        <f>E60</f>
        <v>754443</v>
      </c>
      <c r="H74" s="629" t="str">
        <f>CONCATENATE("",E1," Non-AV Receipts (est.)")</f>
        <v>2015 Non-AV Receipts (est.)</v>
      </c>
      <c r="I74" s="645"/>
      <c r="J74" s="661"/>
    </row>
    <row r="75" spans="2:11" ht="15.75">
      <c r="B75" s="280" t="str">
        <f>CONCATENATE("",$E$1-2,"/",$E$1-1," Budget Authority Amount:")</f>
        <v>2013/2014 Budget Authority Amount:</v>
      </c>
      <c r="C75" s="272">
        <f>inputOth!B37</f>
        <v>4800000</v>
      </c>
      <c r="D75" s="272">
        <f>inputPrYr!D24</f>
        <v>5012560</v>
      </c>
      <c r="E75" s="320" t="s">
        <v>660</v>
      </c>
      <c r="F75" s="313"/>
      <c r="G75" s="646">
        <f>IF(E79&gt;0,E78,E80)</f>
        <v>2527994</v>
      </c>
      <c r="H75" s="629" t="str">
        <f>CONCATENATE("",E1," Ad Valorem Tax (est.)")</f>
        <v>2015 Ad Valorem Tax (est.)</v>
      </c>
      <c r="I75" s="645"/>
      <c r="J75" s="661"/>
      <c r="K75" s="680" t="str">
        <f>IF(G75=E80,"","Note: Does not include Delinquent Taxes")</f>
        <v>Note: Does not include Delinquent Taxes</v>
      </c>
    </row>
    <row r="76" spans="2:10" ht="15.75">
      <c r="B76" s="280"/>
      <c r="C76" s="745" t="s">
        <v>453</v>
      </c>
      <c r="D76" s="746"/>
      <c r="E76" s="93"/>
      <c r="F76" s="481">
        <f>IF(E73/0.95-E73&lt;E76,"Exceeds 5%","")</f>
      </c>
      <c r="G76" s="662">
        <f>SUM(G73:G75)</f>
        <v>4774508</v>
      </c>
      <c r="H76" s="629" t="str">
        <f>CONCATENATE("Total ",E1," Resources Available")</f>
        <v>Total 2015 Resources Available</v>
      </c>
      <c r="I76" s="169"/>
      <c r="J76" s="661"/>
    </row>
    <row r="77" spans="2:10" ht="15.75">
      <c r="B77" s="475" t="str">
        <f>CONCATENATE(C90,"      ",D90)</f>
        <v>      </v>
      </c>
      <c r="C77" s="747" t="s">
        <v>454</v>
      </c>
      <c r="D77" s="748"/>
      <c r="E77" s="258">
        <f>E73+E76</f>
        <v>4774508</v>
      </c>
      <c r="G77" s="663"/>
      <c r="H77" s="664"/>
      <c r="I77" s="68"/>
      <c r="J77" s="661"/>
    </row>
    <row r="78" spans="2:10" ht="15.75">
      <c r="B78" s="475" t="str">
        <f>CONCATENATE(C91,"      ",D91)</f>
        <v>      </v>
      </c>
      <c r="C78" s="314"/>
      <c r="D78" s="106" t="s">
        <v>687</v>
      </c>
      <c r="E78" s="97">
        <f>IF(E77-E61&gt;0,E77-E61,0)</f>
        <v>2527994</v>
      </c>
      <c r="G78" s="665">
        <f>ROUND(C73*0.05+C73,0)</f>
        <v>4206647</v>
      </c>
      <c r="H78" s="629" t="str">
        <f>CONCATENATE("Less ",E1-2," Expenditures + 5%")</f>
        <v>Less 2013 Expenditures + 5%</v>
      </c>
      <c r="I78" s="169"/>
      <c r="J78" s="661"/>
    </row>
    <row r="79" spans="2:10" ht="15.75">
      <c r="B79" s="106"/>
      <c r="C79" s="457" t="s">
        <v>455</v>
      </c>
      <c r="D79" s="683">
        <f>inputOth!$E$22</f>
        <v>0.07</v>
      </c>
      <c r="E79" s="258">
        <f>ROUND(IF(D79&gt;0,(E78*D79),0),0)</f>
        <v>176960</v>
      </c>
      <c r="G79" s="666">
        <f>G76-G78</f>
        <v>567861</v>
      </c>
      <c r="H79" s="649" t="str">
        <f>CONCATENATE("Projected ",E1+1," carryover (est.)")</f>
        <v>Projected 2016 carryover (est.)</v>
      </c>
      <c r="I79" s="667"/>
      <c r="J79" s="668"/>
    </row>
    <row r="80" spans="2:10" ht="15.75">
      <c r="B80" s="66"/>
      <c r="C80" s="743" t="str">
        <f>CONCATENATE("Amount of  ",$E$1-1," Ad Valorem Tax")</f>
        <v>Amount of  2014 Ad Valorem Tax</v>
      </c>
      <c r="D80" s="744"/>
      <c r="E80" s="332">
        <f>E78+E79</f>
        <v>2704954</v>
      </c>
      <c r="G80" s="641"/>
      <c r="H80" s="641"/>
      <c r="I80" s="641"/>
      <c r="J80" s="641"/>
    </row>
    <row r="81" spans="2:10" ht="15.75">
      <c r="B81" s="315" t="s">
        <v>700</v>
      </c>
      <c r="C81" s="333">
        <v>12</v>
      </c>
      <c r="D81" s="66"/>
      <c r="E81" s="66"/>
      <c r="G81" s="749" t="s">
        <v>599</v>
      </c>
      <c r="H81" s="750"/>
      <c r="I81" s="750"/>
      <c r="J81" s="751"/>
    </row>
    <row r="82" spans="7:10" ht="15.75">
      <c r="G82" s="652"/>
      <c r="H82" s="644"/>
      <c r="I82" s="653"/>
      <c r="J82" s="654"/>
    </row>
    <row r="83" spans="7:10" ht="15.75">
      <c r="G83" s="655">
        <f>summ!H24</f>
        <v>9.425</v>
      </c>
      <c r="H83" s="644" t="str">
        <f>CONCATENATE("",E1," Fund Mill Rate")</f>
        <v>2015 Fund Mill Rate</v>
      </c>
      <c r="I83" s="653"/>
      <c r="J83" s="654"/>
    </row>
    <row r="84" spans="7:10" ht="15.75">
      <c r="G84" s="656">
        <f>summ!E24</f>
        <v>8.893</v>
      </c>
      <c r="H84" s="644" t="str">
        <f>CONCATENATE("",E1-1," Fund Mill Rate")</f>
        <v>2014 Fund Mill Rate</v>
      </c>
      <c r="I84" s="653"/>
      <c r="J84" s="654"/>
    </row>
    <row r="85" spans="7:10" ht="15.75">
      <c r="G85" s="657">
        <f>summ!H52</f>
        <v>42.268</v>
      </c>
      <c r="H85" s="644" t="str">
        <f>CONCATENATE("Total ",E1," Mill Rate")</f>
        <v>Total 2015 Mill Rate</v>
      </c>
      <c r="I85" s="653"/>
      <c r="J85" s="654"/>
    </row>
    <row r="86" spans="7:10" ht="15.75">
      <c r="G86" s="656">
        <f>summ!E52</f>
        <v>40.64399999999999</v>
      </c>
      <c r="H86" s="658" t="str">
        <f>CONCATENATE("Total ",E1-1," Mill Rate")</f>
        <v>Total 2014 Mill Rate</v>
      </c>
      <c r="I86" s="659"/>
      <c r="J86" s="660"/>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row r="92" spans="7:9" ht="15.75">
      <c r="G92" s="696" t="s">
        <v>53</v>
      </c>
      <c r="H92" s="695"/>
      <c r="I92" s="694" t="str">
        <f>cert!F60</f>
        <v>Yes</v>
      </c>
    </row>
  </sheetData>
  <sheetProtection sheet="1"/>
  <mergeCells count="12">
    <mergeCell ref="G24:J24"/>
    <mergeCell ref="G31:J31"/>
    <mergeCell ref="G41:J41"/>
    <mergeCell ref="G64:J64"/>
    <mergeCell ref="G71:J71"/>
    <mergeCell ref="C36:D36"/>
    <mergeCell ref="C37:D37"/>
    <mergeCell ref="C76:D76"/>
    <mergeCell ref="C77:D77"/>
    <mergeCell ref="G81:J81"/>
    <mergeCell ref="C80:D80"/>
    <mergeCell ref="C40:D40"/>
  </mergeCells>
  <conditionalFormatting sqref="E36">
    <cfRule type="cellIs" priority="3" dxfId="309" operator="greaterThan" stopIfTrue="1">
      <formula>$E$33/0.95-$E$33</formula>
    </cfRule>
  </conditionalFormatting>
  <conditionalFormatting sqref="E76">
    <cfRule type="cellIs" priority="4" dxfId="309" operator="greaterThan" stopIfTrue="1">
      <formula>$E$73/0.95-$E$73</formula>
    </cfRule>
  </conditionalFormatting>
  <conditionalFormatting sqref="E71">
    <cfRule type="cellIs" priority="5" dxfId="309" operator="greaterThan" stopIfTrue="1">
      <formula>$E$73*0.1</formula>
    </cfRule>
  </conditionalFormatting>
  <conditionalFormatting sqref="C18">
    <cfRule type="cellIs" priority="6" dxfId="309" operator="greaterThan" stopIfTrue="1">
      <formula>$C$20*0.1</formula>
    </cfRule>
  </conditionalFormatting>
  <conditionalFormatting sqref="D18">
    <cfRule type="cellIs" priority="7" dxfId="309" operator="greaterThan" stopIfTrue="1">
      <formula>$D$20*0.1</formula>
    </cfRule>
  </conditionalFormatting>
  <conditionalFormatting sqref="E31">
    <cfRule type="cellIs" priority="8" dxfId="309" operator="greaterThan" stopIfTrue="1">
      <formula>$E$33*0.1</formula>
    </cfRule>
  </conditionalFormatting>
  <conditionalFormatting sqref="E18">
    <cfRule type="cellIs" priority="9" dxfId="309" operator="greaterThan" stopIfTrue="1">
      <formula>$E$20*0.1+E40</formula>
    </cfRule>
  </conditionalFormatting>
  <conditionalFormatting sqref="E58">
    <cfRule type="cellIs" priority="10" dxfId="309"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1"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3">
      <selection activeCell="E26" sqref="E26"/>
    </sheetView>
  </sheetViews>
  <sheetFormatPr defaultColWidth="8.796875" defaultRowHeight="15"/>
  <cols>
    <col min="1" max="1" width="2.3984375" style="52" customWidth="1"/>
    <col min="2" max="2" width="31.09765625" style="52" customWidth="1"/>
    <col min="3" max="4" width="15.796875" style="52" customWidth="1"/>
    <col min="5" max="5" width="16.296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472" t="s">
        <v>748</v>
      </c>
      <c r="C3" s="144"/>
      <c r="D3" s="144"/>
      <c r="E3" s="144"/>
    </row>
    <row r="4" spans="2:5" ht="15.75">
      <c r="B4" s="65" t="s">
        <v>672</v>
      </c>
      <c r="C4" s="624" t="s">
        <v>595</v>
      </c>
      <c r="D4" s="625" t="s">
        <v>596</v>
      </c>
      <c r="E4" s="148" t="s">
        <v>597</v>
      </c>
    </row>
    <row r="5" spans="2:5" ht="15.75">
      <c r="B5" s="460" t="str">
        <f>inputPrYr!$B$25</f>
        <v>Noxious Weed</v>
      </c>
      <c r="C5" s="440" t="str">
        <f>CONCATENATE("Actual for ",E1-2,"")</f>
        <v>Actual for 2013</v>
      </c>
      <c r="D5" s="440" t="str">
        <f>CONCATENATE("Estimate for ",E1-1,"")</f>
        <v>Estimate for 2014</v>
      </c>
      <c r="E5" s="293" t="str">
        <f>CONCATENATE("Year for ",E1,"")</f>
        <v>Year for 2015</v>
      </c>
    </row>
    <row r="6" spans="2:5" ht="15.75">
      <c r="B6" s="152" t="s">
        <v>789</v>
      </c>
      <c r="C6" s="468">
        <v>184301</v>
      </c>
      <c r="D6" s="439">
        <f>C34</f>
        <v>190321</v>
      </c>
      <c r="E6" s="258">
        <f>D34</f>
        <v>68393</v>
      </c>
    </row>
    <row r="7" spans="2:5" ht="15.75">
      <c r="B7" s="283" t="s">
        <v>791</v>
      </c>
      <c r="C7" s="166"/>
      <c r="D7" s="166"/>
      <c r="E7" s="109"/>
    </row>
    <row r="8" spans="2:5" ht="15.75">
      <c r="B8" s="152" t="s">
        <v>673</v>
      </c>
      <c r="C8" s="468">
        <v>149754</v>
      </c>
      <c r="D8" s="439">
        <v>81781</v>
      </c>
      <c r="E8" s="320" t="s">
        <v>660</v>
      </c>
    </row>
    <row r="9" spans="2:5" ht="15.75">
      <c r="B9" s="152" t="s">
        <v>674</v>
      </c>
      <c r="C9" s="468">
        <v>3470</v>
      </c>
      <c r="D9" s="468">
        <v>2000</v>
      </c>
      <c r="E9" s="93">
        <v>2000</v>
      </c>
    </row>
    <row r="10" spans="2:5" ht="15.75">
      <c r="B10" s="152" t="s">
        <v>675</v>
      </c>
      <c r="C10" s="468">
        <v>9620</v>
      </c>
      <c r="D10" s="468">
        <v>12833</v>
      </c>
      <c r="E10" s="258">
        <f>mvalloc!E19</f>
        <v>9739</v>
      </c>
    </row>
    <row r="11" spans="2:5" ht="15.75">
      <c r="B11" s="152" t="s">
        <v>676</v>
      </c>
      <c r="C11" s="468">
        <v>121</v>
      </c>
      <c r="D11" s="468">
        <v>161</v>
      </c>
      <c r="E11" s="258">
        <f>mvalloc!F19</f>
        <v>104</v>
      </c>
    </row>
    <row r="12" spans="2:5" ht="15.75">
      <c r="B12" s="166" t="s">
        <v>740</v>
      </c>
      <c r="C12" s="468">
        <v>340</v>
      </c>
      <c r="D12" s="468">
        <v>401</v>
      </c>
      <c r="E12" s="258">
        <f>mvalloc!G19</f>
        <v>262</v>
      </c>
    </row>
    <row r="13" spans="2:5" ht="15.75">
      <c r="B13" s="310" t="s">
        <v>100</v>
      </c>
      <c r="C13" s="468">
        <v>332</v>
      </c>
      <c r="D13" s="468">
        <v>200</v>
      </c>
      <c r="E13" s="93">
        <v>200</v>
      </c>
    </row>
    <row r="14" spans="2:5" ht="15.75">
      <c r="B14" s="310" t="s">
        <v>172</v>
      </c>
      <c r="C14" s="468">
        <v>54</v>
      </c>
      <c r="D14" s="468">
        <v>50</v>
      </c>
      <c r="E14" s="93">
        <v>50</v>
      </c>
    </row>
    <row r="15" spans="2:5" ht="15.75">
      <c r="B15" s="310" t="s">
        <v>179</v>
      </c>
      <c r="C15" s="468">
        <v>74191</v>
      </c>
      <c r="D15" s="468">
        <v>65000</v>
      </c>
      <c r="E15" s="93">
        <v>65000</v>
      </c>
    </row>
    <row r="16" spans="2:5" ht="15.75">
      <c r="B16" s="310" t="s">
        <v>98</v>
      </c>
      <c r="C16" s="468">
        <v>2738</v>
      </c>
      <c r="D16" s="468">
        <v>0</v>
      </c>
      <c r="E16" s="93">
        <v>0</v>
      </c>
    </row>
    <row r="17" spans="2:5" ht="15.75">
      <c r="B17" s="298" t="s">
        <v>680</v>
      </c>
      <c r="C17" s="468">
        <v>0</v>
      </c>
      <c r="D17" s="468">
        <v>0</v>
      </c>
      <c r="E17" s="93"/>
    </row>
    <row r="18" spans="2:5" ht="15.75">
      <c r="B18" s="299" t="s">
        <v>911</v>
      </c>
      <c r="C18" s="468"/>
      <c r="D18" s="468">
        <v>0</v>
      </c>
      <c r="E18" s="93"/>
    </row>
    <row r="19" spans="2:5" ht="15.75">
      <c r="B19" s="299" t="s">
        <v>913</v>
      </c>
      <c r="C19" s="438">
        <f>IF(C20*0.1&lt;C18,"Exceed 10% Rule","")</f>
      </c>
      <c r="D19" s="438">
        <f>IF(D20*0.1&lt;D18,"Exceed 10% Rule","")</f>
      </c>
      <c r="E19" s="327">
        <f>IF(E20*0.1+E40&lt;E18,"Exceed 10% Rule","")</f>
      </c>
    </row>
    <row r="20" spans="2:5" ht="15.75">
      <c r="B20" s="301" t="s">
        <v>681</v>
      </c>
      <c r="C20" s="442">
        <f>SUM(C8:C18)</f>
        <v>240620</v>
      </c>
      <c r="D20" s="442">
        <f>SUM(D8:D18)</f>
        <v>162426</v>
      </c>
      <c r="E20" s="347">
        <f>SUM(E8:E18)</f>
        <v>77355</v>
      </c>
    </row>
    <row r="21" spans="2:5" ht="15.75">
      <c r="B21" s="301" t="s">
        <v>682</v>
      </c>
      <c r="C21" s="442">
        <f>C6+C20</f>
        <v>424921</v>
      </c>
      <c r="D21" s="442">
        <f>D6+D20</f>
        <v>352747</v>
      </c>
      <c r="E21" s="347">
        <f>E6+E20</f>
        <v>145748</v>
      </c>
    </row>
    <row r="22" spans="2:5" ht="15.75">
      <c r="B22" s="152" t="s">
        <v>685</v>
      </c>
      <c r="C22" s="299"/>
      <c r="D22" s="299"/>
      <c r="E22" s="162"/>
    </row>
    <row r="23" spans="2:5" ht="15.75">
      <c r="B23" s="310" t="s">
        <v>166</v>
      </c>
      <c r="C23" s="468">
        <v>85223</v>
      </c>
      <c r="D23" s="468">
        <v>88104</v>
      </c>
      <c r="E23" s="93">
        <v>86267</v>
      </c>
    </row>
    <row r="24" spans="2:10" ht="15.75">
      <c r="B24" s="310" t="s">
        <v>167</v>
      </c>
      <c r="C24" s="468">
        <v>10188</v>
      </c>
      <c r="D24" s="468">
        <v>13500</v>
      </c>
      <c r="E24" s="93">
        <v>13500</v>
      </c>
      <c r="G24" s="752" t="str">
        <f>CONCATENATE("Desired Carryover Into ",E1+1,"")</f>
        <v>Desired Carryover Into 2016</v>
      </c>
      <c r="H24" s="753"/>
      <c r="I24" s="753"/>
      <c r="J24" s="754"/>
    </row>
    <row r="25" spans="2:10" ht="15.75">
      <c r="B25" s="310" t="s">
        <v>168</v>
      </c>
      <c r="C25" s="468">
        <v>139189</v>
      </c>
      <c r="D25" s="468">
        <v>108590</v>
      </c>
      <c r="E25" s="93">
        <v>108590</v>
      </c>
      <c r="G25" s="628"/>
      <c r="H25" s="68"/>
      <c r="I25" s="629"/>
      <c r="J25" s="630"/>
    </row>
    <row r="26" spans="2:10" ht="15.75">
      <c r="B26" s="310" t="s">
        <v>169</v>
      </c>
      <c r="C26" s="468">
        <v>0</v>
      </c>
      <c r="D26" s="468">
        <v>0</v>
      </c>
      <c r="E26" s="93">
        <v>0</v>
      </c>
      <c r="G26" s="631" t="s">
        <v>461</v>
      </c>
      <c r="H26" s="629"/>
      <c r="I26" s="629"/>
      <c r="J26" s="632">
        <v>0</v>
      </c>
    </row>
    <row r="27" spans="2:10" ht="15.75">
      <c r="B27" s="310" t="s">
        <v>102</v>
      </c>
      <c r="C27" s="468">
        <v>0</v>
      </c>
      <c r="D27" s="468">
        <v>74160</v>
      </c>
      <c r="E27" s="93">
        <v>18960</v>
      </c>
      <c r="G27" s="628" t="s">
        <v>462</v>
      </c>
      <c r="H27" s="68"/>
      <c r="I27" s="68"/>
      <c r="J27" s="633">
        <f>IF(J26=0,"",ROUND((J26+E40-G39)/inputOth!E5*1000,3)-G44)</f>
      </c>
    </row>
    <row r="28" spans="2:10" ht="15.75">
      <c r="B28" s="310"/>
      <c r="C28" s="468"/>
      <c r="D28" s="468"/>
      <c r="E28" s="93"/>
      <c r="G28" s="634" t="str">
        <f>CONCATENATE("",E1," Tot Exp/Non-Appr Must Be:")</f>
        <v>2015 Tot Exp/Non-Appr Must Be:</v>
      </c>
      <c r="H28" s="635"/>
      <c r="I28" s="636"/>
      <c r="J28" s="637">
        <f>IF(J26&gt;0,IF(E37&lt;E21,IF(J26=G39,E37,((J26-G39)*(1-D39))+E21),E37+(J26-G39)),0)</f>
        <v>0</v>
      </c>
    </row>
    <row r="29" spans="2:10" ht="15.75">
      <c r="B29" s="310"/>
      <c r="C29" s="468"/>
      <c r="D29" s="468"/>
      <c r="E29" s="93"/>
      <c r="G29" s="638" t="s">
        <v>598</v>
      </c>
      <c r="H29" s="639"/>
      <c r="I29" s="639"/>
      <c r="J29" s="640">
        <f>IF(J26&gt;0,J28-E37,0)</f>
        <v>0</v>
      </c>
    </row>
    <row r="30" spans="2:10" ht="15.75">
      <c r="B30" s="299" t="s">
        <v>910</v>
      </c>
      <c r="C30" s="468"/>
      <c r="D30" s="468"/>
      <c r="E30" s="97">
        <f>Nhood!E15</f>
        <v>22</v>
      </c>
      <c r="G30" s="641"/>
      <c r="H30" s="641"/>
      <c r="I30" s="641"/>
      <c r="J30" s="641"/>
    </row>
    <row r="31" spans="2:10" ht="15.75">
      <c r="B31" s="299" t="s">
        <v>911</v>
      </c>
      <c r="C31" s="468"/>
      <c r="D31" s="468"/>
      <c r="E31" s="93"/>
      <c r="G31" s="752" t="str">
        <f>CONCATENATE("Projected Carryover Into ",E1+1,"")</f>
        <v>Projected Carryover Into 2016</v>
      </c>
      <c r="H31" s="757"/>
      <c r="I31" s="757"/>
      <c r="J31" s="758"/>
    </row>
    <row r="32" spans="2:10" ht="15.75">
      <c r="B32" s="299" t="s">
        <v>912</v>
      </c>
      <c r="C32" s="438">
        <f>IF(C33*0.1&lt;C31,"Exceed 10% Rule","")</f>
      </c>
      <c r="D32" s="438">
        <f>IF(D33*0.1&lt;D31,"Exceed 10% Rule","")</f>
      </c>
      <c r="E32" s="327">
        <f>IF(E33*0.1&lt;E31,"Exceed 10% Rule","")</f>
      </c>
      <c r="G32" s="628"/>
      <c r="H32" s="629"/>
      <c r="I32" s="629"/>
      <c r="J32" s="642"/>
    </row>
    <row r="33" spans="2:10" ht="15.75">
      <c r="B33" s="301" t="s">
        <v>686</v>
      </c>
      <c r="C33" s="442">
        <f>SUM(C23:C31)</f>
        <v>234600</v>
      </c>
      <c r="D33" s="442">
        <f>SUM(D23:D31)</f>
        <v>284354</v>
      </c>
      <c r="E33" s="347">
        <f>SUM(E23:E31)</f>
        <v>227339</v>
      </c>
      <c r="G33" s="643">
        <f>D34</f>
        <v>68393</v>
      </c>
      <c r="H33" s="644" t="str">
        <f>CONCATENATE("",E1-1," Ending Cash Balance (est.)")</f>
        <v>2014 Ending Cash Balance (est.)</v>
      </c>
      <c r="I33" s="645"/>
      <c r="J33" s="642"/>
    </row>
    <row r="34" spans="2:10" ht="15.75">
      <c r="B34" s="152" t="s">
        <v>790</v>
      </c>
      <c r="C34" s="437">
        <f>C21-C33</f>
        <v>190321</v>
      </c>
      <c r="D34" s="437">
        <f>D21-D33</f>
        <v>68393</v>
      </c>
      <c r="E34" s="320" t="s">
        <v>660</v>
      </c>
      <c r="G34" s="643">
        <f>E20</f>
        <v>77355</v>
      </c>
      <c r="H34" s="629" t="str">
        <f>CONCATENATE("",E1," Non-AV Receipts (est.)")</f>
        <v>2015 Non-AV Receipts (est.)</v>
      </c>
      <c r="I34" s="645"/>
      <c r="J34" s="642"/>
    </row>
    <row r="35" spans="2:11" ht="15.75">
      <c r="B35" s="280" t="str">
        <f>CONCATENATE("",$E$1-2,"/",$E$1-1," Budget Authority Amount:")</f>
        <v>2013/2014 Budget Authority Amount:</v>
      </c>
      <c r="C35" s="272">
        <f>inputOth!B38</f>
        <v>291650</v>
      </c>
      <c r="D35" s="272">
        <f>inputPrYr!D25</f>
        <v>284354</v>
      </c>
      <c r="E35" s="320" t="s">
        <v>660</v>
      </c>
      <c r="F35" s="313"/>
      <c r="G35" s="646">
        <f>IF(E39&gt;0,E38,E40)</f>
        <v>81591</v>
      </c>
      <c r="H35" s="629" t="str">
        <f>CONCATENATE("",E1," Ad Valorem Tax (est.)")</f>
        <v>2015 Ad Valorem Tax (est.)</v>
      </c>
      <c r="I35" s="645"/>
      <c r="J35" s="642"/>
      <c r="K35" s="680" t="str">
        <f>IF(G35=E40,"","Note: Does not include Delinquent Taxes")</f>
        <v>Note: Does not include Delinquent Taxes</v>
      </c>
    </row>
    <row r="36" spans="2:10" ht="15.75">
      <c r="B36" s="280"/>
      <c r="C36" s="745" t="s">
        <v>453</v>
      </c>
      <c r="D36" s="746"/>
      <c r="E36" s="93"/>
      <c r="F36" s="481">
        <f>IF(E33/0.95-E33&lt;E36,"Exceeds 5%","")</f>
      </c>
      <c r="G36" s="643">
        <f>SUM(G33:G35)</f>
        <v>227339</v>
      </c>
      <c r="H36" s="629" t="str">
        <f>CONCATENATE("Total ",E1," Resources Available")</f>
        <v>Total 2015 Resources Available</v>
      </c>
      <c r="I36" s="645"/>
      <c r="J36" s="642"/>
    </row>
    <row r="37" spans="2:10" ht="15.75">
      <c r="B37" s="475" t="str">
        <f>CONCATENATE(C88,"     ",D88)</f>
        <v>     </v>
      </c>
      <c r="C37" s="747" t="s">
        <v>454</v>
      </c>
      <c r="D37" s="748"/>
      <c r="E37" s="258">
        <f>E33+E36</f>
        <v>227339</v>
      </c>
      <c r="G37" s="647"/>
      <c r="H37" s="629"/>
      <c r="I37" s="629"/>
      <c r="J37" s="642"/>
    </row>
    <row r="38" spans="2:10" ht="15.75">
      <c r="B38" s="475" t="str">
        <f>CONCATENATE(C89,"      ",D89)</f>
        <v>      </v>
      </c>
      <c r="C38" s="314"/>
      <c r="D38" s="106" t="s">
        <v>687</v>
      </c>
      <c r="E38" s="97">
        <f>IF(E37-E21&gt;0,E37-E21,0)</f>
        <v>81591</v>
      </c>
      <c r="G38" s="646">
        <f>ROUND(C33*0.05+C33,0)</f>
        <v>246330</v>
      </c>
      <c r="H38" s="629" t="str">
        <f>CONCATENATE("Less ",E1-2," Expenditures + 5%")</f>
        <v>Less 2013 Expenditures + 5%</v>
      </c>
      <c r="I38" s="645"/>
      <c r="J38" s="661"/>
    </row>
    <row r="39" spans="2:10" ht="15.75">
      <c r="B39" s="106"/>
      <c r="C39" s="457" t="s">
        <v>455</v>
      </c>
      <c r="D39" s="683">
        <f>inputOth!$E$22</f>
        <v>0.07</v>
      </c>
      <c r="E39" s="258">
        <f>ROUND(IF(D39&gt;0,(E38*D39),0),0)</f>
        <v>5711</v>
      </c>
      <c r="G39" s="648">
        <f>G36-G38</f>
        <v>-18991</v>
      </c>
      <c r="H39" s="649" t="str">
        <f>CONCATENATE("Projected ",E1+1," carryover (est.)")</f>
        <v>Projected 2016 carryover (est.)</v>
      </c>
      <c r="I39" s="650"/>
      <c r="J39" s="651"/>
    </row>
    <row r="40" spans="2:10" ht="15.75">
      <c r="B40" s="66"/>
      <c r="C40" s="743" t="str">
        <f>CONCATENATE("Amount of  ",$E$1-1," Ad Valorem Tax")</f>
        <v>Amount of  2014 Ad Valorem Tax</v>
      </c>
      <c r="D40" s="744"/>
      <c r="E40" s="332">
        <f>E38+E39</f>
        <v>87302</v>
      </c>
      <c r="G40" s="641"/>
      <c r="H40" s="641"/>
      <c r="I40" s="641"/>
      <c r="J40" s="641"/>
    </row>
    <row r="41" spans="2:10" ht="15.75">
      <c r="B41" s="66"/>
      <c r="C41" s="607"/>
      <c r="D41" s="66"/>
      <c r="E41" s="66"/>
      <c r="G41" s="749" t="s">
        <v>599</v>
      </c>
      <c r="H41" s="750"/>
      <c r="I41" s="750"/>
      <c r="J41" s="751"/>
    </row>
    <row r="42" spans="2:10" ht="15.75">
      <c r="B42" s="66"/>
      <c r="C42" s="607"/>
      <c r="D42" s="66"/>
      <c r="E42" s="66"/>
      <c r="G42" s="652"/>
      <c r="H42" s="644"/>
      <c r="I42" s="653"/>
      <c r="J42" s="654"/>
    </row>
    <row r="43" spans="2:10" ht="15.75">
      <c r="B43" s="66"/>
      <c r="C43" s="144"/>
      <c r="D43" s="144"/>
      <c r="E43" s="144"/>
      <c r="G43" s="655">
        <f>summ!H25</f>
        <v>0.304</v>
      </c>
      <c r="H43" s="644" t="str">
        <f>CONCATENATE("",E1," Fund Mill Rate")</f>
        <v>2015 Fund Mill Rate</v>
      </c>
      <c r="I43" s="653"/>
      <c r="J43" s="654"/>
    </row>
    <row r="44" spans="2:10" ht="15.75">
      <c r="B44" s="65" t="s">
        <v>672</v>
      </c>
      <c r="C44" s="624" t="str">
        <f aca="true" t="shared" si="0" ref="C44:E45">C4</f>
        <v>Prior Year </v>
      </c>
      <c r="D44" s="625" t="str">
        <f t="shared" si="0"/>
        <v>Current Year </v>
      </c>
      <c r="E44" s="148" t="str">
        <f t="shared" si="0"/>
        <v>Proposed Budget </v>
      </c>
      <c r="G44" s="656">
        <f>summ!E25</f>
        <v>0.299</v>
      </c>
      <c r="H44" s="644" t="str">
        <f>CONCATENATE("",E1-1," Fund Mill Rate")</f>
        <v>2014 Fund Mill Rate</v>
      </c>
      <c r="I44" s="653"/>
      <c r="J44" s="654"/>
    </row>
    <row r="45" spans="2:10" ht="15.75">
      <c r="B45" s="460" t="str">
        <f>inputPrYr!$B$26</f>
        <v>.Ambulance Services</v>
      </c>
      <c r="C45" s="440" t="str">
        <f t="shared" si="0"/>
        <v>Actual for 2013</v>
      </c>
      <c r="D45" s="440" t="str">
        <f t="shared" si="0"/>
        <v>Estimate for 2014</v>
      </c>
      <c r="E45" s="305" t="str">
        <f t="shared" si="0"/>
        <v>Year for 2015</v>
      </c>
      <c r="G45" s="657">
        <f>summ!H52</f>
        <v>42.268</v>
      </c>
      <c r="H45" s="644" t="str">
        <f>CONCATENATE("Total ",E1," Mill Rate")</f>
        <v>Total 2015 Mill Rate</v>
      </c>
      <c r="I45" s="653"/>
      <c r="J45" s="654"/>
    </row>
    <row r="46" spans="2:10" ht="15.75">
      <c r="B46" s="152" t="s">
        <v>789</v>
      </c>
      <c r="C46" s="468">
        <v>414213</v>
      </c>
      <c r="D46" s="439">
        <f>C74</f>
        <v>466217</v>
      </c>
      <c r="E46" s="258">
        <f>D74</f>
        <v>137201</v>
      </c>
      <c r="G46" s="656">
        <f>summ!E52</f>
        <v>40.64399999999999</v>
      </c>
      <c r="H46" s="658" t="str">
        <f>CONCATENATE("Total ",E1-1," Mill Rate")</f>
        <v>Total 2014 Mill Rate</v>
      </c>
      <c r="I46" s="659"/>
      <c r="J46" s="660"/>
    </row>
    <row r="47" spans="2:10" ht="15.75">
      <c r="B47" s="294" t="s">
        <v>791</v>
      </c>
      <c r="C47" s="166"/>
      <c r="D47" s="166"/>
      <c r="E47" s="109"/>
      <c r="G47" s="641"/>
      <c r="H47" s="641"/>
      <c r="I47" s="641"/>
      <c r="J47" s="641"/>
    </row>
    <row r="48" spans="2:10" ht="15.75">
      <c r="B48" s="152" t="s">
        <v>673</v>
      </c>
      <c r="C48" s="468">
        <v>530441</v>
      </c>
      <c r="D48" s="439">
        <v>350990</v>
      </c>
      <c r="E48" s="320" t="s">
        <v>660</v>
      </c>
      <c r="G48" s="696" t="s">
        <v>53</v>
      </c>
      <c r="H48" s="695"/>
      <c r="I48" s="694" t="str">
        <f>cert!F60</f>
        <v>Yes</v>
      </c>
      <c r="J48" s="641"/>
    </row>
    <row r="49" spans="2:10" ht="15.75">
      <c r="B49" s="152" t="s">
        <v>674</v>
      </c>
      <c r="C49" s="468">
        <v>13297</v>
      </c>
      <c r="D49" s="468">
        <v>10000</v>
      </c>
      <c r="E49" s="93">
        <v>8000</v>
      </c>
      <c r="G49" s="641"/>
      <c r="H49" s="641"/>
      <c r="I49" s="641"/>
      <c r="J49" s="641"/>
    </row>
    <row r="50" spans="2:10" ht="15.75">
      <c r="B50" s="152" t="s">
        <v>675</v>
      </c>
      <c r="C50" s="468">
        <v>46242</v>
      </c>
      <c r="D50" s="468">
        <v>45471</v>
      </c>
      <c r="E50" s="258">
        <f>mvalloc!E20</f>
        <v>44036</v>
      </c>
      <c r="G50" s="641"/>
      <c r="H50" s="641"/>
      <c r="I50" s="641"/>
      <c r="J50" s="641"/>
    </row>
    <row r="51" spans="2:10" ht="15.75">
      <c r="B51" s="152" t="s">
        <v>676</v>
      </c>
      <c r="C51" s="468">
        <v>581</v>
      </c>
      <c r="D51" s="468">
        <v>571</v>
      </c>
      <c r="E51" s="258">
        <f>mvalloc!F20</f>
        <v>469</v>
      </c>
      <c r="G51" s="641"/>
      <c r="H51" s="641"/>
      <c r="I51" s="641"/>
      <c r="J51" s="641"/>
    </row>
    <row r="52" spans="2:10" ht="15.75">
      <c r="B52" s="166" t="s">
        <v>740</v>
      </c>
      <c r="C52" s="468">
        <v>1444</v>
      </c>
      <c r="D52" s="468">
        <v>1420</v>
      </c>
      <c r="E52" s="258">
        <f>mvalloc!G20</f>
        <v>1186</v>
      </c>
      <c r="G52" s="641"/>
      <c r="H52" s="641"/>
      <c r="I52" s="641"/>
      <c r="J52" s="641"/>
    </row>
    <row r="53" spans="2:10" ht="15.75">
      <c r="B53" s="310" t="s">
        <v>172</v>
      </c>
      <c r="C53" s="468">
        <v>260</v>
      </c>
      <c r="D53" s="468">
        <v>250</v>
      </c>
      <c r="E53" s="93">
        <v>250</v>
      </c>
      <c r="G53" s="641"/>
      <c r="H53" s="641"/>
      <c r="I53" s="641"/>
      <c r="J53" s="641"/>
    </row>
    <row r="54" spans="2:10" ht="15.75">
      <c r="B54" s="310" t="s">
        <v>180</v>
      </c>
      <c r="C54" s="468">
        <v>1176</v>
      </c>
      <c r="D54" s="468">
        <v>700</v>
      </c>
      <c r="E54" s="93">
        <v>500</v>
      </c>
      <c r="G54" s="641"/>
      <c r="H54" s="641"/>
      <c r="I54" s="641"/>
      <c r="J54" s="641"/>
    </row>
    <row r="55" spans="2:10" ht="15.75">
      <c r="B55" s="310"/>
      <c r="C55" s="468"/>
      <c r="D55" s="468"/>
      <c r="E55" s="93"/>
      <c r="G55" s="641"/>
      <c r="H55" s="641"/>
      <c r="I55" s="641"/>
      <c r="J55" s="641"/>
    </row>
    <row r="56" spans="2:10" ht="15.75">
      <c r="B56" s="310"/>
      <c r="C56" s="468"/>
      <c r="D56" s="468"/>
      <c r="E56" s="93"/>
      <c r="G56" s="641"/>
      <c r="H56" s="641"/>
      <c r="I56" s="641"/>
      <c r="J56" s="641"/>
    </row>
    <row r="57" spans="2:10" ht="15.75">
      <c r="B57" s="298" t="s">
        <v>680</v>
      </c>
      <c r="C57" s="468">
        <v>0</v>
      </c>
      <c r="D57" s="468"/>
      <c r="E57" s="93"/>
      <c r="G57" s="641"/>
      <c r="H57" s="641"/>
      <c r="I57" s="641"/>
      <c r="J57" s="641"/>
    </row>
    <row r="58" spans="2:10" ht="15.75">
      <c r="B58" s="299" t="s">
        <v>911</v>
      </c>
      <c r="C58" s="468"/>
      <c r="D58" s="468"/>
      <c r="E58" s="93"/>
      <c r="G58" s="641"/>
      <c r="H58" s="641"/>
      <c r="I58" s="641"/>
      <c r="J58" s="641"/>
    </row>
    <row r="59" spans="2:10" ht="15.75">
      <c r="B59" s="299" t="s">
        <v>913</v>
      </c>
      <c r="C59" s="438">
        <f>IF(C60*0.1&lt;C58,"Exceed 10% Rule","")</f>
      </c>
      <c r="D59" s="438">
        <f>IF(D60*0.1&lt;D58,"Exceed 10% Rule","")</f>
      </c>
      <c r="E59" s="327">
        <f>IF(E60*0.1+E80&lt;E58,"Exceed 10% Rule","")</f>
      </c>
      <c r="G59" s="641"/>
      <c r="H59" s="641"/>
      <c r="I59" s="641"/>
      <c r="J59" s="641"/>
    </row>
    <row r="60" spans="2:10" ht="15.75">
      <c r="B60" s="301" t="s">
        <v>681</v>
      </c>
      <c r="C60" s="442">
        <f>SUM(C48:C58)</f>
        <v>593441</v>
      </c>
      <c r="D60" s="442">
        <f>SUM(D48:D58)</f>
        <v>409402</v>
      </c>
      <c r="E60" s="347">
        <f>SUM(E48:E58)</f>
        <v>54441</v>
      </c>
      <c r="G60" s="641"/>
      <c r="H60" s="641"/>
      <c r="I60" s="641"/>
      <c r="J60" s="641"/>
    </row>
    <row r="61" spans="2:10" ht="15.75">
      <c r="B61" s="301" t="s">
        <v>682</v>
      </c>
      <c r="C61" s="442">
        <f>C46+C60</f>
        <v>1007654</v>
      </c>
      <c r="D61" s="442">
        <f>D46+D60</f>
        <v>875619</v>
      </c>
      <c r="E61" s="347">
        <f>E46+E60</f>
        <v>191642</v>
      </c>
      <c r="G61" s="641"/>
      <c r="H61" s="641"/>
      <c r="I61" s="641"/>
      <c r="J61" s="641"/>
    </row>
    <row r="62" spans="2:10" ht="15.75">
      <c r="B62" s="152" t="s">
        <v>685</v>
      </c>
      <c r="C62" s="299"/>
      <c r="D62" s="299"/>
      <c r="E62" s="162"/>
      <c r="G62" s="641"/>
      <c r="H62" s="641"/>
      <c r="I62" s="641"/>
      <c r="J62" s="641"/>
    </row>
    <row r="63" spans="2:10" ht="15.75">
      <c r="B63" s="310" t="s">
        <v>75</v>
      </c>
      <c r="C63" s="468">
        <v>541437</v>
      </c>
      <c r="D63" s="468">
        <v>532818</v>
      </c>
      <c r="E63" s="93">
        <v>532818</v>
      </c>
      <c r="G63" s="641"/>
      <c r="H63" s="641"/>
      <c r="I63" s="641"/>
      <c r="J63" s="641"/>
    </row>
    <row r="64" spans="2:10" ht="15.75">
      <c r="B64" s="310" t="s">
        <v>102</v>
      </c>
      <c r="C64" s="468">
        <v>0</v>
      </c>
      <c r="D64" s="468">
        <v>205600</v>
      </c>
      <c r="E64" s="93">
        <v>68600</v>
      </c>
      <c r="G64" s="752" t="str">
        <f>CONCATENATE("Desired Carryover Into ",E1+1,"")</f>
        <v>Desired Carryover Into 2016</v>
      </c>
      <c r="H64" s="753"/>
      <c r="I64" s="753"/>
      <c r="J64" s="754"/>
    </row>
    <row r="65" spans="2:10" ht="15.75">
      <c r="B65" s="310"/>
      <c r="C65" s="468"/>
      <c r="D65" s="468"/>
      <c r="E65" s="93"/>
      <c r="G65" s="628"/>
      <c r="H65" s="68"/>
      <c r="I65" s="629"/>
      <c r="J65" s="630"/>
    </row>
    <row r="66" spans="2:10" ht="15.75">
      <c r="B66" s="310"/>
      <c r="C66" s="468"/>
      <c r="D66" s="468"/>
      <c r="E66" s="93"/>
      <c r="G66" s="631" t="s">
        <v>461</v>
      </c>
      <c r="H66" s="629"/>
      <c r="I66" s="629"/>
      <c r="J66" s="632">
        <v>0</v>
      </c>
    </row>
    <row r="67" spans="2:10" ht="15.75">
      <c r="B67" s="310"/>
      <c r="C67" s="468"/>
      <c r="D67" s="468"/>
      <c r="E67" s="93"/>
      <c r="G67" s="628" t="s">
        <v>462</v>
      </c>
      <c r="H67" s="68"/>
      <c r="I67" s="68"/>
      <c r="J67" s="633">
        <f>IF(J66=0,"",ROUND((J66+E80-G79)/inputOth!E5*1000,3)-G84)</f>
      </c>
    </row>
    <row r="68" spans="2:10" ht="15.75">
      <c r="B68" s="310"/>
      <c r="C68" s="468"/>
      <c r="D68" s="468"/>
      <c r="E68" s="93"/>
      <c r="G68" s="634" t="str">
        <f>CONCATENATE("",E1," Tot Exp/Non-Appr Must Be:")</f>
        <v>2015 Tot Exp/Non-Appr Must Be:</v>
      </c>
      <c r="H68" s="635"/>
      <c r="I68" s="636"/>
      <c r="J68" s="637">
        <f>IF(J66&gt;0,IF(E77&lt;E61,IF(J66=G79,E77,((J66-G79)*(1-D79))+E61),E77+(J66-G79)),0)</f>
        <v>0</v>
      </c>
    </row>
    <row r="69" spans="2:10" ht="15.75">
      <c r="B69" s="310"/>
      <c r="C69" s="468"/>
      <c r="D69" s="468"/>
      <c r="E69" s="93"/>
      <c r="G69" s="638" t="s">
        <v>598</v>
      </c>
      <c r="H69" s="639"/>
      <c r="I69" s="639"/>
      <c r="J69" s="640">
        <f>IF(J66&gt;0,J68-E77,0)</f>
        <v>0</v>
      </c>
    </row>
    <row r="70" spans="2:10" ht="15.75">
      <c r="B70" s="299" t="s">
        <v>910</v>
      </c>
      <c r="C70" s="468"/>
      <c r="D70" s="468"/>
      <c r="E70" s="97">
        <f>Nhood!E16</f>
        <v>109</v>
      </c>
      <c r="G70" s="641"/>
      <c r="H70" s="641"/>
      <c r="I70" s="641"/>
      <c r="J70" s="641"/>
    </row>
    <row r="71" spans="2:10" ht="15.75">
      <c r="B71" s="299" t="s">
        <v>911</v>
      </c>
      <c r="C71" s="468"/>
      <c r="D71" s="468"/>
      <c r="E71" s="93"/>
      <c r="G71" s="752" t="str">
        <f>CONCATENATE("Projected Carryover Into ",E1+1,"")</f>
        <v>Projected Carryover Into 2016</v>
      </c>
      <c r="H71" s="759"/>
      <c r="I71" s="759"/>
      <c r="J71" s="758"/>
    </row>
    <row r="72" spans="2:10" ht="15.75">
      <c r="B72" s="299" t="s">
        <v>912</v>
      </c>
      <c r="C72" s="438">
        <f>IF(C73*0.1&lt;C71,"Exceed 10% Rule","")</f>
      </c>
      <c r="D72" s="438">
        <f>IF(D73*0.1&lt;D71,"Exceed 10% Rule","")</f>
      </c>
      <c r="E72" s="327">
        <f>IF(E73*0.1&lt;E71,"Exceed 10% Rule","")</f>
      </c>
      <c r="G72" s="281"/>
      <c r="H72" s="68"/>
      <c r="I72" s="68"/>
      <c r="J72" s="661"/>
    </row>
    <row r="73" spans="2:10" ht="15.75">
      <c r="B73" s="301" t="s">
        <v>686</v>
      </c>
      <c r="C73" s="442">
        <f>SUM(C63:C71)</f>
        <v>541437</v>
      </c>
      <c r="D73" s="442">
        <f>SUM(D63:D71)</f>
        <v>738418</v>
      </c>
      <c r="E73" s="347">
        <f>SUM(E63:E71)</f>
        <v>601527</v>
      </c>
      <c r="G73" s="643">
        <f>D74</f>
        <v>137201</v>
      </c>
      <c r="H73" s="644" t="str">
        <f>CONCATENATE("",E1-1," Ending Cash Balance (est.)")</f>
        <v>2014 Ending Cash Balance (est.)</v>
      </c>
      <c r="I73" s="645"/>
      <c r="J73" s="661"/>
    </row>
    <row r="74" spans="2:10" ht="15.75">
      <c r="B74" s="152" t="s">
        <v>790</v>
      </c>
      <c r="C74" s="437">
        <f>C61-C73</f>
        <v>466217</v>
      </c>
      <c r="D74" s="437">
        <f>D61-D73</f>
        <v>137201</v>
      </c>
      <c r="E74" s="320" t="s">
        <v>660</v>
      </c>
      <c r="G74" s="643">
        <f>E60</f>
        <v>54441</v>
      </c>
      <c r="H74" s="629" t="str">
        <f>CONCATENATE("",E1," Non-AV Receipts (est.)")</f>
        <v>2015 Non-AV Receipts (est.)</v>
      </c>
      <c r="I74" s="645"/>
      <c r="J74" s="661"/>
    </row>
    <row r="75" spans="2:11" ht="15.75">
      <c r="B75" s="280" t="str">
        <f>CONCATENATE("",$E$1-2,"/",$E$1-1," Budget Authority Amount:")</f>
        <v>2013/2014 Budget Authority Amount:</v>
      </c>
      <c r="C75" s="272">
        <f>inputOth!B39</f>
        <v>692818</v>
      </c>
      <c r="D75" s="272">
        <f>inputPrYr!D26</f>
        <v>738418</v>
      </c>
      <c r="E75" s="320" t="s">
        <v>660</v>
      </c>
      <c r="F75" s="313"/>
      <c r="G75" s="646">
        <f>IF(E79&gt;0,E78,E80)</f>
        <v>409885</v>
      </c>
      <c r="H75" s="629" t="str">
        <f>CONCATENATE("",E1," Ad Valorem Tax (est.)")</f>
        <v>2015 Ad Valorem Tax (est.)</v>
      </c>
      <c r="I75" s="645"/>
      <c r="J75" s="661"/>
      <c r="K75" s="680" t="str">
        <f>IF(G75=E80,"","Note: Does not include Delinquent Taxes")</f>
        <v>Note: Does not include Delinquent Taxes</v>
      </c>
    </row>
    <row r="76" spans="2:10" ht="15.75">
      <c r="B76" s="280"/>
      <c r="C76" s="745" t="s">
        <v>453</v>
      </c>
      <c r="D76" s="746"/>
      <c r="E76" s="93"/>
      <c r="F76" s="481">
        <f>IF(E73/0.95-E73&lt;E76,"Exceeds 5%","")</f>
      </c>
      <c r="G76" s="662">
        <f>SUM(G73:G75)</f>
        <v>601527</v>
      </c>
      <c r="H76" s="629" t="str">
        <f>CONCATENATE("Total ",E1," Resources Available")</f>
        <v>Total 2015 Resources Available</v>
      </c>
      <c r="I76" s="169"/>
      <c r="J76" s="661"/>
    </row>
    <row r="77" spans="2:10" ht="15.75">
      <c r="B77" s="475" t="str">
        <f>CONCATENATE(C90,"      ",D90)</f>
        <v>      </v>
      </c>
      <c r="C77" s="747" t="s">
        <v>454</v>
      </c>
      <c r="D77" s="748"/>
      <c r="E77" s="258">
        <f>E73+E76</f>
        <v>601527</v>
      </c>
      <c r="G77" s="663"/>
      <c r="H77" s="664"/>
      <c r="I77" s="68"/>
      <c r="J77" s="661"/>
    </row>
    <row r="78" spans="2:10" ht="15.75">
      <c r="B78" s="475" t="str">
        <f>CONCATENATE(C91,"      ",D91)</f>
        <v>      </v>
      </c>
      <c r="C78" s="314"/>
      <c r="D78" s="106" t="s">
        <v>687</v>
      </c>
      <c r="E78" s="97">
        <f>IF(E77-E61&gt;0,E77-E61,0)</f>
        <v>409885</v>
      </c>
      <c r="G78" s="665">
        <f>ROUND(C73*0.05+C73,0)</f>
        <v>568509</v>
      </c>
      <c r="H78" s="629" t="str">
        <f>CONCATENATE("Less ",E1-2," Expenditures + 5%")</f>
        <v>Less 2013 Expenditures + 5%</v>
      </c>
      <c r="I78" s="169"/>
      <c r="J78" s="661"/>
    </row>
    <row r="79" spans="2:10" ht="15.75">
      <c r="B79" s="106"/>
      <c r="C79" s="457" t="s">
        <v>455</v>
      </c>
      <c r="D79" s="683">
        <f>inputOth!$E$22</f>
        <v>0.07</v>
      </c>
      <c r="E79" s="258">
        <f>ROUND(IF(D79&gt;0,(E78*D79),0),0)</f>
        <v>28692</v>
      </c>
      <c r="G79" s="666">
        <f>G76-G78</f>
        <v>33018</v>
      </c>
      <c r="H79" s="649" t="str">
        <f>CONCATENATE("Projected ",E1+1," carryover (est.)")</f>
        <v>Projected 2016 carryover (est.)</v>
      </c>
      <c r="I79" s="667"/>
      <c r="J79" s="668"/>
    </row>
    <row r="80" spans="2:10" ht="15.75">
      <c r="B80" s="66"/>
      <c r="C80" s="743" t="str">
        <f>CONCATENATE("Amount of  ",$E$1-1," Ad Valorem Tax")</f>
        <v>Amount of  2014 Ad Valorem Tax</v>
      </c>
      <c r="D80" s="744"/>
      <c r="E80" s="332">
        <f>E78+E79</f>
        <v>438577</v>
      </c>
      <c r="G80" s="641"/>
      <c r="H80" s="641"/>
      <c r="I80" s="641"/>
      <c r="J80" s="641"/>
    </row>
    <row r="81" spans="2:10" ht="15.75">
      <c r="B81" s="315" t="s">
        <v>700</v>
      </c>
      <c r="C81" s="333">
        <v>13</v>
      </c>
      <c r="D81" s="66"/>
      <c r="E81" s="66"/>
      <c r="G81" s="749" t="s">
        <v>599</v>
      </c>
      <c r="H81" s="750"/>
      <c r="I81" s="750"/>
      <c r="J81" s="751"/>
    </row>
    <row r="82" spans="7:10" ht="15.75">
      <c r="G82" s="652"/>
      <c r="H82" s="644"/>
      <c r="I82" s="653"/>
      <c r="J82" s="654"/>
    </row>
    <row r="83" spans="7:10" ht="15.75">
      <c r="G83" s="655">
        <f>summ!H26</f>
        <v>1.528</v>
      </c>
      <c r="H83" s="644" t="str">
        <f>CONCATENATE("",E1," Fund Mill Rate")</f>
        <v>2015 Fund Mill Rate</v>
      </c>
      <c r="I83" s="653"/>
      <c r="J83" s="654"/>
    </row>
    <row r="84" spans="7:10" ht="15.75">
      <c r="G84" s="656">
        <f>summ!E26</f>
        <v>1.352</v>
      </c>
      <c r="H84" s="644" t="str">
        <f>CONCATENATE("",E1-1," Fund Mill Rate")</f>
        <v>2014 Fund Mill Rate</v>
      </c>
      <c r="I84" s="653"/>
      <c r="J84" s="654"/>
    </row>
    <row r="85" spans="7:10" ht="15.75">
      <c r="G85" s="657">
        <f>summ!H52</f>
        <v>42.268</v>
      </c>
      <c r="H85" s="644" t="str">
        <f>CONCATENATE("Total ",E1," Mill Rate")</f>
        <v>Total 2015 Mill Rate</v>
      </c>
      <c r="I85" s="653"/>
      <c r="J85" s="654"/>
    </row>
    <row r="86" spans="7:10" ht="15.75">
      <c r="G86" s="656">
        <f>summ!E52</f>
        <v>40.64399999999999</v>
      </c>
      <c r="H86" s="658" t="str">
        <f>CONCATENATE("Total ",E1-1," Mill Rate")</f>
        <v>Total 2014 Mill Rate</v>
      </c>
      <c r="I86" s="659"/>
      <c r="J86" s="660"/>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row r="92" spans="7:9" ht="15.75">
      <c r="G92" s="696" t="s">
        <v>53</v>
      </c>
      <c r="H92" s="695"/>
      <c r="I92" s="694" t="str">
        <f>cert!F60</f>
        <v>Yes</v>
      </c>
    </row>
  </sheetData>
  <sheetProtection/>
  <mergeCells count="12">
    <mergeCell ref="G24:J24"/>
    <mergeCell ref="G31:J31"/>
    <mergeCell ref="G41:J41"/>
    <mergeCell ref="G64:J64"/>
    <mergeCell ref="G71:J71"/>
    <mergeCell ref="C36:D36"/>
    <mergeCell ref="C37:D37"/>
    <mergeCell ref="C76:D76"/>
    <mergeCell ref="C77:D77"/>
    <mergeCell ref="G81:J81"/>
    <mergeCell ref="C80:D80"/>
    <mergeCell ref="C40:D40"/>
  </mergeCells>
  <conditionalFormatting sqref="E36">
    <cfRule type="cellIs" priority="3" dxfId="309" operator="greaterThan" stopIfTrue="1">
      <formula>$E$33/0.95-$E$33</formula>
    </cfRule>
  </conditionalFormatting>
  <conditionalFormatting sqref="E76">
    <cfRule type="cellIs" priority="4" dxfId="309" operator="greaterThan" stopIfTrue="1">
      <formula>$E$73/0.95-$E$73</formula>
    </cfRule>
  </conditionalFormatting>
  <conditionalFormatting sqref="E71">
    <cfRule type="cellIs" priority="5" dxfId="309" operator="greaterThan" stopIfTrue="1">
      <formula>$E$73*0.1</formula>
    </cfRule>
  </conditionalFormatting>
  <conditionalFormatting sqref="C18">
    <cfRule type="cellIs" priority="6" dxfId="309" operator="greaterThan" stopIfTrue="1">
      <formula>$C$20*0.1</formula>
    </cfRule>
  </conditionalFormatting>
  <conditionalFormatting sqref="D18">
    <cfRule type="cellIs" priority="7" dxfId="309" operator="greaterThan" stopIfTrue="1">
      <formula>$D$20*0.1</formula>
    </cfRule>
  </conditionalFormatting>
  <conditionalFormatting sqref="E31">
    <cfRule type="cellIs" priority="8" dxfId="309" operator="greaterThan" stopIfTrue="1">
      <formula>$E$33*0.1</formula>
    </cfRule>
  </conditionalFormatting>
  <conditionalFormatting sqref="E18">
    <cfRule type="cellIs" priority="9" dxfId="309" operator="greaterThan" stopIfTrue="1">
      <formula>$E$20*0.1+E40</formula>
    </cfRule>
  </conditionalFormatting>
  <conditionalFormatting sqref="E58">
    <cfRule type="cellIs" priority="10" dxfId="309"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1"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C81" sqref="C81"/>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472" t="s">
        <v>748</v>
      </c>
      <c r="C3" s="144"/>
      <c r="D3" s="144"/>
      <c r="E3" s="144"/>
    </row>
    <row r="4" spans="2:5" ht="15.75">
      <c r="B4" s="65" t="s">
        <v>672</v>
      </c>
      <c r="C4" s="624" t="s">
        <v>595</v>
      </c>
      <c r="D4" s="625" t="s">
        <v>596</v>
      </c>
      <c r="E4" s="148" t="s">
        <v>597</v>
      </c>
    </row>
    <row r="5" spans="2:5" ht="15.75">
      <c r="B5" s="460" t="str">
        <f>inputPrYr!$B$27</f>
        <v>Economic Development</v>
      </c>
      <c r="C5" s="440" t="str">
        <f>CONCATENATE("Actual for ",E1-2,"")</f>
        <v>Actual for 2013</v>
      </c>
      <c r="D5" s="440" t="str">
        <f>CONCATENATE("Estimate for ",E1-1,"")</f>
        <v>Estimate for 2014</v>
      </c>
      <c r="E5" s="293" t="str">
        <f>CONCATENATE("Year for ",E1,"")</f>
        <v>Year for 2015</v>
      </c>
    </row>
    <row r="6" spans="2:5" ht="15.75">
      <c r="B6" s="152" t="s">
        <v>789</v>
      </c>
      <c r="C6" s="468">
        <v>98998</v>
      </c>
      <c r="D6" s="439">
        <f>C34</f>
        <v>106835</v>
      </c>
      <c r="E6" s="258">
        <f>D34</f>
        <v>45107</v>
      </c>
    </row>
    <row r="7" spans="2:5" ht="15.75">
      <c r="B7" s="283" t="s">
        <v>791</v>
      </c>
      <c r="C7" s="166"/>
      <c r="D7" s="166"/>
      <c r="E7" s="109"/>
    </row>
    <row r="8" spans="2:5" ht="15.75">
      <c r="B8" s="152" t="s">
        <v>673</v>
      </c>
      <c r="C8" s="468">
        <v>98568</v>
      </c>
      <c r="D8" s="439">
        <v>67558</v>
      </c>
      <c r="E8" s="320" t="s">
        <v>660</v>
      </c>
    </row>
    <row r="9" spans="2:5" ht="15.75">
      <c r="B9" s="152" t="s">
        <v>674</v>
      </c>
      <c r="C9" s="468">
        <v>2474</v>
      </c>
      <c r="D9" s="468">
        <v>2000</v>
      </c>
      <c r="E9" s="93">
        <v>1000</v>
      </c>
    </row>
    <row r="10" spans="2:5" ht="15.75">
      <c r="B10" s="152" t="s">
        <v>675</v>
      </c>
      <c r="C10" s="468">
        <v>8160</v>
      </c>
      <c r="D10" s="468">
        <v>8441</v>
      </c>
      <c r="E10" s="258">
        <f>mvalloc!E21</f>
        <v>8029</v>
      </c>
    </row>
    <row r="11" spans="2:5" ht="15.75">
      <c r="B11" s="152" t="s">
        <v>676</v>
      </c>
      <c r="C11" s="468">
        <v>102</v>
      </c>
      <c r="D11" s="468">
        <v>106</v>
      </c>
      <c r="E11" s="258">
        <f>mvalloc!F21</f>
        <v>86</v>
      </c>
    </row>
    <row r="12" spans="2:5" ht="15.75">
      <c r="B12" s="166" t="s">
        <v>740</v>
      </c>
      <c r="C12" s="468">
        <v>312</v>
      </c>
      <c r="D12" s="468">
        <v>264</v>
      </c>
      <c r="E12" s="258">
        <f>mvalloc!G21</f>
        <v>216</v>
      </c>
    </row>
    <row r="13" spans="2:5" ht="15.75">
      <c r="B13" s="310" t="s">
        <v>172</v>
      </c>
      <c r="C13" s="468">
        <v>46</v>
      </c>
      <c r="D13" s="468">
        <v>0</v>
      </c>
      <c r="E13" s="93">
        <v>0</v>
      </c>
    </row>
    <row r="14" spans="2:5" ht="15.75">
      <c r="B14" s="310" t="s">
        <v>100</v>
      </c>
      <c r="C14" s="468">
        <v>218</v>
      </c>
      <c r="D14" s="468">
        <v>150</v>
      </c>
      <c r="E14" s="93">
        <v>150</v>
      </c>
    </row>
    <row r="15" spans="2:5" ht="15.75">
      <c r="B15" s="310"/>
      <c r="C15" s="468"/>
      <c r="D15" s="468"/>
      <c r="E15" s="93"/>
    </row>
    <row r="16" spans="2:5" ht="15.75">
      <c r="B16" s="310"/>
      <c r="C16" s="468"/>
      <c r="D16" s="468"/>
      <c r="E16" s="93"/>
    </row>
    <row r="17" spans="2:5" ht="15.75">
      <c r="B17" s="298" t="s">
        <v>680</v>
      </c>
      <c r="C17" s="468"/>
      <c r="D17" s="468"/>
      <c r="E17" s="93"/>
    </row>
    <row r="18" spans="2:5" ht="15.75">
      <c r="B18" s="299" t="s">
        <v>911</v>
      </c>
      <c r="C18" s="468"/>
      <c r="D18" s="468"/>
      <c r="E18" s="93"/>
    </row>
    <row r="19" spans="2:5" ht="15.75">
      <c r="B19" s="299" t="s">
        <v>913</v>
      </c>
      <c r="C19" s="438">
        <f>IF(C20*0.1&lt;C18,"Exceed 10% Rule","")</f>
      </c>
      <c r="D19" s="438">
        <f>IF(D20*0.1&lt;D18,"Exceed 10% Rule","")</f>
      </c>
      <c r="E19" s="327">
        <f>IF(E20*0.1+E40&lt;E18,"Exceed 10% Rule","")</f>
      </c>
    </row>
    <row r="20" spans="2:5" ht="15.75">
      <c r="B20" s="301" t="s">
        <v>681</v>
      </c>
      <c r="C20" s="442">
        <f>SUM(C8:C18)</f>
        <v>109880</v>
      </c>
      <c r="D20" s="442">
        <f>SUM(D8:D18)</f>
        <v>78519</v>
      </c>
      <c r="E20" s="347">
        <f>SUM(E8:E18)</f>
        <v>9481</v>
      </c>
    </row>
    <row r="21" spans="2:5" ht="15.75">
      <c r="B21" s="301" t="s">
        <v>682</v>
      </c>
      <c r="C21" s="442">
        <f>C6+C20</f>
        <v>208878</v>
      </c>
      <c r="D21" s="442">
        <f>D6+D20</f>
        <v>185354</v>
      </c>
      <c r="E21" s="347">
        <f>E6+E20</f>
        <v>54588</v>
      </c>
    </row>
    <row r="22" spans="2:5" ht="15.75">
      <c r="B22" s="152" t="s">
        <v>685</v>
      </c>
      <c r="C22" s="299"/>
      <c r="D22" s="299"/>
      <c r="E22" s="162"/>
    </row>
    <row r="23" spans="2:5" ht="15.75">
      <c r="B23" s="310" t="s">
        <v>75</v>
      </c>
      <c r="C23" s="468">
        <v>102043</v>
      </c>
      <c r="D23" s="468">
        <v>100447</v>
      </c>
      <c r="E23" s="93">
        <v>100447</v>
      </c>
    </row>
    <row r="24" spans="2:10" ht="15.75">
      <c r="B24" s="310" t="s">
        <v>102</v>
      </c>
      <c r="C24" s="468">
        <v>0</v>
      </c>
      <c r="D24" s="468">
        <v>39800</v>
      </c>
      <c r="E24" s="93">
        <v>23800</v>
      </c>
      <c r="G24" s="752" t="str">
        <f>CONCATENATE("Desired Carryover Into ",E1+1,"")</f>
        <v>Desired Carryover Into 2016</v>
      </c>
      <c r="H24" s="753"/>
      <c r="I24" s="753"/>
      <c r="J24" s="754"/>
    </row>
    <row r="25" spans="2:10" ht="15.75">
      <c r="B25" s="310"/>
      <c r="C25" s="468"/>
      <c r="D25" s="468"/>
      <c r="E25" s="93"/>
      <c r="G25" s="628"/>
      <c r="H25" s="68"/>
      <c r="I25" s="629"/>
      <c r="J25" s="630"/>
    </row>
    <row r="26" spans="2:10" ht="15.75">
      <c r="B26" s="310"/>
      <c r="C26" s="468"/>
      <c r="D26" s="468"/>
      <c r="E26" s="93"/>
      <c r="G26" s="631" t="s">
        <v>461</v>
      </c>
      <c r="H26" s="629"/>
      <c r="I26" s="629"/>
      <c r="J26" s="632">
        <v>0</v>
      </c>
    </row>
    <row r="27" spans="2:10" ht="15.75">
      <c r="B27" s="310"/>
      <c r="C27" s="468"/>
      <c r="D27" s="468"/>
      <c r="E27" s="93"/>
      <c r="G27" s="628" t="s">
        <v>462</v>
      </c>
      <c r="H27" s="68"/>
      <c r="I27" s="68"/>
      <c r="J27" s="633">
        <f>IF(J26=0,"",ROUND((J26+E40-G39)/inputOth!E5*1000,3)-G44)</f>
      </c>
    </row>
    <row r="28" spans="2:10" ht="15.75">
      <c r="B28" s="310"/>
      <c r="C28" s="468"/>
      <c r="D28" s="468"/>
      <c r="E28" s="93"/>
      <c r="G28" s="634" t="str">
        <f>CONCATENATE("",E1," Tot Exp/Non-Appr Must Be:")</f>
        <v>2015 Tot Exp/Non-Appr Must Be:</v>
      </c>
      <c r="H28" s="635"/>
      <c r="I28" s="636"/>
      <c r="J28" s="637">
        <f>IF(J26&gt;0,IF(E37&lt;E21,IF(J26=G39,E37,((J26-G39)*(1-D39))+E21),E37+(J26-G39)),0)</f>
        <v>0</v>
      </c>
    </row>
    <row r="29" spans="2:10" ht="15.75">
      <c r="B29" s="310"/>
      <c r="C29" s="468"/>
      <c r="D29" s="468"/>
      <c r="E29" s="93"/>
      <c r="G29" s="638" t="s">
        <v>598</v>
      </c>
      <c r="H29" s="639"/>
      <c r="I29" s="639"/>
      <c r="J29" s="640">
        <f>IF(J26&gt;0,J28-E37,0)</f>
        <v>0</v>
      </c>
    </row>
    <row r="30" spans="2:10" ht="15.75">
      <c r="B30" s="299" t="s">
        <v>910</v>
      </c>
      <c r="C30" s="468"/>
      <c r="D30" s="468"/>
      <c r="E30" s="97">
        <f>Nhood!E17</f>
        <v>18</v>
      </c>
      <c r="G30" s="641"/>
      <c r="H30" s="641"/>
      <c r="I30" s="641"/>
      <c r="J30" s="641"/>
    </row>
    <row r="31" spans="2:10" ht="15.75">
      <c r="B31" s="299" t="s">
        <v>911</v>
      </c>
      <c r="C31" s="468"/>
      <c r="D31" s="468"/>
      <c r="E31" s="93"/>
      <c r="G31" s="752" t="str">
        <f>CONCATENATE("Projected Carryover Into ",E1+1,"")</f>
        <v>Projected Carryover Into 2016</v>
      </c>
      <c r="H31" s="757"/>
      <c r="I31" s="757"/>
      <c r="J31" s="758"/>
    </row>
    <row r="32" spans="2:10" ht="15.75">
      <c r="B32" s="299" t="s">
        <v>912</v>
      </c>
      <c r="C32" s="438">
        <f>IF(C33*0.1&lt;C31,"Exceed 10% Rule","")</f>
      </c>
      <c r="D32" s="438">
        <f>IF(D33*0.1&lt;D31,"Exceed 10% Rule","")</f>
      </c>
      <c r="E32" s="327">
        <f>IF(E33*0.1&lt;E31,"Exceed 10% Rule","")</f>
      </c>
      <c r="G32" s="628"/>
      <c r="H32" s="629"/>
      <c r="I32" s="629"/>
      <c r="J32" s="642"/>
    </row>
    <row r="33" spans="2:10" ht="15.75">
      <c r="B33" s="301" t="s">
        <v>686</v>
      </c>
      <c r="C33" s="442">
        <f>SUM(C23:C31)</f>
        <v>102043</v>
      </c>
      <c r="D33" s="442">
        <f>SUM(D23:D31)</f>
        <v>140247</v>
      </c>
      <c r="E33" s="347">
        <f>SUM(E23:E31)</f>
        <v>124265</v>
      </c>
      <c r="G33" s="643">
        <f>D34</f>
        <v>45107</v>
      </c>
      <c r="H33" s="644" t="str">
        <f>CONCATENATE("",E1-1," Ending Cash Balance (est.)")</f>
        <v>2014 Ending Cash Balance (est.)</v>
      </c>
      <c r="I33" s="645"/>
      <c r="J33" s="642"/>
    </row>
    <row r="34" spans="2:10" ht="15.75">
      <c r="B34" s="152" t="s">
        <v>790</v>
      </c>
      <c r="C34" s="437">
        <f>C21-C33</f>
        <v>106835</v>
      </c>
      <c r="D34" s="437">
        <f>D21-D33</f>
        <v>45107</v>
      </c>
      <c r="E34" s="320" t="s">
        <v>660</v>
      </c>
      <c r="G34" s="643">
        <f>E20</f>
        <v>9481</v>
      </c>
      <c r="H34" s="629" t="str">
        <f>CONCATENATE("",E1," Non-AV Receipts (est.)")</f>
        <v>2015 Non-AV Receipts (est.)</v>
      </c>
      <c r="I34" s="645"/>
      <c r="J34" s="642"/>
    </row>
    <row r="35" spans="2:11" ht="15.75">
      <c r="B35" s="280" t="str">
        <f>CONCATENATE("",$E$1-2,"/",$E$1-1," Budget Authority Amount:")</f>
        <v>2013/2014 Budget Authority Amount:</v>
      </c>
      <c r="C35" s="272">
        <f>inputOth!B40</f>
        <v>145447</v>
      </c>
      <c r="D35" s="272">
        <f>inputPrYr!D27</f>
        <v>140247</v>
      </c>
      <c r="E35" s="320" t="s">
        <v>660</v>
      </c>
      <c r="F35" s="313"/>
      <c r="G35" s="646">
        <f>IF(E39&gt;0,E38,E40)</f>
        <v>69677</v>
      </c>
      <c r="H35" s="629" t="str">
        <f>CONCATENATE("",E1," Ad Valorem Tax (est.)")</f>
        <v>2015 Ad Valorem Tax (est.)</v>
      </c>
      <c r="I35" s="645"/>
      <c r="J35" s="642"/>
      <c r="K35" s="680" t="str">
        <f>IF(G35=E40,"","Note: Does not include Delinquent Taxes")</f>
        <v>Note: Does not include Delinquent Taxes</v>
      </c>
    </row>
    <row r="36" spans="2:10" ht="15.75">
      <c r="B36" s="280"/>
      <c r="C36" s="745" t="s">
        <v>453</v>
      </c>
      <c r="D36" s="746"/>
      <c r="E36" s="93"/>
      <c r="F36" s="481">
        <f>IF(E33/0.95-E33&lt;E36,"Exceeds 5%","")</f>
      </c>
      <c r="G36" s="643">
        <f>SUM(G33:G35)</f>
        <v>124265</v>
      </c>
      <c r="H36" s="629" t="str">
        <f>CONCATENATE("Total ",E1," Resources Available")</f>
        <v>Total 2015 Resources Available</v>
      </c>
      <c r="I36" s="645"/>
      <c r="J36" s="642"/>
    </row>
    <row r="37" spans="2:10" ht="15.75">
      <c r="B37" s="475" t="str">
        <f>CONCATENATE(C88,"     ",D88)</f>
        <v>     </v>
      </c>
      <c r="C37" s="747" t="s">
        <v>454</v>
      </c>
      <c r="D37" s="748"/>
      <c r="E37" s="258">
        <f>E33+E36</f>
        <v>124265</v>
      </c>
      <c r="G37" s="647"/>
      <c r="H37" s="629"/>
      <c r="I37" s="629"/>
      <c r="J37" s="642"/>
    </row>
    <row r="38" spans="2:10" ht="15.75">
      <c r="B38" s="475" t="str">
        <f>CONCATENATE(C89,"      ",D89)</f>
        <v>      </v>
      </c>
      <c r="C38" s="314"/>
      <c r="D38" s="106" t="s">
        <v>687</v>
      </c>
      <c r="E38" s="97">
        <f>IF(E37-E21&gt;0,E37-E21,0)</f>
        <v>69677</v>
      </c>
      <c r="G38" s="646">
        <f>ROUND(C33*0.05+C33,0)</f>
        <v>107145</v>
      </c>
      <c r="H38" s="629" t="str">
        <f>CONCATENATE("Less ",E1-2," Expenditures + 5%")</f>
        <v>Less 2013 Expenditures + 5%</v>
      </c>
      <c r="I38" s="645"/>
      <c r="J38" s="661"/>
    </row>
    <row r="39" spans="2:10" ht="15.75">
      <c r="B39" s="106"/>
      <c r="C39" s="457" t="s">
        <v>455</v>
      </c>
      <c r="D39" s="683">
        <f>inputOth!$E$22</f>
        <v>0.07</v>
      </c>
      <c r="E39" s="258">
        <f>ROUND(IF(D39&gt;0,(E38*D39),0),0)</f>
        <v>4877</v>
      </c>
      <c r="G39" s="648">
        <f>G36-G38</f>
        <v>17120</v>
      </c>
      <c r="H39" s="649" t="str">
        <f>CONCATENATE("Projected ",E1+1," carryover (est.)")</f>
        <v>Projected 2016 carryover (est.)</v>
      </c>
      <c r="I39" s="650"/>
      <c r="J39" s="651"/>
    </row>
    <row r="40" spans="2:10" ht="15.75">
      <c r="B40" s="66"/>
      <c r="C40" s="743" t="str">
        <f>CONCATENATE("Amount of  ",$E$1-1," Ad Valorem Tax")</f>
        <v>Amount of  2014 Ad Valorem Tax</v>
      </c>
      <c r="D40" s="744"/>
      <c r="E40" s="332">
        <f>E38+E39</f>
        <v>74554</v>
      </c>
      <c r="G40" s="641"/>
      <c r="H40" s="641"/>
      <c r="I40" s="641"/>
      <c r="J40" s="641"/>
    </row>
    <row r="41" spans="2:10" ht="15.75">
      <c r="B41" s="66"/>
      <c r="C41" s="607"/>
      <c r="D41" s="66"/>
      <c r="E41" s="66"/>
      <c r="G41" s="749" t="s">
        <v>599</v>
      </c>
      <c r="H41" s="750"/>
      <c r="I41" s="750"/>
      <c r="J41" s="751"/>
    </row>
    <row r="42" spans="2:10" ht="15.75">
      <c r="B42" s="66"/>
      <c r="C42" s="607"/>
      <c r="D42" s="66"/>
      <c r="E42" s="66"/>
      <c r="G42" s="652"/>
      <c r="H42" s="644"/>
      <c r="I42" s="653"/>
      <c r="J42" s="654"/>
    </row>
    <row r="43" spans="2:10" ht="15.75">
      <c r="B43" s="66"/>
      <c r="C43" s="144"/>
      <c r="D43" s="144"/>
      <c r="E43" s="144"/>
      <c r="G43" s="655">
        <f>summ!H27</f>
        <v>0.26</v>
      </c>
      <c r="H43" s="644" t="str">
        <f>CONCATENATE("",E1," Fund Mill Rate")</f>
        <v>2015 Fund Mill Rate</v>
      </c>
      <c r="I43" s="653"/>
      <c r="J43" s="654"/>
    </row>
    <row r="44" spans="2:10" ht="15.75">
      <c r="B44" s="65" t="s">
        <v>672</v>
      </c>
      <c r="C44" s="624" t="str">
        <f aca="true" t="shared" si="0" ref="C44:E45">C4</f>
        <v>Prior Year </v>
      </c>
      <c r="D44" s="625" t="str">
        <f t="shared" si="0"/>
        <v>Current Year </v>
      </c>
      <c r="E44" s="148" t="str">
        <f t="shared" si="0"/>
        <v>Proposed Budget </v>
      </c>
      <c r="G44" s="656">
        <f>summ!E27</f>
        <v>0.247</v>
      </c>
      <c r="H44" s="644" t="str">
        <f>CONCATENATE("",E1-1," Fund Mill Rate")</f>
        <v>2014 Fund Mill Rate</v>
      </c>
      <c r="I44" s="653"/>
      <c r="J44" s="654"/>
    </row>
    <row r="45" spans="2:10" ht="15.75">
      <c r="B45" s="460" t="str">
        <f>inputPrYr!$B$28</f>
        <v>Special Liability</v>
      </c>
      <c r="C45" s="440" t="str">
        <f t="shared" si="0"/>
        <v>Actual for 2013</v>
      </c>
      <c r="D45" s="440" t="str">
        <f t="shared" si="0"/>
        <v>Estimate for 2014</v>
      </c>
      <c r="E45" s="305" t="str">
        <f t="shared" si="0"/>
        <v>Year for 2015</v>
      </c>
      <c r="G45" s="657">
        <f>summ!H52</f>
        <v>42.268</v>
      </c>
      <c r="H45" s="644" t="str">
        <f>CONCATENATE("Total ",E1," Mill Rate")</f>
        <v>Total 2015 Mill Rate</v>
      </c>
      <c r="I45" s="653"/>
      <c r="J45" s="654"/>
    </row>
    <row r="46" spans="2:10" ht="15.75">
      <c r="B46" s="152" t="s">
        <v>789</v>
      </c>
      <c r="C46" s="468">
        <v>5668</v>
      </c>
      <c r="D46" s="439">
        <f>C74</f>
        <v>12338</v>
      </c>
      <c r="E46" s="258">
        <f>D74</f>
        <v>6359</v>
      </c>
      <c r="G46" s="656">
        <f>summ!E52</f>
        <v>40.64399999999999</v>
      </c>
      <c r="H46" s="658" t="str">
        <f>CONCATENATE("Total ",E1-1," Mill Rate")</f>
        <v>Total 2014 Mill Rate</v>
      </c>
      <c r="I46" s="659"/>
      <c r="J46" s="660"/>
    </row>
    <row r="47" spans="2:10" ht="15.75">
      <c r="B47" s="294" t="s">
        <v>791</v>
      </c>
      <c r="C47" s="166"/>
      <c r="D47" s="166"/>
      <c r="E47" s="109"/>
      <c r="G47" s="641"/>
      <c r="H47" s="641"/>
      <c r="I47" s="641"/>
      <c r="J47" s="641"/>
    </row>
    <row r="48" spans="2:10" ht="15.75">
      <c r="B48" s="152" t="s">
        <v>673</v>
      </c>
      <c r="C48" s="468">
        <v>24384</v>
      </c>
      <c r="D48" s="439">
        <v>16137</v>
      </c>
      <c r="E48" s="320" t="s">
        <v>660</v>
      </c>
      <c r="G48" s="696" t="s">
        <v>53</v>
      </c>
      <c r="H48" s="695"/>
      <c r="I48" s="694" t="str">
        <f>cert!F60</f>
        <v>Yes</v>
      </c>
      <c r="J48" s="641"/>
    </row>
    <row r="49" spans="2:10" ht="15.75">
      <c r="B49" s="152" t="s">
        <v>674</v>
      </c>
      <c r="C49" s="468">
        <v>227</v>
      </c>
      <c r="D49" s="468">
        <v>200</v>
      </c>
      <c r="E49" s="93">
        <v>200</v>
      </c>
      <c r="G49" s="641"/>
      <c r="H49" s="641"/>
      <c r="I49" s="641"/>
      <c r="J49" s="641"/>
    </row>
    <row r="50" spans="2:10" ht="15.75">
      <c r="B50" s="152" t="s">
        <v>675</v>
      </c>
      <c r="C50" s="468">
        <v>28</v>
      </c>
      <c r="D50" s="468">
        <v>2093</v>
      </c>
      <c r="E50" s="258">
        <f>mvalloc!E22</f>
        <v>1933</v>
      </c>
      <c r="G50" s="641"/>
      <c r="H50" s="641"/>
      <c r="I50" s="641"/>
      <c r="J50" s="641"/>
    </row>
    <row r="51" spans="2:10" ht="15.75">
      <c r="B51" s="152" t="s">
        <v>676</v>
      </c>
      <c r="C51" s="468">
        <v>54</v>
      </c>
      <c r="D51" s="468">
        <v>26</v>
      </c>
      <c r="E51" s="258">
        <f>mvalloc!F22</f>
        <v>21</v>
      </c>
      <c r="G51" s="641"/>
      <c r="H51" s="641"/>
      <c r="I51" s="641"/>
      <c r="J51" s="641"/>
    </row>
    <row r="52" spans="2:10" ht="15.75">
      <c r="B52" s="166" t="s">
        <v>740</v>
      </c>
      <c r="C52" s="468">
        <v>56</v>
      </c>
      <c r="D52" s="468">
        <v>65</v>
      </c>
      <c r="E52" s="258">
        <f>mvalloc!G22</f>
        <v>52</v>
      </c>
      <c r="G52" s="641"/>
      <c r="H52" s="641"/>
      <c r="I52" s="641"/>
      <c r="J52" s="641"/>
    </row>
    <row r="53" spans="2:10" ht="15.75">
      <c r="B53" s="310"/>
      <c r="C53" s="468"/>
      <c r="D53" s="468"/>
      <c r="E53" s="93"/>
      <c r="G53" s="641"/>
      <c r="H53" s="641"/>
      <c r="I53" s="641"/>
      <c r="J53" s="641"/>
    </row>
    <row r="54" spans="2:10" ht="15.75">
      <c r="B54" s="310"/>
      <c r="C54" s="468"/>
      <c r="D54" s="468"/>
      <c r="E54" s="93"/>
      <c r="G54" s="641"/>
      <c r="H54" s="641"/>
      <c r="I54" s="641"/>
      <c r="J54" s="641"/>
    </row>
    <row r="55" spans="2:10" ht="15.75">
      <c r="B55" s="310"/>
      <c r="C55" s="468"/>
      <c r="D55" s="468"/>
      <c r="E55" s="93"/>
      <c r="G55" s="641"/>
      <c r="H55" s="641"/>
      <c r="I55" s="641"/>
      <c r="J55" s="641"/>
    </row>
    <row r="56" spans="2:10" ht="15.75">
      <c r="B56" s="310"/>
      <c r="C56" s="468"/>
      <c r="D56" s="468"/>
      <c r="E56" s="93"/>
      <c r="G56" s="641"/>
      <c r="H56" s="641"/>
      <c r="I56" s="641"/>
      <c r="J56" s="641"/>
    </row>
    <row r="57" spans="2:10" ht="15.75">
      <c r="B57" s="298" t="s">
        <v>680</v>
      </c>
      <c r="C57" s="468"/>
      <c r="D57" s="468"/>
      <c r="E57" s="93"/>
      <c r="G57" s="641"/>
      <c r="H57" s="641"/>
      <c r="I57" s="641"/>
      <c r="J57" s="641"/>
    </row>
    <row r="58" spans="2:10" ht="15.75">
      <c r="B58" s="299" t="s">
        <v>911</v>
      </c>
      <c r="C58" s="468"/>
      <c r="D58" s="468"/>
      <c r="E58" s="93"/>
      <c r="G58" s="641"/>
      <c r="H58" s="641"/>
      <c r="I58" s="641"/>
      <c r="J58" s="641"/>
    </row>
    <row r="59" spans="2:10" ht="15.75">
      <c r="B59" s="299" t="s">
        <v>913</v>
      </c>
      <c r="C59" s="438">
        <f>IF(C60*0.1&lt;C58,"Exceed 10% Rule","")</f>
      </c>
      <c r="D59" s="438">
        <f>IF(D60*0.1&lt;D58,"Exceed 10% Rule","")</f>
      </c>
      <c r="E59" s="327">
        <f>IF(E60*0.1+E80&lt;E58,"Exceed 10% Rule","")</f>
      </c>
      <c r="G59" s="641"/>
      <c r="H59" s="641"/>
      <c r="I59" s="641"/>
      <c r="J59" s="641"/>
    </row>
    <row r="60" spans="2:10" ht="15.75">
      <c r="B60" s="301" t="s">
        <v>681</v>
      </c>
      <c r="C60" s="442">
        <f>SUM(C48:C58)</f>
        <v>24749</v>
      </c>
      <c r="D60" s="442">
        <f>SUM(D48:D58)</f>
        <v>18521</v>
      </c>
      <c r="E60" s="347">
        <f>SUM(E48:E58)</f>
        <v>2206</v>
      </c>
      <c r="G60" s="641"/>
      <c r="H60" s="641"/>
      <c r="I60" s="641"/>
      <c r="J60" s="641"/>
    </row>
    <row r="61" spans="2:10" ht="15.75">
      <c r="B61" s="301" t="s">
        <v>682</v>
      </c>
      <c r="C61" s="442">
        <f>C46+C60</f>
        <v>30417</v>
      </c>
      <c r="D61" s="442">
        <f>D46+D60</f>
        <v>30859</v>
      </c>
      <c r="E61" s="347">
        <f>E46+E60</f>
        <v>8565</v>
      </c>
      <c r="G61" s="641"/>
      <c r="H61" s="641"/>
      <c r="I61" s="641"/>
      <c r="J61" s="641"/>
    </row>
    <row r="62" spans="2:10" ht="15.75">
      <c r="B62" s="152" t="s">
        <v>685</v>
      </c>
      <c r="C62" s="299"/>
      <c r="D62" s="299"/>
      <c r="E62" s="162"/>
      <c r="G62" s="641"/>
      <c r="H62" s="641"/>
      <c r="I62" s="641"/>
      <c r="J62" s="641"/>
    </row>
    <row r="63" spans="2:10" ht="15.75">
      <c r="B63" s="310" t="s">
        <v>167</v>
      </c>
      <c r="C63" s="468">
        <v>18079</v>
      </c>
      <c r="D63" s="468">
        <v>24500</v>
      </c>
      <c r="E63" s="93">
        <v>24500</v>
      </c>
      <c r="G63" s="641"/>
      <c r="H63" s="641"/>
      <c r="I63" s="641"/>
      <c r="J63" s="641"/>
    </row>
    <row r="64" spans="2:10" ht="15.75">
      <c r="B64" s="310" t="s">
        <v>102</v>
      </c>
      <c r="C64" s="468">
        <v>0</v>
      </c>
      <c r="D64" s="468">
        <v>0</v>
      </c>
      <c r="E64" s="93">
        <v>0</v>
      </c>
      <c r="G64" s="752" t="str">
        <f>CONCATENATE("Desired Carryover Into ",E1+1,"")</f>
        <v>Desired Carryover Into 2016</v>
      </c>
      <c r="H64" s="753"/>
      <c r="I64" s="753"/>
      <c r="J64" s="754"/>
    </row>
    <row r="65" spans="2:10" ht="15.75">
      <c r="B65" s="310" t="s">
        <v>838</v>
      </c>
      <c r="C65" s="468">
        <v>0</v>
      </c>
      <c r="D65" s="468">
        <v>0</v>
      </c>
      <c r="E65" s="93">
        <v>0</v>
      </c>
      <c r="G65" s="628"/>
      <c r="H65" s="68"/>
      <c r="I65" s="629"/>
      <c r="J65" s="630"/>
    </row>
    <row r="66" spans="2:10" ht="15.75">
      <c r="B66" s="310"/>
      <c r="C66" s="468"/>
      <c r="D66" s="468"/>
      <c r="E66" s="93"/>
      <c r="G66" s="631" t="s">
        <v>461</v>
      </c>
      <c r="H66" s="629"/>
      <c r="I66" s="629"/>
      <c r="J66" s="632">
        <v>0</v>
      </c>
    </row>
    <row r="67" spans="2:10" ht="15.75">
      <c r="B67" s="310"/>
      <c r="C67" s="468"/>
      <c r="D67" s="468"/>
      <c r="E67" s="93"/>
      <c r="G67" s="628" t="s">
        <v>462</v>
      </c>
      <c r="H67" s="68"/>
      <c r="I67" s="68"/>
      <c r="J67" s="633">
        <f>IF(J66=0,"",ROUND((J66+E80-G79)/inputOth!E5*1000,3)-G84)</f>
      </c>
    </row>
    <row r="68" spans="2:10" ht="15.75">
      <c r="B68" s="310"/>
      <c r="C68" s="468"/>
      <c r="D68" s="468"/>
      <c r="E68" s="93"/>
      <c r="G68" s="634" t="str">
        <f>CONCATENATE("",E1," Tot Exp/Non-Appr Must Be:")</f>
        <v>2015 Tot Exp/Non-Appr Must Be:</v>
      </c>
      <c r="H68" s="635"/>
      <c r="I68" s="636"/>
      <c r="J68" s="637">
        <f>IF(J66&gt;0,IF(E77&lt;E61,IF(J66=G79,E77,((J66-G79)*(1-D79))+E61),E77+(J66-G79)),0)</f>
        <v>0</v>
      </c>
    </row>
    <row r="69" spans="2:10" ht="15.75">
      <c r="B69" s="310"/>
      <c r="C69" s="468"/>
      <c r="D69" s="468"/>
      <c r="E69" s="93"/>
      <c r="G69" s="638" t="s">
        <v>598</v>
      </c>
      <c r="H69" s="639"/>
      <c r="I69" s="639"/>
      <c r="J69" s="640">
        <f>IF(J66&gt;0,J68-E77,0)</f>
        <v>0</v>
      </c>
    </row>
    <row r="70" spans="2:10" ht="15.75">
      <c r="B70" s="299" t="s">
        <v>910</v>
      </c>
      <c r="C70" s="468"/>
      <c r="D70" s="468"/>
      <c r="E70" s="97">
        <f>Nhood!E18</f>
        <v>4</v>
      </c>
      <c r="G70" s="641"/>
      <c r="H70" s="641"/>
      <c r="I70" s="641"/>
      <c r="J70" s="641"/>
    </row>
    <row r="71" spans="2:10" ht="15.75">
      <c r="B71" s="299" t="s">
        <v>911</v>
      </c>
      <c r="C71" s="468"/>
      <c r="D71" s="468"/>
      <c r="E71" s="93"/>
      <c r="G71" s="752" t="str">
        <f>CONCATENATE("Projected Carryover Into ",E1+1,"")</f>
        <v>Projected Carryover Into 2016</v>
      </c>
      <c r="H71" s="759"/>
      <c r="I71" s="759"/>
      <c r="J71" s="758"/>
    </row>
    <row r="72" spans="2:10" ht="15.75">
      <c r="B72" s="299" t="s">
        <v>912</v>
      </c>
      <c r="C72" s="438">
        <f>IF(C73*0.1&lt;C71,"Exceed 10% Rule","")</f>
      </c>
      <c r="D72" s="438">
        <f>IF(D73*0.1&lt;D71,"Exceed 10% Rule","")</f>
      </c>
      <c r="E72" s="327">
        <f>IF(E73*0.1&lt;E71,"Exceed 10% Rule","")</f>
      </c>
      <c r="G72" s="281"/>
      <c r="H72" s="68"/>
      <c r="I72" s="68"/>
      <c r="J72" s="661"/>
    </row>
    <row r="73" spans="2:10" ht="15.75">
      <c r="B73" s="301" t="s">
        <v>686</v>
      </c>
      <c r="C73" s="442">
        <f>SUM(C63:C71)</f>
        <v>18079</v>
      </c>
      <c r="D73" s="442">
        <f>SUM(D63:D71)</f>
        <v>24500</v>
      </c>
      <c r="E73" s="347">
        <f>SUM(E63:E71)</f>
        <v>24504</v>
      </c>
      <c r="G73" s="643">
        <f>D74</f>
        <v>6359</v>
      </c>
      <c r="H73" s="644" t="str">
        <f>CONCATENATE("",E1-1," Ending Cash Balance (est.)")</f>
        <v>2014 Ending Cash Balance (est.)</v>
      </c>
      <c r="I73" s="645"/>
      <c r="J73" s="661"/>
    </row>
    <row r="74" spans="2:10" ht="15.75">
      <c r="B74" s="152" t="s">
        <v>790</v>
      </c>
      <c r="C74" s="437">
        <f>C61-C73</f>
        <v>12338</v>
      </c>
      <c r="D74" s="437">
        <f>D61-D73</f>
        <v>6359</v>
      </c>
      <c r="E74" s="320" t="s">
        <v>660</v>
      </c>
      <c r="G74" s="643">
        <f>E60</f>
        <v>2206</v>
      </c>
      <c r="H74" s="629" t="str">
        <f>CONCATENATE("",E1," Non-AV Receipts (est.)")</f>
        <v>2015 Non-AV Receipts (est.)</v>
      </c>
      <c r="I74" s="645"/>
      <c r="J74" s="661"/>
    </row>
    <row r="75" spans="2:11" ht="15.75">
      <c r="B75" s="280" t="str">
        <f>CONCATENATE("",$E$1-2,"/",$E$1-1," Budget Authority Amount:")</f>
        <v>2013/2014 Budget Authority Amount:</v>
      </c>
      <c r="C75" s="272">
        <f>inputOth!B41</f>
        <v>24500</v>
      </c>
      <c r="D75" s="272">
        <f>inputPrYr!D28</f>
        <v>24500</v>
      </c>
      <c r="E75" s="320" t="s">
        <v>660</v>
      </c>
      <c r="F75" s="313"/>
      <c r="G75" s="646">
        <f>IF(E79&gt;0,E78,E80)</f>
        <v>15939</v>
      </c>
      <c r="H75" s="629" t="str">
        <f>CONCATENATE("",E1," Ad Valorem Tax (est.)")</f>
        <v>2015 Ad Valorem Tax (est.)</v>
      </c>
      <c r="I75" s="645"/>
      <c r="J75" s="661"/>
      <c r="K75" s="680" t="str">
        <f>IF(G75=E80,"","Note: Does not include Delinquent Taxes")</f>
        <v>Note: Does not include Delinquent Taxes</v>
      </c>
    </row>
    <row r="76" spans="2:10" ht="15.75">
      <c r="B76" s="280"/>
      <c r="C76" s="745" t="s">
        <v>453</v>
      </c>
      <c r="D76" s="746"/>
      <c r="E76" s="93"/>
      <c r="F76" s="481">
        <f>IF(E73/0.95-E73&lt;E76,"Exceeds 5%","")</f>
      </c>
      <c r="G76" s="662">
        <f>SUM(G73:G75)</f>
        <v>24504</v>
      </c>
      <c r="H76" s="629" t="str">
        <f>CONCATENATE("Total ",E1," Resources Available")</f>
        <v>Total 2015 Resources Available</v>
      </c>
      <c r="I76" s="169"/>
      <c r="J76" s="661"/>
    </row>
    <row r="77" spans="2:10" ht="15.75">
      <c r="B77" s="475" t="str">
        <f>CONCATENATE(C90,"      ",D90)</f>
        <v>      </v>
      </c>
      <c r="C77" s="747" t="s">
        <v>454</v>
      </c>
      <c r="D77" s="748"/>
      <c r="E77" s="258">
        <f>E73+E76</f>
        <v>24504</v>
      </c>
      <c r="G77" s="663"/>
      <c r="H77" s="664"/>
      <c r="I77" s="68"/>
      <c r="J77" s="661"/>
    </row>
    <row r="78" spans="2:10" ht="15.75">
      <c r="B78" s="475" t="str">
        <f>CONCATENATE(C91,"      ",D91)</f>
        <v>      </v>
      </c>
      <c r="C78" s="314"/>
      <c r="D78" s="106" t="s">
        <v>687</v>
      </c>
      <c r="E78" s="97">
        <f>IF(E77-E61&gt;0,E77-E61,0)</f>
        <v>15939</v>
      </c>
      <c r="G78" s="665">
        <f>ROUND(C73*0.05+C73,0)</f>
        <v>18983</v>
      </c>
      <c r="H78" s="629" t="str">
        <f>CONCATENATE("Less ",E1-2," Expenditures + 5%")</f>
        <v>Less 2013 Expenditures + 5%</v>
      </c>
      <c r="I78" s="169"/>
      <c r="J78" s="661"/>
    </row>
    <row r="79" spans="2:10" ht="15.75">
      <c r="B79" s="106"/>
      <c r="C79" s="457" t="s">
        <v>455</v>
      </c>
      <c r="D79" s="683">
        <f>inputOth!$E$22</f>
        <v>0.07</v>
      </c>
      <c r="E79" s="258">
        <f>ROUND(IF(D79&gt;0,(E78*D79),0),0)</f>
        <v>1116</v>
      </c>
      <c r="G79" s="666">
        <f>G76-G78</f>
        <v>5521</v>
      </c>
      <c r="H79" s="649" t="str">
        <f>CONCATENATE("Projected ",E1+1," carryover (est.)")</f>
        <v>Projected 2016 carryover (est.)</v>
      </c>
      <c r="I79" s="667"/>
      <c r="J79" s="668"/>
    </row>
    <row r="80" spans="2:10" ht="15.75">
      <c r="B80" s="66"/>
      <c r="C80" s="743" t="str">
        <f>CONCATENATE("Amount of  ",$E$1-1," Ad Valorem Tax")</f>
        <v>Amount of  2014 Ad Valorem Tax</v>
      </c>
      <c r="D80" s="744"/>
      <c r="E80" s="332">
        <f>E78+E79</f>
        <v>17055</v>
      </c>
      <c r="G80" s="641"/>
      <c r="H80" s="641"/>
      <c r="I80" s="641"/>
      <c r="J80" s="641"/>
    </row>
    <row r="81" spans="2:10" ht="15.75">
      <c r="B81" s="315" t="s">
        <v>700</v>
      </c>
      <c r="C81" s="333">
        <v>14</v>
      </c>
      <c r="D81" s="66"/>
      <c r="E81" s="66"/>
      <c r="G81" s="749" t="s">
        <v>599</v>
      </c>
      <c r="H81" s="750"/>
      <c r="I81" s="750"/>
      <c r="J81" s="751"/>
    </row>
    <row r="82" spans="7:10" ht="15.75">
      <c r="G82" s="652"/>
      <c r="H82" s="644"/>
      <c r="I82" s="653"/>
      <c r="J82" s="654"/>
    </row>
    <row r="83" spans="7:10" ht="15.75">
      <c r="G83" s="655">
        <f>summ!H28</f>
        <v>0.059</v>
      </c>
      <c r="H83" s="644" t="str">
        <f>CONCATENATE("",E1," Fund Mill Rate")</f>
        <v>2015 Fund Mill Rate</v>
      </c>
      <c r="I83" s="653"/>
      <c r="J83" s="654"/>
    </row>
    <row r="84" spans="7:10" ht="15.75">
      <c r="G84" s="656">
        <f>summ!E28</f>
        <v>0.059</v>
      </c>
      <c r="H84" s="644" t="str">
        <f>CONCATENATE("",E1-1," Fund Mill Rate")</f>
        <v>2014 Fund Mill Rate</v>
      </c>
      <c r="I84" s="653"/>
      <c r="J84" s="654"/>
    </row>
    <row r="85" spans="7:10" ht="15.75">
      <c r="G85" s="657">
        <f>summ!H52</f>
        <v>42.268</v>
      </c>
      <c r="H85" s="644" t="str">
        <f>CONCATENATE("Total ",E1," Mill Rate")</f>
        <v>Total 2015 Mill Rate</v>
      </c>
      <c r="I85" s="653"/>
      <c r="J85" s="654"/>
    </row>
    <row r="86" spans="7:10" ht="15.75">
      <c r="G86" s="656">
        <f>summ!E52</f>
        <v>40.64399999999999</v>
      </c>
      <c r="H86" s="658" t="str">
        <f>CONCATENATE("Total ",E1-1," Mill Rate")</f>
        <v>Total 2014 Mill Rate</v>
      </c>
      <c r="I86" s="659"/>
      <c r="J86" s="660"/>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row r="92" spans="7:9" ht="15.75">
      <c r="G92" s="696" t="s">
        <v>53</v>
      </c>
      <c r="H92" s="695"/>
      <c r="I92" s="694" t="str">
        <f>cert!F60</f>
        <v>Yes</v>
      </c>
    </row>
  </sheetData>
  <sheetProtection sheet="1"/>
  <mergeCells count="12">
    <mergeCell ref="G24:J24"/>
    <mergeCell ref="G31:J31"/>
    <mergeCell ref="G41:J41"/>
    <mergeCell ref="G64:J64"/>
    <mergeCell ref="G71:J71"/>
    <mergeCell ref="C36:D36"/>
    <mergeCell ref="C37:D37"/>
    <mergeCell ref="C76:D76"/>
    <mergeCell ref="C77:D77"/>
    <mergeCell ref="G81:J81"/>
    <mergeCell ref="C80:D80"/>
    <mergeCell ref="C40:D40"/>
  </mergeCells>
  <conditionalFormatting sqref="E36">
    <cfRule type="cellIs" priority="3" dxfId="309" operator="greaterThan" stopIfTrue="1">
      <formula>$E$33/0.95-$E$33</formula>
    </cfRule>
  </conditionalFormatting>
  <conditionalFormatting sqref="E76">
    <cfRule type="cellIs" priority="4" dxfId="309" operator="greaterThan" stopIfTrue="1">
      <formula>$E$73/0.95-$E$73</formula>
    </cfRule>
  </conditionalFormatting>
  <conditionalFormatting sqref="E71">
    <cfRule type="cellIs" priority="5" dxfId="309" operator="greaterThan" stopIfTrue="1">
      <formula>$E$73*0.1</formula>
    </cfRule>
  </conditionalFormatting>
  <conditionalFormatting sqref="C18">
    <cfRule type="cellIs" priority="6" dxfId="309" operator="greaterThan" stopIfTrue="1">
      <formula>$C$20*0.1</formula>
    </cfRule>
  </conditionalFormatting>
  <conditionalFormatting sqref="D18">
    <cfRule type="cellIs" priority="7" dxfId="309" operator="greaterThan" stopIfTrue="1">
      <formula>$D$20*0.1</formula>
    </cfRule>
  </conditionalFormatting>
  <conditionalFormatting sqref="E31">
    <cfRule type="cellIs" priority="8" dxfId="309" operator="greaterThan" stopIfTrue="1">
      <formula>$E$33*0.1</formula>
    </cfRule>
  </conditionalFormatting>
  <conditionalFormatting sqref="E18">
    <cfRule type="cellIs" priority="9" dxfId="309" operator="greaterThan" stopIfTrue="1">
      <formula>$E$20*0.1+E40</formula>
    </cfRule>
  </conditionalFormatting>
  <conditionalFormatting sqref="E58">
    <cfRule type="cellIs" priority="10" dxfId="309"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1"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B37">
      <selection activeCell="C10" sqref="C10"/>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472" t="s">
        <v>748</v>
      </c>
      <c r="C3" s="144"/>
      <c r="D3" s="144"/>
      <c r="E3" s="144"/>
    </row>
    <row r="4" spans="2:5" ht="15.75">
      <c r="B4" s="65" t="s">
        <v>672</v>
      </c>
      <c r="C4" s="624" t="s">
        <v>595</v>
      </c>
      <c r="D4" s="625" t="s">
        <v>596</v>
      </c>
      <c r="E4" s="148" t="s">
        <v>597</v>
      </c>
    </row>
    <row r="5" spans="2:5" ht="15.75">
      <c r="B5" s="460" t="str">
        <f>inputPrYr!$B$29</f>
        <v>No Fund Warr-B&amp;I</v>
      </c>
      <c r="C5" s="440" t="str">
        <f>CONCATENATE("Actual for ",E1-2,"")</f>
        <v>Actual for 2013</v>
      </c>
      <c r="D5" s="440" t="str">
        <f>CONCATENATE("Estimate for ",E1-1,"")</f>
        <v>Estimate for 2014</v>
      </c>
      <c r="E5" s="293" t="str">
        <f>CONCATENATE("Year for ",E1,"")</f>
        <v>Year for 2015</v>
      </c>
    </row>
    <row r="6" spans="2:5" ht="15.75">
      <c r="B6" s="152" t="s">
        <v>789</v>
      </c>
      <c r="C6" s="468">
        <v>174289</v>
      </c>
      <c r="D6" s="439">
        <f>C34</f>
        <v>12469</v>
      </c>
      <c r="E6" s="258">
        <f>D34</f>
        <v>10469</v>
      </c>
    </row>
    <row r="7" spans="2:5" ht="15.75">
      <c r="B7" s="283" t="s">
        <v>791</v>
      </c>
      <c r="C7" s="166"/>
      <c r="D7" s="166"/>
      <c r="E7" s="109"/>
    </row>
    <row r="8" spans="2:5" ht="15.75">
      <c r="B8" s="152" t="s">
        <v>673</v>
      </c>
      <c r="C8" s="468">
        <v>8</v>
      </c>
      <c r="D8" s="439">
        <f>IF(inputPrYr!H29&gt;0,inputPrYr!H29,inputPrYr!E29)</f>
        <v>0</v>
      </c>
      <c r="E8" s="320" t="s">
        <v>660</v>
      </c>
    </row>
    <row r="9" spans="2:5" ht="15.75">
      <c r="B9" s="152" t="s">
        <v>674</v>
      </c>
      <c r="C9" s="468">
        <v>2586</v>
      </c>
      <c r="D9" s="468">
        <v>4000</v>
      </c>
      <c r="E9" s="93">
        <v>6000</v>
      </c>
    </row>
    <row r="10" spans="2:5" ht="15.75">
      <c r="B10" s="152" t="s">
        <v>675</v>
      </c>
      <c r="C10" s="468">
        <v>11915</v>
      </c>
      <c r="D10" s="468">
        <v>0</v>
      </c>
      <c r="E10" s="258" t="str">
        <f>mvalloc!E23</f>
        <v>  </v>
      </c>
    </row>
    <row r="11" spans="2:5" ht="15.75">
      <c r="B11" s="152" t="s">
        <v>676</v>
      </c>
      <c r="C11" s="468">
        <v>151</v>
      </c>
      <c r="D11" s="468">
        <v>0</v>
      </c>
      <c r="E11" s="258" t="str">
        <f>mvalloc!F23</f>
        <v>  </v>
      </c>
    </row>
    <row r="12" spans="2:5" ht="15.75">
      <c r="B12" s="166" t="s">
        <v>740</v>
      </c>
      <c r="C12" s="468">
        <v>0</v>
      </c>
      <c r="D12" s="468">
        <v>0</v>
      </c>
      <c r="E12" s="258" t="str">
        <f>mvalloc!G23</f>
        <v>  </v>
      </c>
    </row>
    <row r="13" spans="2:5" ht="15.75">
      <c r="B13" s="310" t="s">
        <v>172</v>
      </c>
      <c r="C13" s="468">
        <v>68</v>
      </c>
      <c r="D13" s="468">
        <v>0</v>
      </c>
      <c r="E13" s="93">
        <v>0</v>
      </c>
    </row>
    <row r="14" spans="2:5" ht="15.75">
      <c r="B14" s="310"/>
      <c r="C14" s="468"/>
      <c r="D14" s="468"/>
      <c r="E14" s="93"/>
    </row>
    <row r="15" spans="2:5" ht="15.75">
      <c r="B15" s="310"/>
      <c r="C15" s="468"/>
      <c r="D15" s="468"/>
      <c r="E15" s="93"/>
    </row>
    <row r="16" spans="2:5" ht="15.75">
      <c r="B16" s="310"/>
      <c r="C16" s="468"/>
      <c r="D16" s="468"/>
      <c r="E16" s="93"/>
    </row>
    <row r="17" spans="2:5" ht="15.75">
      <c r="B17" s="298" t="s">
        <v>680</v>
      </c>
      <c r="C17" s="468"/>
      <c r="D17" s="468"/>
      <c r="E17" s="93"/>
    </row>
    <row r="18" spans="2:5" ht="15.75">
      <c r="B18" s="299" t="s">
        <v>911</v>
      </c>
      <c r="C18" s="468"/>
      <c r="D18" s="468"/>
      <c r="E18" s="93"/>
    </row>
    <row r="19" spans="2:5" ht="15.75">
      <c r="B19" s="299" t="s">
        <v>913</v>
      </c>
      <c r="C19" s="438">
        <f>IF(C20*0.1&lt;C18,"Exceed 10% Rule","")</f>
      </c>
      <c r="D19" s="438">
        <f>IF(D20*0.1&lt;D18,"Exceed 10% Rule","")</f>
      </c>
      <c r="E19" s="327">
        <f>IF(E20*0.1+E40&lt;E18,"Exceed 10% Rule","")</f>
      </c>
    </row>
    <row r="20" spans="2:5" ht="15.75">
      <c r="B20" s="301" t="s">
        <v>681</v>
      </c>
      <c r="C20" s="442">
        <f>SUM(C8:C18)</f>
        <v>14728</v>
      </c>
      <c r="D20" s="442">
        <f>SUM(D8:D18)</f>
        <v>4000</v>
      </c>
      <c r="E20" s="347">
        <f>SUM(E8:E18)</f>
        <v>6000</v>
      </c>
    </row>
    <row r="21" spans="2:5" ht="15.75">
      <c r="B21" s="301" t="s">
        <v>682</v>
      </c>
      <c r="C21" s="442">
        <f>C6+C20</f>
        <v>189017</v>
      </c>
      <c r="D21" s="442">
        <f>D6+D20</f>
        <v>16469</v>
      </c>
      <c r="E21" s="347">
        <f>E6+E20</f>
        <v>16469</v>
      </c>
    </row>
    <row r="22" spans="2:5" ht="15.75">
      <c r="B22" s="152" t="s">
        <v>685</v>
      </c>
      <c r="C22" s="299"/>
      <c r="D22" s="299"/>
      <c r="E22" s="162"/>
    </row>
    <row r="23" spans="2:5" ht="15.75">
      <c r="B23" s="310" t="s">
        <v>181</v>
      </c>
      <c r="C23" s="468">
        <v>176548</v>
      </c>
      <c r="D23" s="468">
        <v>6000</v>
      </c>
      <c r="E23" s="93">
        <v>16469</v>
      </c>
    </row>
    <row r="24" spans="2:10" ht="15.75">
      <c r="B24" s="310" t="s">
        <v>182</v>
      </c>
      <c r="C24" s="468"/>
      <c r="D24" s="468"/>
      <c r="E24" s="93"/>
      <c r="G24" s="752" t="str">
        <f>CONCATENATE("Desired Carryover Into ",E1+1,"")</f>
        <v>Desired Carryover Into 2016</v>
      </c>
      <c r="H24" s="753"/>
      <c r="I24" s="753"/>
      <c r="J24" s="754"/>
    </row>
    <row r="25" spans="2:10" ht="15.75">
      <c r="B25" s="310"/>
      <c r="C25" s="468"/>
      <c r="D25" s="468"/>
      <c r="E25" s="93"/>
      <c r="G25" s="628"/>
      <c r="H25" s="68"/>
      <c r="I25" s="629"/>
      <c r="J25" s="630"/>
    </row>
    <row r="26" spans="2:10" ht="15.75">
      <c r="B26" s="310"/>
      <c r="C26" s="468"/>
      <c r="D26" s="468"/>
      <c r="E26" s="93"/>
      <c r="G26" s="631" t="s">
        <v>461</v>
      </c>
      <c r="H26" s="629"/>
      <c r="I26" s="629"/>
      <c r="J26" s="632">
        <v>0</v>
      </c>
    </row>
    <row r="27" spans="2:10" ht="15.75">
      <c r="B27" s="310"/>
      <c r="C27" s="468"/>
      <c r="D27" s="468"/>
      <c r="E27" s="93"/>
      <c r="G27" s="628" t="s">
        <v>462</v>
      </c>
      <c r="H27" s="68"/>
      <c r="I27" s="68"/>
      <c r="J27" s="633">
        <f>IF(J26=0,"",ROUND((J26+E40-G39)/inputOth!E5*1000,3)-G44)</f>
      </c>
    </row>
    <row r="28" spans="2:10" ht="15.75">
      <c r="B28" s="310"/>
      <c r="C28" s="468"/>
      <c r="D28" s="468"/>
      <c r="E28" s="93"/>
      <c r="G28" s="634" t="str">
        <f>CONCATENATE("",E1," Tot Exp/Non-Appr Must Be:")</f>
        <v>2015 Tot Exp/Non-Appr Must Be:</v>
      </c>
      <c r="H28" s="635"/>
      <c r="I28" s="636"/>
      <c r="J28" s="637">
        <f>IF(J26&gt;0,IF(E37&lt;E21,IF(J26=G39,E37,((J26-G39)*(1-D39))+E21),E37+(J26-G39)),0)</f>
        <v>0</v>
      </c>
    </row>
    <row r="29" spans="2:10" ht="15.75">
      <c r="B29" s="310"/>
      <c r="C29" s="468"/>
      <c r="D29" s="468"/>
      <c r="E29" s="93"/>
      <c r="G29" s="638" t="s">
        <v>598</v>
      </c>
      <c r="H29" s="639"/>
      <c r="I29" s="639"/>
      <c r="J29" s="640">
        <f>IF(J26&gt;0,J28-E37,0)</f>
        <v>0</v>
      </c>
    </row>
    <row r="30" spans="2:10" ht="15.75">
      <c r="B30" s="299" t="s">
        <v>910</v>
      </c>
      <c r="C30" s="468"/>
      <c r="D30" s="468"/>
      <c r="E30" s="97">
        <f>Nhood!E19</f>
      </c>
      <c r="G30" s="641"/>
      <c r="H30" s="641"/>
      <c r="I30" s="641"/>
      <c r="J30" s="641"/>
    </row>
    <row r="31" spans="2:10" ht="15.75">
      <c r="B31" s="299" t="s">
        <v>911</v>
      </c>
      <c r="C31" s="468"/>
      <c r="D31" s="468"/>
      <c r="E31" s="93"/>
      <c r="G31" s="752" t="str">
        <f>CONCATENATE("Projected Carryover Into ",E1+1,"")</f>
        <v>Projected Carryover Into 2016</v>
      </c>
      <c r="H31" s="757"/>
      <c r="I31" s="757"/>
      <c r="J31" s="758"/>
    </row>
    <row r="32" spans="2:10" ht="15.75">
      <c r="B32" s="299" t="s">
        <v>912</v>
      </c>
      <c r="C32" s="438">
        <f>IF(C33*0.1&lt;C31,"Exceed 10% Rule","")</f>
      </c>
      <c r="D32" s="438">
        <f>IF(D33*0.1&lt;D31,"Exceed 10% Rule","")</f>
      </c>
      <c r="E32" s="327">
        <f>IF(E33*0.1&lt;E31,"Exceed 10% Rule","")</f>
      </c>
      <c r="G32" s="628"/>
      <c r="H32" s="629"/>
      <c r="I32" s="629"/>
      <c r="J32" s="642"/>
    </row>
    <row r="33" spans="2:10" ht="15.75">
      <c r="B33" s="301" t="s">
        <v>686</v>
      </c>
      <c r="C33" s="442">
        <f>SUM(C23:C31)</f>
        <v>176548</v>
      </c>
      <c r="D33" s="442">
        <f>SUM(D23:D31)</f>
        <v>6000</v>
      </c>
      <c r="E33" s="347">
        <f>SUM(E23:E31)</f>
        <v>16469</v>
      </c>
      <c r="G33" s="643">
        <f>D34</f>
        <v>10469</v>
      </c>
      <c r="H33" s="644" t="str">
        <f>CONCATENATE("",E1-1," Ending Cash Balance (est.)")</f>
        <v>2014 Ending Cash Balance (est.)</v>
      </c>
      <c r="I33" s="645"/>
      <c r="J33" s="642"/>
    </row>
    <row r="34" spans="2:10" ht="15.75">
      <c r="B34" s="152" t="s">
        <v>790</v>
      </c>
      <c r="C34" s="437">
        <f>C21-C33</f>
        <v>12469</v>
      </c>
      <c r="D34" s="437">
        <f>D21-D33</f>
        <v>10469</v>
      </c>
      <c r="E34" s="320" t="s">
        <v>660</v>
      </c>
      <c r="G34" s="643">
        <f>E20</f>
        <v>6000</v>
      </c>
      <c r="H34" s="629" t="str">
        <f>CONCATENATE("",E1," Non-AV Receipts (est.)")</f>
        <v>2015 Non-AV Receipts (est.)</v>
      </c>
      <c r="I34" s="645"/>
      <c r="J34" s="642"/>
    </row>
    <row r="35" spans="2:11" ht="15.75">
      <c r="B35" s="280" t="str">
        <f>CONCATENATE("",$E$1-2,"/",$E$1-1," Budget Authority Amount:")</f>
        <v>2013/2014 Budget Authority Amount:</v>
      </c>
      <c r="C35" s="272">
        <f>inputOth!B42</f>
        <v>200175</v>
      </c>
      <c r="D35" s="272">
        <f>inputPrYr!D29</f>
        <v>6000</v>
      </c>
      <c r="E35" s="320" t="s">
        <v>660</v>
      </c>
      <c r="F35" s="313"/>
      <c r="G35" s="646">
        <f>IF(E39&gt;0,E38,E40)</f>
        <v>0</v>
      </c>
      <c r="H35" s="629" t="str">
        <f>CONCATENATE("",E1," Ad Valorem Tax (est.)")</f>
        <v>2015 Ad Valorem Tax (est.)</v>
      </c>
      <c r="I35" s="645"/>
      <c r="J35" s="642"/>
      <c r="K35" s="680">
        <f>IF(G35=E40,"","Note: Does not include Delinquent Taxes")</f>
      </c>
    </row>
    <row r="36" spans="2:10" ht="15.75">
      <c r="B36" s="280"/>
      <c r="C36" s="745" t="s">
        <v>453</v>
      </c>
      <c r="D36" s="746"/>
      <c r="E36" s="93"/>
      <c r="F36" s="481">
        <f>IF(E33/0.95-E33&lt;E36,"Exceeds 5%","")</f>
      </c>
      <c r="G36" s="643">
        <f>SUM(G33:G35)</f>
        <v>16469</v>
      </c>
      <c r="H36" s="629" t="str">
        <f>CONCATENATE("Total ",E1," Resources Available")</f>
        <v>Total 2015 Resources Available</v>
      </c>
      <c r="I36" s="645"/>
      <c r="J36" s="642"/>
    </row>
    <row r="37" spans="2:10" ht="15.75">
      <c r="B37" s="475" t="str">
        <f>CONCATENATE(C88,"     ",D88)</f>
        <v>     </v>
      </c>
      <c r="C37" s="747" t="s">
        <v>454</v>
      </c>
      <c r="D37" s="748"/>
      <c r="E37" s="258">
        <f>E33+E36</f>
        <v>16469</v>
      </c>
      <c r="G37" s="647"/>
      <c r="H37" s="629"/>
      <c r="I37" s="629"/>
      <c r="J37" s="642"/>
    </row>
    <row r="38" spans="2:10" ht="15.75">
      <c r="B38" s="475" t="str">
        <f>CONCATENATE(C89,"      ",D89)</f>
        <v>      </v>
      </c>
      <c r="C38" s="314"/>
      <c r="D38" s="106" t="s">
        <v>687</v>
      </c>
      <c r="E38" s="97">
        <f>IF(E37-E21&gt;0,E37-E21,0)</f>
        <v>0</v>
      </c>
      <c r="G38" s="646">
        <f>ROUND(C33*0.05+C33,0)</f>
        <v>185375</v>
      </c>
      <c r="H38" s="629" t="str">
        <f>CONCATENATE("Less ",E1-2," Expenditures + 5%")</f>
        <v>Less 2013 Expenditures + 5%</v>
      </c>
      <c r="I38" s="645"/>
      <c r="J38" s="661"/>
    </row>
    <row r="39" spans="2:10" ht="15.75">
      <c r="B39" s="106"/>
      <c r="C39" s="457" t="s">
        <v>455</v>
      </c>
      <c r="D39" s="683">
        <f>inputOth!$E$22</f>
        <v>0.07</v>
      </c>
      <c r="E39" s="258">
        <f>ROUND(IF(D39&gt;0,(E38*D39),0),0)</f>
        <v>0</v>
      </c>
      <c r="G39" s="648">
        <f>G36-G38</f>
        <v>-168906</v>
      </c>
      <c r="H39" s="649" t="str">
        <f>CONCATENATE("Projected ",E1+1," carryover (est.)")</f>
        <v>Projected 2016 carryover (est.)</v>
      </c>
      <c r="I39" s="650"/>
      <c r="J39" s="651"/>
    </row>
    <row r="40" spans="2:10" ht="15.75">
      <c r="B40" s="66"/>
      <c r="C40" s="743" t="str">
        <f>CONCATENATE("Amount of  ",$E$1-1," Ad Valorem Tax")</f>
        <v>Amount of  2014 Ad Valorem Tax</v>
      </c>
      <c r="D40" s="744"/>
      <c r="E40" s="332">
        <f>E38+E39</f>
        <v>0</v>
      </c>
      <c r="G40" s="641"/>
      <c r="H40" s="641"/>
      <c r="I40" s="641"/>
      <c r="J40" s="641"/>
    </row>
    <row r="41" spans="2:10" ht="15.75">
      <c r="B41" s="66"/>
      <c r="C41" s="607"/>
      <c r="D41" s="66"/>
      <c r="E41" s="66"/>
      <c r="G41" s="749" t="s">
        <v>599</v>
      </c>
      <c r="H41" s="750"/>
      <c r="I41" s="750"/>
      <c r="J41" s="751"/>
    </row>
    <row r="42" spans="2:10" ht="15.75">
      <c r="B42" s="66"/>
      <c r="C42" s="607"/>
      <c r="D42" s="66"/>
      <c r="E42" s="66"/>
      <c r="G42" s="652"/>
      <c r="H42" s="644"/>
      <c r="I42" s="653"/>
      <c r="J42" s="654"/>
    </row>
    <row r="43" spans="2:10" ht="15.75">
      <c r="B43" s="66"/>
      <c r="C43" s="144"/>
      <c r="D43" s="144"/>
      <c r="E43" s="144"/>
      <c r="G43" s="655" t="str">
        <f>summ!H29</f>
        <v>  </v>
      </c>
      <c r="H43" s="644" t="str">
        <f>CONCATENATE("",E1," Fund Mill Rate")</f>
        <v>2015 Fund Mill Rate</v>
      </c>
      <c r="I43" s="653"/>
      <c r="J43" s="654"/>
    </row>
    <row r="44" spans="2:10" ht="15.75">
      <c r="B44" s="65" t="s">
        <v>672</v>
      </c>
      <c r="C44" s="624" t="str">
        <f aca="true" t="shared" si="0" ref="C44:E45">C4</f>
        <v>Prior Year </v>
      </c>
      <c r="D44" s="625" t="str">
        <f t="shared" si="0"/>
        <v>Current Year </v>
      </c>
      <c r="E44" s="148" t="str">
        <f t="shared" si="0"/>
        <v>Proposed Budget </v>
      </c>
      <c r="G44" s="656" t="str">
        <f>summ!E29</f>
        <v>  </v>
      </c>
      <c r="H44" s="644" t="str">
        <f>CONCATENATE("",E1-1," Fund Mill Rate")</f>
        <v>2014 Fund Mill Rate</v>
      </c>
      <c r="I44" s="653"/>
      <c r="J44" s="654"/>
    </row>
    <row r="45" spans="2:10" ht="15.75">
      <c r="B45" s="460">
        <f>inputPrYr!$B$30</f>
        <v>0</v>
      </c>
      <c r="C45" s="440" t="str">
        <f t="shared" si="0"/>
        <v>Actual for 2013</v>
      </c>
      <c r="D45" s="440" t="str">
        <f t="shared" si="0"/>
        <v>Estimate for 2014</v>
      </c>
      <c r="E45" s="305" t="str">
        <f t="shared" si="0"/>
        <v>Year for 2015</v>
      </c>
      <c r="G45" s="657">
        <f>summ!H52</f>
        <v>42.268</v>
      </c>
      <c r="H45" s="644" t="str">
        <f>CONCATENATE("Total ",E1," Mill Rate")</f>
        <v>Total 2015 Mill Rate</v>
      </c>
      <c r="I45" s="653"/>
      <c r="J45" s="654"/>
    </row>
    <row r="46" spans="2:10" ht="15.75">
      <c r="B46" s="152" t="s">
        <v>789</v>
      </c>
      <c r="C46" s="468"/>
      <c r="D46" s="439">
        <f>C74</f>
        <v>0</v>
      </c>
      <c r="E46" s="258">
        <f>D74</f>
        <v>0</v>
      </c>
      <c r="G46" s="656">
        <f>summ!E52</f>
        <v>40.64399999999999</v>
      </c>
      <c r="H46" s="658" t="str">
        <f>CONCATENATE("Total ",E1-1," Mill Rate")</f>
        <v>Total 2014 Mill Rate</v>
      </c>
      <c r="I46" s="659"/>
      <c r="J46" s="660"/>
    </row>
    <row r="47" spans="2:10" ht="15.75">
      <c r="B47" s="294" t="s">
        <v>791</v>
      </c>
      <c r="C47" s="166"/>
      <c r="D47" s="166"/>
      <c r="E47" s="109"/>
      <c r="G47" s="641"/>
      <c r="H47" s="641"/>
      <c r="I47" s="641"/>
      <c r="J47" s="641"/>
    </row>
    <row r="48" spans="2:10" ht="15.75">
      <c r="B48" s="152" t="s">
        <v>673</v>
      </c>
      <c r="C48" s="468"/>
      <c r="D48" s="439">
        <f>IF(inputPrYr!H30&gt;0,inputPrYr!H30,inputPrYr!E30)</f>
        <v>0</v>
      </c>
      <c r="E48" s="320" t="s">
        <v>660</v>
      </c>
      <c r="G48" s="696" t="s">
        <v>53</v>
      </c>
      <c r="H48" s="695"/>
      <c r="I48" s="694" t="str">
        <f>cert!F60</f>
        <v>Yes</v>
      </c>
      <c r="J48" s="641"/>
    </row>
    <row r="49" spans="2:10" ht="15.75">
      <c r="B49" s="152" t="s">
        <v>674</v>
      </c>
      <c r="C49" s="468"/>
      <c r="D49" s="468"/>
      <c r="E49" s="93"/>
      <c r="G49" s="641"/>
      <c r="H49" s="641"/>
      <c r="I49" s="641"/>
      <c r="J49" s="641"/>
    </row>
    <row r="50" spans="2:10" ht="15.75">
      <c r="B50" s="152" t="s">
        <v>675</v>
      </c>
      <c r="C50" s="468"/>
      <c r="D50" s="468"/>
      <c r="E50" s="258" t="str">
        <f>mvalloc!E24</f>
        <v>  </v>
      </c>
      <c r="G50" s="641"/>
      <c r="H50" s="641"/>
      <c r="I50" s="641"/>
      <c r="J50" s="641"/>
    </row>
    <row r="51" spans="2:10" ht="15.75">
      <c r="B51" s="152" t="s">
        <v>676</v>
      </c>
      <c r="C51" s="468"/>
      <c r="D51" s="468"/>
      <c r="E51" s="258" t="str">
        <f>mvalloc!F24</f>
        <v>  </v>
      </c>
      <c r="G51" s="641"/>
      <c r="H51" s="641"/>
      <c r="I51" s="641"/>
      <c r="J51" s="641"/>
    </row>
    <row r="52" spans="2:10" ht="15.75">
      <c r="B52" s="166" t="s">
        <v>740</v>
      </c>
      <c r="C52" s="468"/>
      <c r="D52" s="468"/>
      <c r="E52" s="258" t="str">
        <f>mvalloc!G24</f>
        <v>  </v>
      </c>
      <c r="G52" s="641"/>
      <c r="H52" s="641"/>
      <c r="I52" s="641"/>
      <c r="J52" s="641"/>
    </row>
    <row r="53" spans="2:10" ht="15.75">
      <c r="B53" s="310"/>
      <c r="C53" s="468"/>
      <c r="D53" s="468"/>
      <c r="E53" s="93"/>
      <c r="G53" s="641"/>
      <c r="H53" s="641"/>
      <c r="I53" s="641"/>
      <c r="J53" s="641"/>
    </row>
    <row r="54" spans="2:10" ht="15.75">
      <c r="B54" s="310"/>
      <c r="C54" s="468"/>
      <c r="D54" s="468"/>
      <c r="E54" s="93"/>
      <c r="G54" s="641"/>
      <c r="H54" s="641"/>
      <c r="I54" s="641"/>
      <c r="J54" s="641"/>
    </row>
    <row r="55" spans="2:10" ht="15.75">
      <c r="B55" s="310"/>
      <c r="C55" s="468"/>
      <c r="D55" s="468"/>
      <c r="E55" s="93"/>
      <c r="G55" s="641"/>
      <c r="H55" s="641"/>
      <c r="I55" s="641"/>
      <c r="J55" s="641"/>
    </row>
    <row r="56" spans="2:10" ht="15.75">
      <c r="B56" s="310"/>
      <c r="C56" s="468"/>
      <c r="D56" s="468"/>
      <c r="E56" s="93"/>
      <c r="G56" s="641"/>
      <c r="H56" s="641"/>
      <c r="I56" s="641"/>
      <c r="J56" s="641"/>
    </row>
    <row r="57" spans="2:10" ht="15.75">
      <c r="B57" s="298" t="s">
        <v>680</v>
      </c>
      <c r="C57" s="468"/>
      <c r="D57" s="468"/>
      <c r="E57" s="93"/>
      <c r="G57" s="641"/>
      <c r="H57" s="641"/>
      <c r="I57" s="641"/>
      <c r="J57" s="641"/>
    </row>
    <row r="58" spans="2:10" ht="15.75">
      <c r="B58" s="299" t="s">
        <v>911</v>
      </c>
      <c r="C58" s="468"/>
      <c r="D58" s="468"/>
      <c r="E58" s="93"/>
      <c r="G58" s="641"/>
      <c r="H58" s="641"/>
      <c r="I58" s="641"/>
      <c r="J58" s="641"/>
    </row>
    <row r="59" spans="2:10" ht="15.75">
      <c r="B59" s="299" t="s">
        <v>913</v>
      </c>
      <c r="C59" s="438">
        <f>IF(C60*0.1&lt;C58,"Exceed 10% Rule","")</f>
      </c>
      <c r="D59" s="438">
        <f>IF(D60*0.1&lt;D58,"Exceed 10% Rule","")</f>
      </c>
      <c r="E59" s="327">
        <f>IF(E60*0.1+E80&lt;E58,"Exceed 10% Rule","")</f>
      </c>
      <c r="G59" s="641"/>
      <c r="H59" s="641"/>
      <c r="I59" s="641"/>
      <c r="J59" s="641"/>
    </row>
    <row r="60" spans="2:10" ht="15.75">
      <c r="B60" s="301" t="s">
        <v>681</v>
      </c>
      <c r="C60" s="442">
        <f>SUM(C48:C58)</f>
        <v>0</v>
      </c>
      <c r="D60" s="442">
        <f>SUM(D48:D58)</f>
        <v>0</v>
      </c>
      <c r="E60" s="347">
        <f>SUM(E48:E58)</f>
        <v>0</v>
      </c>
      <c r="G60" s="641"/>
      <c r="H60" s="641"/>
      <c r="I60" s="641"/>
      <c r="J60" s="641"/>
    </row>
    <row r="61" spans="2:10" ht="15.75">
      <c r="B61" s="301" t="s">
        <v>682</v>
      </c>
      <c r="C61" s="442">
        <f>C46+C60</f>
        <v>0</v>
      </c>
      <c r="D61" s="442">
        <f>D46+D60</f>
        <v>0</v>
      </c>
      <c r="E61" s="347">
        <f>E46+E60</f>
        <v>0</v>
      </c>
      <c r="G61" s="641"/>
      <c r="H61" s="641"/>
      <c r="I61" s="641"/>
      <c r="J61" s="641"/>
    </row>
    <row r="62" spans="2:10" ht="15.75">
      <c r="B62" s="152" t="s">
        <v>685</v>
      </c>
      <c r="C62" s="299"/>
      <c r="D62" s="299"/>
      <c r="E62" s="162"/>
      <c r="G62" s="641"/>
      <c r="H62" s="641"/>
      <c r="I62" s="641"/>
      <c r="J62" s="641"/>
    </row>
    <row r="63" spans="2:10" ht="15.75">
      <c r="B63" s="310"/>
      <c r="C63" s="468"/>
      <c r="D63" s="468"/>
      <c r="E63" s="93"/>
      <c r="G63" s="641"/>
      <c r="H63" s="641"/>
      <c r="I63" s="641"/>
      <c r="J63" s="641"/>
    </row>
    <row r="64" spans="2:10" ht="15.75">
      <c r="B64" s="310"/>
      <c r="C64" s="468"/>
      <c r="D64" s="468"/>
      <c r="E64" s="93"/>
      <c r="G64" s="752" t="str">
        <f>CONCATENATE("Desired Carryover Into ",E1+1,"")</f>
        <v>Desired Carryover Into 2016</v>
      </c>
      <c r="H64" s="753"/>
      <c r="I64" s="753"/>
      <c r="J64" s="754"/>
    </row>
    <row r="65" spans="2:10" ht="15.75">
      <c r="B65" s="310"/>
      <c r="C65" s="468"/>
      <c r="D65" s="468"/>
      <c r="E65" s="93"/>
      <c r="G65" s="628"/>
      <c r="H65" s="68"/>
      <c r="I65" s="629"/>
      <c r="J65" s="630"/>
    </row>
    <row r="66" spans="2:10" ht="15.75">
      <c r="B66" s="310"/>
      <c r="C66" s="468"/>
      <c r="D66" s="468"/>
      <c r="E66" s="93"/>
      <c r="G66" s="631" t="s">
        <v>461</v>
      </c>
      <c r="H66" s="629"/>
      <c r="I66" s="629"/>
      <c r="J66" s="632">
        <v>0</v>
      </c>
    </row>
    <row r="67" spans="2:10" ht="15.75">
      <c r="B67" s="310"/>
      <c r="C67" s="468"/>
      <c r="D67" s="468"/>
      <c r="E67" s="93"/>
      <c r="G67" s="628" t="s">
        <v>462</v>
      </c>
      <c r="H67" s="68"/>
      <c r="I67" s="68"/>
      <c r="J67" s="633">
        <f>IF(J66=0,"",ROUND((J66+E80-G79)/inputOth!E5*1000,3)-G84)</f>
      </c>
    </row>
    <row r="68" spans="2:10" ht="15.75">
      <c r="B68" s="310"/>
      <c r="C68" s="468"/>
      <c r="D68" s="468"/>
      <c r="E68" s="93"/>
      <c r="G68" s="634" t="str">
        <f>CONCATENATE("",E1," Tot Exp/Non-Appr Must Be:")</f>
        <v>2015 Tot Exp/Non-Appr Must Be:</v>
      </c>
      <c r="H68" s="635"/>
      <c r="I68" s="636"/>
      <c r="J68" s="637">
        <f>IF(J66&gt;0,IF(E77&lt;E61,IF(J66=G79,E77,((J66-G79)*(1-D79))+E61),E77+(J66-G79)),0)</f>
        <v>0</v>
      </c>
    </row>
    <row r="69" spans="2:10" ht="15.75">
      <c r="B69" s="310"/>
      <c r="C69" s="468"/>
      <c r="D69" s="468"/>
      <c r="E69" s="93"/>
      <c r="G69" s="638" t="s">
        <v>598</v>
      </c>
      <c r="H69" s="639"/>
      <c r="I69" s="639"/>
      <c r="J69" s="640">
        <f>IF(J66&gt;0,J68-E77,0)</f>
        <v>0</v>
      </c>
    </row>
    <row r="70" spans="2:10" ht="15.75">
      <c r="B70" s="299" t="s">
        <v>910</v>
      </c>
      <c r="C70" s="468"/>
      <c r="D70" s="468"/>
      <c r="E70" s="97">
        <f>Nhood!E20</f>
      </c>
      <c r="G70" s="641"/>
      <c r="H70" s="641"/>
      <c r="I70" s="641"/>
      <c r="J70" s="641"/>
    </row>
    <row r="71" spans="2:10" ht="15.75">
      <c r="B71" s="299" t="s">
        <v>911</v>
      </c>
      <c r="C71" s="468"/>
      <c r="D71" s="468"/>
      <c r="E71" s="93"/>
      <c r="G71" s="752" t="str">
        <f>CONCATENATE("Projected Carryover Into ",E1+1,"")</f>
        <v>Projected Carryover Into 2016</v>
      </c>
      <c r="H71" s="759"/>
      <c r="I71" s="759"/>
      <c r="J71" s="758"/>
    </row>
    <row r="72" spans="2:10" ht="15.75">
      <c r="B72" s="299" t="s">
        <v>912</v>
      </c>
      <c r="C72" s="438">
        <f>IF(C73*0.1&lt;C71,"Exceed 10% Rule","")</f>
      </c>
      <c r="D72" s="438">
        <f>IF(D73*0.1&lt;D71,"Exceed 10% Rule","")</f>
      </c>
      <c r="E72" s="327">
        <f>IF(E73*0.1&lt;E71,"Exceed 10% Rule","")</f>
      </c>
      <c r="G72" s="281"/>
      <c r="H72" s="68"/>
      <c r="I72" s="68"/>
      <c r="J72" s="661"/>
    </row>
    <row r="73" spans="2:10" ht="15.75">
      <c r="B73" s="301" t="s">
        <v>686</v>
      </c>
      <c r="C73" s="442">
        <f>SUM(C63:C71)</f>
        <v>0</v>
      </c>
      <c r="D73" s="442">
        <f>SUM(D63:D71)</f>
        <v>0</v>
      </c>
      <c r="E73" s="347">
        <f>SUM(E63:E71)</f>
        <v>0</v>
      </c>
      <c r="G73" s="643">
        <f>D74</f>
        <v>0</v>
      </c>
      <c r="H73" s="644" t="str">
        <f>CONCATENATE("",E1-1," Ending Cash Balance (est.)")</f>
        <v>2014 Ending Cash Balance (est.)</v>
      </c>
      <c r="I73" s="645"/>
      <c r="J73" s="661"/>
    </row>
    <row r="74" spans="2:10" ht="15.75">
      <c r="B74" s="152" t="s">
        <v>790</v>
      </c>
      <c r="C74" s="437">
        <f>C61-C73</f>
        <v>0</v>
      </c>
      <c r="D74" s="437">
        <f>D61-D73</f>
        <v>0</v>
      </c>
      <c r="E74" s="320" t="s">
        <v>660</v>
      </c>
      <c r="G74" s="643">
        <f>E60</f>
        <v>0</v>
      </c>
      <c r="H74" s="629" t="str">
        <f>CONCATENATE("",E1," Non-AV Receipts (est.)")</f>
        <v>2015 Non-AV Receipts (est.)</v>
      </c>
      <c r="I74" s="645"/>
      <c r="J74" s="661"/>
    </row>
    <row r="75" spans="2:11" ht="15.75">
      <c r="B75" s="280" t="str">
        <f>CONCATENATE("",$E$1-2,"/",$E$1-1," Budget Authority Amount:")</f>
        <v>2013/2014 Budget Authority Amount:</v>
      </c>
      <c r="C75" s="272">
        <f>inputOth!B43</f>
        <v>0</v>
      </c>
      <c r="D75" s="272">
        <f>inputPrYr!D30</f>
        <v>0</v>
      </c>
      <c r="E75" s="320" t="s">
        <v>660</v>
      </c>
      <c r="F75" s="313"/>
      <c r="G75" s="646">
        <f>IF(E79&gt;0,E78,E80)</f>
        <v>0</v>
      </c>
      <c r="H75" s="629" t="str">
        <f>CONCATENATE("",E1," Ad Valorem Tax (est.)")</f>
        <v>2015 Ad Valorem Tax (est.)</v>
      </c>
      <c r="I75" s="645"/>
      <c r="J75" s="661"/>
      <c r="K75" s="680">
        <f>IF(G75=E80,"","Note: Does not include Delinquent Taxes")</f>
      </c>
    </row>
    <row r="76" spans="2:10" ht="15.75">
      <c r="B76" s="280"/>
      <c r="C76" s="745" t="s">
        <v>453</v>
      </c>
      <c r="D76" s="746"/>
      <c r="E76" s="93"/>
      <c r="F76" s="481">
        <f>IF(E73/0.95-E73&lt;E76,"Exceeds 5%","")</f>
      </c>
      <c r="G76" s="662">
        <f>SUM(G73:G75)</f>
        <v>0</v>
      </c>
      <c r="H76" s="629" t="str">
        <f>CONCATENATE("Total ",E1," Resources Available")</f>
        <v>Total 2015 Resources Available</v>
      </c>
      <c r="I76" s="169"/>
      <c r="J76" s="661"/>
    </row>
    <row r="77" spans="2:10" ht="15.75">
      <c r="B77" s="475" t="str">
        <f>CONCATENATE(C90,"      ",D90)</f>
        <v>      </v>
      </c>
      <c r="C77" s="747" t="s">
        <v>454</v>
      </c>
      <c r="D77" s="748"/>
      <c r="E77" s="258">
        <f>E73+E76</f>
        <v>0</v>
      </c>
      <c r="G77" s="663"/>
      <c r="H77" s="664"/>
      <c r="I77" s="68"/>
      <c r="J77" s="661"/>
    </row>
    <row r="78" spans="2:10" ht="15.75">
      <c r="B78" s="475" t="str">
        <f>CONCATENATE(C91,"      ",D91)</f>
        <v>      </v>
      </c>
      <c r="C78" s="314"/>
      <c r="D78" s="106" t="s">
        <v>687</v>
      </c>
      <c r="E78" s="97">
        <f>IF(E77-E61&gt;0,E77-E61,0)</f>
        <v>0</v>
      </c>
      <c r="G78" s="665">
        <f>ROUND(C73*0.05+C73,0)</f>
        <v>0</v>
      </c>
      <c r="H78" s="629" t="str">
        <f>CONCATENATE("Less ",E1-2," Expenditures + 5%")</f>
        <v>Less 2013 Expenditures + 5%</v>
      </c>
      <c r="I78" s="169"/>
      <c r="J78" s="661"/>
    </row>
    <row r="79" spans="2:10" ht="15.75">
      <c r="B79" s="106"/>
      <c r="C79" s="457" t="s">
        <v>455</v>
      </c>
      <c r="D79" s="683">
        <f>inputOth!$E$22</f>
        <v>0.07</v>
      </c>
      <c r="E79" s="258">
        <f>ROUND(IF(D79&gt;0,(E78*D79),0),0)</f>
        <v>0</v>
      </c>
      <c r="G79" s="666">
        <f>G76-G78</f>
        <v>0</v>
      </c>
      <c r="H79" s="649" t="str">
        <f>CONCATENATE("Projected ",E1+1," carryover (est.)")</f>
        <v>Projected 2016 carryover (est.)</v>
      </c>
      <c r="I79" s="667"/>
      <c r="J79" s="668"/>
    </row>
    <row r="80" spans="2:10" ht="15.75">
      <c r="B80" s="66"/>
      <c r="C80" s="743" t="str">
        <f>CONCATENATE("Amount of  ",$E$1-1," Ad Valorem Tax")</f>
        <v>Amount of  2014 Ad Valorem Tax</v>
      </c>
      <c r="D80" s="744"/>
      <c r="E80" s="332">
        <f>E78+E79</f>
        <v>0</v>
      </c>
      <c r="G80" s="641"/>
      <c r="H80" s="641"/>
      <c r="I80" s="641"/>
      <c r="J80" s="641"/>
    </row>
    <row r="81" spans="2:10" ht="15.75">
      <c r="B81" s="315" t="s">
        <v>700</v>
      </c>
      <c r="C81" s="333">
        <v>15</v>
      </c>
      <c r="D81" s="66"/>
      <c r="E81" s="66"/>
      <c r="G81" s="749" t="s">
        <v>599</v>
      </c>
      <c r="H81" s="750"/>
      <c r="I81" s="750"/>
      <c r="J81" s="751"/>
    </row>
    <row r="82" spans="7:10" ht="15.75">
      <c r="G82" s="652"/>
      <c r="H82" s="644"/>
      <c r="I82" s="653"/>
      <c r="J82" s="654"/>
    </row>
    <row r="83" spans="7:10" ht="15.75">
      <c r="G83" s="655" t="str">
        <f>summ!H30</f>
        <v>  </v>
      </c>
      <c r="H83" s="644" t="str">
        <f>CONCATENATE("",E1," Fund Mill Rate")</f>
        <v>2015 Fund Mill Rate</v>
      </c>
      <c r="I83" s="653"/>
      <c r="J83" s="654"/>
    </row>
    <row r="84" spans="7:10" ht="15.75">
      <c r="G84" s="656" t="str">
        <f>summ!E30</f>
        <v>  </v>
      </c>
      <c r="H84" s="644" t="str">
        <f>CONCATENATE("",E1-1," Fund Mill Rate")</f>
        <v>2014 Fund Mill Rate</v>
      </c>
      <c r="I84" s="653"/>
      <c r="J84" s="654"/>
    </row>
    <row r="85" spans="7:10" ht="15.75">
      <c r="G85" s="657">
        <f>summ!H52</f>
        <v>42.268</v>
      </c>
      <c r="H85" s="644" t="str">
        <f>CONCATENATE("Total ",E1," Mill Rate")</f>
        <v>Total 2015 Mill Rate</v>
      </c>
      <c r="I85" s="653"/>
      <c r="J85" s="654"/>
    </row>
    <row r="86" spans="7:10" ht="15.75">
      <c r="G86" s="656">
        <f>summ!E52</f>
        <v>40.64399999999999</v>
      </c>
      <c r="H86" s="658" t="str">
        <f>CONCATENATE("Total ",E1-1," Mill Rate")</f>
        <v>Total 2014 Mill Rate</v>
      </c>
      <c r="I86" s="659"/>
      <c r="J86" s="660"/>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row r="92" spans="7:9" ht="15.75">
      <c r="G92" s="696" t="s">
        <v>53</v>
      </c>
      <c r="H92" s="695"/>
      <c r="I92" s="694" t="str">
        <f>cert!F60</f>
        <v>Yes</v>
      </c>
    </row>
  </sheetData>
  <sheetProtection sheet="1"/>
  <mergeCells count="12">
    <mergeCell ref="G24:J24"/>
    <mergeCell ref="G31:J31"/>
    <mergeCell ref="G41:J41"/>
    <mergeCell ref="G64:J64"/>
    <mergeCell ref="G71:J71"/>
    <mergeCell ref="C36:D36"/>
    <mergeCell ref="C37:D37"/>
    <mergeCell ref="C76:D76"/>
    <mergeCell ref="C77:D77"/>
    <mergeCell ref="G81:J81"/>
    <mergeCell ref="C80:D80"/>
    <mergeCell ref="C40:D40"/>
  </mergeCells>
  <conditionalFormatting sqref="E36">
    <cfRule type="cellIs" priority="3" dxfId="309" operator="greaterThan" stopIfTrue="1">
      <formula>$E$33/0.95-$E$33</formula>
    </cfRule>
  </conditionalFormatting>
  <conditionalFormatting sqref="E76">
    <cfRule type="cellIs" priority="4" dxfId="309" operator="greaterThan" stopIfTrue="1">
      <formula>$E$73/0.95-$E$73</formula>
    </cfRule>
  </conditionalFormatting>
  <conditionalFormatting sqref="E71">
    <cfRule type="cellIs" priority="5" dxfId="309" operator="greaterThan" stopIfTrue="1">
      <formula>$E$73*0.1</formula>
    </cfRule>
  </conditionalFormatting>
  <conditionalFormatting sqref="C18">
    <cfRule type="cellIs" priority="6" dxfId="309" operator="greaterThan" stopIfTrue="1">
      <formula>$C$20*0.1</formula>
    </cfRule>
  </conditionalFormatting>
  <conditionalFormatting sqref="D18">
    <cfRule type="cellIs" priority="7" dxfId="309" operator="greaterThan" stopIfTrue="1">
      <formula>$D$20*0.1</formula>
    </cfRule>
  </conditionalFormatting>
  <conditionalFormatting sqref="E31">
    <cfRule type="cellIs" priority="8" dxfId="309" operator="greaterThan" stopIfTrue="1">
      <formula>$E$33*0.1</formula>
    </cfRule>
  </conditionalFormatting>
  <conditionalFormatting sqref="E18">
    <cfRule type="cellIs" priority="9" dxfId="309" operator="greaterThan" stopIfTrue="1">
      <formula>$E$20*0.1+E40</formula>
    </cfRule>
  </conditionalFormatting>
  <conditionalFormatting sqref="E58">
    <cfRule type="cellIs" priority="10" dxfId="309"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C74 C34">
    <cfRule type="cellIs" priority="13" dxfId="2" operator="lessThan" stopIfTrue="1">
      <formula>0</formula>
    </cfRule>
  </conditionalFormatting>
  <conditionalFormatting sqref="C73">
    <cfRule type="cellIs" priority="14" dxfId="2" operator="greaterThan" stopIfTrue="1">
      <formula>$C$75</formula>
    </cfRule>
  </conditionalFormatting>
  <conditionalFormatting sqref="D73">
    <cfRule type="cellIs" priority="15" dxfId="2" operator="greaterThan" stopIfTrue="1">
      <formula>$D$75</formula>
    </cfRule>
  </conditionalFormatting>
  <conditionalFormatting sqref="C33">
    <cfRule type="cellIs" priority="16" dxfId="2" operator="greaterThan" stopIfTrue="1">
      <formula>$C$35</formula>
    </cfRule>
  </conditionalFormatting>
  <conditionalFormatting sqref="D33">
    <cfRule type="cellIs" priority="17" dxfId="2" operator="greaterThan" stopIfTrue="1">
      <formula>$D$35</formula>
    </cfRule>
  </conditionalFormatting>
  <conditionalFormatting sqref="D58">
    <cfRule type="cellIs" priority="18" dxfId="2" operator="greaterThan" stopIfTrue="1">
      <formula>$D$60*0.1</formula>
    </cfRule>
  </conditionalFormatting>
  <conditionalFormatting sqref="C58">
    <cfRule type="cellIs" priority="19" dxfId="2" operator="greaterThan" stopIfTrue="1">
      <formula>$C$60*0.1</formula>
    </cfRule>
  </conditionalFormatting>
  <conditionalFormatting sqref="C31">
    <cfRule type="cellIs" priority="20" dxfId="2" operator="greaterThan" stopIfTrue="1">
      <formula>$C$33*0.1</formula>
    </cfRule>
  </conditionalFormatting>
  <conditionalFormatting sqref="D31">
    <cfRule type="cellIs" priority="21" dxfId="2" operator="greaterThan" stopIfTrue="1">
      <formula>$D$33*0.1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1"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C83" sqref="C83"/>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472" t="s">
        <v>748</v>
      </c>
      <c r="C3" s="144"/>
      <c r="D3" s="144"/>
      <c r="E3" s="144"/>
    </row>
    <row r="4" spans="2:5" ht="15.75">
      <c r="B4" s="65" t="s">
        <v>672</v>
      </c>
      <c r="C4" s="624" t="s">
        <v>595</v>
      </c>
      <c r="D4" s="625" t="s">
        <v>596</v>
      </c>
      <c r="E4" s="148" t="s">
        <v>597</v>
      </c>
    </row>
    <row r="5" spans="2:5" ht="15.75">
      <c r="B5" s="199">
        <f>inputPrYr!B37</f>
        <v>0</v>
      </c>
      <c r="C5" s="440" t="str">
        <f>CONCATENATE("Actual for ",E1-2,"")</f>
        <v>Actual for 2013</v>
      </c>
      <c r="D5" s="440" t="str">
        <f>CONCATENATE("Estimate for ",E1-1,"")</f>
        <v>Estimate for 2014</v>
      </c>
      <c r="E5" s="293" t="str">
        <f>CONCATENATE("Year for ",E1,"")</f>
        <v>Year for 2015</v>
      </c>
    </row>
    <row r="6" spans="2:5" ht="15.75">
      <c r="B6" s="152" t="s">
        <v>789</v>
      </c>
      <c r="C6" s="468"/>
      <c r="D6" s="439">
        <f>C34</f>
        <v>0</v>
      </c>
      <c r="E6" s="258">
        <f>D34</f>
        <v>0</v>
      </c>
    </row>
    <row r="7" spans="2:5" ht="15.75">
      <c r="B7" s="283" t="s">
        <v>791</v>
      </c>
      <c r="C7" s="166"/>
      <c r="D7" s="166"/>
      <c r="E7" s="109"/>
    </row>
    <row r="8" spans="2:5" ht="15.75">
      <c r="B8" s="152" t="s">
        <v>673</v>
      </c>
      <c r="C8" s="468"/>
      <c r="D8" s="439">
        <f>inputPrYr!E37</f>
        <v>0</v>
      </c>
      <c r="E8" s="320" t="s">
        <v>660</v>
      </c>
    </row>
    <row r="9" spans="2:5" ht="15.75">
      <c r="B9" s="152" t="s">
        <v>674</v>
      </c>
      <c r="C9" s="468"/>
      <c r="D9" s="468"/>
      <c r="E9" s="93"/>
    </row>
    <row r="10" spans="2:5" ht="15.75">
      <c r="B10" s="152" t="s">
        <v>675</v>
      </c>
      <c r="C10" s="468"/>
      <c r="D10" s="468"/>
      <c r="E10" s="258" t="str">
        <f>mvalloc!E31</f>
        <v>  </v>
      </c>
    </row>
    <row r="11" spans="2:5" ht="15.75">
      <c r="B11" s="152" t="s">
        <v>676</v>
      </c>
      <c r="C11" s="468"/>
      <c r="D11" s="468"/>
      <c r="E11" s="258" t="str">
        <f>mvalloc!F31</f>
        <v>  </v>
      </c>
    </row>
    <row r="12" spans="2:5" ht="15.75">
      <c r="B12" s="166" t="s">
        <v>740</v>
      </c>
      <c r="C12" s="468"/>
      <c r="D12" s="468"/>
      <c r="E12" s="258" t="str">
        <f>mvalloc!G31</f>
        <v>  </v>
      </c>
    </row>
    <row r="13" spans="2:5" ht="15.75">
      <c r="B13" s="310"/>
      <c r="C13" s="468"/>
      <c r="D13" s="468"/>
      <c r="E13" s="93"/>
    </row>
    <row r="14" spans="2:5" ht="15.75">
      <c r="B14" s="310"/>
      <c r="C14" s="468"/>
      <c r="D14" s="468"/>
      <c r="E14" s="93"/>
    </row>
    <row r="15" spans="2:5" ht="15.75">
      <c r="B15" s="310"/>
      <c r="C15" s="468"/>
      <c r="D15" s="468"/>
      <c r="E15" s="93"/>
    </row>
    <row r="16" spans="2:5" ht="15.75">
      <c r="B16" s="310"/>
      <c r="C16" s="468"/>
      <c r="D16" s="468"/>
      <c r="E16" s="93"/>
    </row>
    <row r="17" spans="2:5" ht="15.75">
      <c r="B17" s="298" t="s">
        <v>680</v>
      </c>
      <c r="C17" s="468"/>
      <c r="D17" s="468"/>
      <c r="E17" s="93"/>
    </row>
    <row r="18" spans="2:5" ht="15.75">
      <c r="B18" s="299" t="s">
        <v>911</v>
      </c>
      <c r="C18" s="468"/>
      <c r="D18" s="468"/>
      <c r="E18" s="93"/>
    </row>
    <row r="19" spans="2:5" ht="15.75">
      <c r="B19" s="299" t="s">
        <v>913</v>
      </c>
      <c r="C19" s="438">
        <f>IF(C20*0.1&lt;C18,"Exceed 10% Rule","")</f>
      </c>
      <c r="D19" s="438">
        <f>IF(D20*0.1&lt;D18,"Exceed 10% Rule","")</f>
      </c>
      <c r="E19" s="327">
        <f>IF(E20*0.1+E40&lt;E18,"Exceed 10% Rule","")</f>
      </c>
    </row>
    <row r="20" spans="2:5" ht="15.75">
      <c r="B20" s="301" t="s">
        <v>681</v>
      </c>
      <c r="C20" s="442">
        <f>SUM(C8:C18)</f>
        <v>0</v>
      </c>
      <c r="D20" s="442">
        <f>SUM(D8:D18)</f>
        <v>0</v>
      </c>
      <c r="E20" s="347">
        <f>SUM(E8:E18)</f>
        <v>0</v>
      </c>
    </row>
    <row r="21" spans="2:5" ht="15.75">
      <c r="B21" s="301" t="s">
        <v>682</v>
      </c>
      <c r="C21" s="442">
        <f>C6+C20</f>
        <v>0</v>
      </c>
      <c r="D21" s="442">
        <f>D6+D20</f>
        <v>0</v>
      </c>
      <c r="E21" s="347">
        <f>E6+E20</f>
        <v>0</v>
      </c>
    </row>
    <row r="22" spans="2:5" ht="15.75">
      <c r="B22" s="152" t="s">
        <v>685</v>
      </c>
      <c r="C22" s="299"/>
      <c r="D22" s="299"/>
      <c r="E22" s="162"/>
    </row>
    <row r="23" spans="2:5" ht="15.75">
      <c r="B23" s="310"/>
      <c r="C23" s="468"/>
      <c r="D23" s="468"/>
      <c r="E23" s="93"/>
    </row>
    <row r="24" spans="2:10" ht="15.75">
      <c r="B24" s="310"/>
      <c r="C24" s="468"/>
      <c r="D24" s="468"/>
      <c r="E24" s="93"/>
      <c r="G24" s="752" t="str">
        <f>CONCATENATE("Desired Carryover Into ",E1+1,"")</f>
        <v>Desired Carryover Into 2016</v>
      </c>
      <c r="H24" s="753"/>
      <c r="I24" s="753"/>
      <c r="J24" s="754"/>
    </row>
    <row r="25" spans="2:10" ht="15.75">
      <c r="B25" s="310"/>
      <c r="C25" s="468"/>
      <c r="D25" s="468"/>
      <c r="E25" s="93"/>
      <c r="G25" s="628"/>
      <c r="H25" s="68"/>
      <c r="I25" s="629"/>
      <c r="J25" s="630"/>
    </row>
    <row r="26" spans="2:10" ht="15.75">
      <c r="B26" s="310"/>
      <c r="C26" s="468"/>
      <c r="D26" s="468"/>
      <c r="E26" s="93"/>
      <c r="G26" s="631" t="s">
        <v>461</v>
      </c>
      <c r="H26" s="629"/>
      <c r="I26" s="629"/>
      <c r="J26" s="632">
        <v>0</v>
      </c>
    </row>
    <row r="27" spans="2:10" ht="15.75">
      <c r="B27" s="310"/>
      <c r="C27" s="468"/>
      <c r="D27" s="468"/>
      <c r="E27" s="93"/>
      <c r="G27" s="628" t="s">
        <v>462</v>
      </c>
      <c r="H27" s="68"/>
      <c r="I27" s="68"/>
      <c r="J27" s="633">
        <f>IF(J26=0,"",ROUND((J26+E40-G39)/inputOth!E5*1000,3)-G44)</f>
      </c>
    </row>
    <row r="28" spans="2:10" ht="15.75">
      <c r="B28" s="310"/>
      <c r="C28" s="468"/>
      <c r="D28" s="468"/>
      <c r="E28" s="93"/>
      <c r="G28" s="634" t="str">
        <f>CONCATENATE("",E1," Tot Exp/Non-Appr Must Be:")</f>
        <v>2015 Tot Exp/Non-Appr Must Be:</v>
      </c>
      <c r="H28" s="635"/>
      <c r="I28" s="636"/>
      <c r="J28" s="637">
        <f>IF(J26&gt;0,IF(E37&lt;E21,IF(J26=G39,E37,((J26-G39)*(1-D39))+E21),E37+(J26-G39)),0)</f>
        <v>0</v>
      </c>
    </row>
    <row r="29" spans="2:10" ht="15.75">
      <c r="B29" s="310"/>
      <c r="C29" s="468"/>
      <c r="D29" s="468"/>
      <c r="E29" s="93"/>
      <c r="G29" s="638" t="s">
        <v>598</v>
      </c>
      <c r="H29" s="639"/>
      <c r="I29" s="639"/>
      <c r="J29" s="640">
        <f>IF(J26&gt;0,J28-E37,0)</f>
        <v>0</v>
      </c>
    </row>
    <row r="30" spans="2:10" ht="15.75">
      <c r="B30" s="299" t="s">
        <v>910</v>
      </c>
      <c r="C30" s="468"/>
      <c r="D30" s="468"/>
      <c r="E30" s="97">
        <f>Nhood!E27</f>
      </c>
      <c r="G30" s="641"/>
      <c r="H30" s="641"/>
      <c r="I30" s="641"/>
      <c r="J30" s="641"/>
    </row>
    <row r="31" spans="2:10" ht="15.75">
      <c r="B31" s="299" t="s">
        <v>911</v>
      </c>
      <c r="C31" s="468"/>
      <c r="D31" s="468"/>
      <c r="E31" s="93"/>
      <c r="G31" s="752" t="str">
        <f>CONCATENATE("Projected Carryover Into ",E1+1,"")</f>
        <v>Projected Carryover Into 2016</v>
      </c>
      <c r="H31" s="757"/>
      <c r="I31" s="757"/>
      <c r="J31" s="758"/>
    </row>
    <row r="32" spans="2:10" ht="15.75">
      <c r="B32" s="299" t="s">
        <v>912</v>
      </c>
      <c r="C32" s="438">
        <f>IF(C33*0.1&lt;C31,"Exceed 10% Rule","")</f>
      </c>
      <c r="D32" s="438">
        <f>IF(D33*0.1&lt;D31,"Exceed 10% Rule","")</f>
      </c>
      <c r="E32" s="327">
        <f>IF(E33*0.1&lt;E31,"Exceed 10% Rule","")</f>
      </c>
      <c r="G32" s="628"/>
      <c r="H32" s="629"/>
      <c r="I32" s="629"/>
      <c r="J32" s="642"/>
    </row>
    <row r="33" spans="2:10" ht="15.75">
      <c r="B33" s="301" t="s">
        <v>686</v>
      </c>
      <c r="C33" s="442">
        <f>SUM(C23:C31)</f>
        <v>0</v>
      </c>
      <c r="D33" s="442">
        <f>SUM(D23:D31)</f>
        <v>0</v>
      </c>
      <c r="E33" s="347">
        <f>SUM(E23:E31)</f>
        <v>0</v>
      </c>
      <c r="G33" s="643">
        <f>D34</f>
        <v>0</v>
      </c>
      <c r="H33" s="644" t="str">
        <f>CONCATENATE("",E1-1," Ending Cash Balance (est.)")</f>
        <v>2014 Ending Cash Balance (est.)</v>
      </c>
      <c r="I33" s="645"/>
      <c r="J33" s="642"/>
    </row>
    <row r="34" spans="2:10" ht="15.75">
      <c r="B34" s="152" t="s">
        <v>790</v>
      </c>
      <c r="C34" s="437">
        <f>C21-C33</f>
        <v>0</v>
      </c>
      <c r="D34" s="437">
        <f>D21-D33</f>
        <v>0</v>
      </c>
      <c r="E34" s="320" t="s">
        <v>660</v>
      </c>
      <c r="G34" s="643">
        <f>E20</f>
        <v>0</v>
      </c>
      <c r="H34" s="629" t="str">
        <f>CONCATENATE("",E1," Non-AV Receipts (est.)")</f>
        <v>2015 Non-AV Receipts (est.)</v>
      </c>
      <c r="I34" s="645"/>
      <c r="J34" s="642"/>
    </row>
    <row r="35" spans="2:11" ht="15.75">
      <c r="B35" s="280" t="str">
        <f>CONCATENATE("",$E$1-2,"/",$E$1-1," Budget Authority Amount:")</f>
        <v>2013/2014 Budget Authority Amount:</v>
      </c>
      <c r="C35" s="272">
        <f>inputOth!B50</f>
        <v>0</v>
      </c>
      <c r="D35" s="272">
        <f>inputPrYr!D37</f>
        <v>0</v>
      </c>
      <c r="E35" s="320" t="s">
        <v>660</v>
      </c>
      <c r="F35" s="313"/>
      <c r="G35" s="646">
        <f>IF(E39&gt;0,E38,E40)</f>
        <v>0</v>
      </c>
      <c r="H35" s="629" t="str">
        <f>CONCATENATE("",E1," Ad Valorem Tax (est.)")</f>
        <v>2015 Ad Valorem Tax (est.)</v>
      </c>
      <c r="I35" s="645"/>
      <c r="J35" s="642"/>
      <c r="K35" s="680">
        <f>IF(G35=E40,"","Note: Does not include Delinquent Taxes")</f>
      </c>
    </row>
    <row r="36" spans="2:10" ht="15.75">
      <c r="B36" s="280"/>
      <c r="C36" s="745" t="s">
        <v>453</v>
      </c>
      <c r="D36" s="746"/>
      <c r="E36" s="93"/>
      <c r="F36" s="481">
        <f>IF(E33/0.95-E33&lt;E36,"Exceeds 5%","")</f>
      </c>
      <c r="G36" s="643">
        <f>SUM(G33:G35)</f>
        <v>0</v>
      </c>
      <c r="H36" s="629" t="str">
        <f>CONCATENATE("Total ",E1," Resources Available")</f>
        <v>Total 2015 Resources Available</v>
      </c>
      <c r="I36" s="645"/>
      <c r="J36" s="642"/>
    </row>
    <row r="37" spans="2:10" ht="15.75">
      <c r="B37" s="475" t="str">
        <f>CONCATENATE(C88,"     ",D88)</f>
        <v>     </v>
      </c>
      <c r="C37" s="747" t="s">
        <v>454</v>
      </c>
      <c r="D37" s="748"/>
      <c r="E37" s="258">
        <f>E33+E36</f>
        <v>0</v>
      </c>
      <c r="G37" s="647"/>
      <c r="H37" s="629"/>
      <c r="I37" s="629"/>
      <c r="J37" s="642"/>
    </row>
    <row r="38" spans="2:10" ht="15.75">
      <c r="B38" s="475" t="str">
        <f>CONCATENATE(C89,"      ",D89)</f>
        <v>      </v>
      </c>
      <c r="C38" s="314"/>
      <c r="D38" s="106" t="s">
        <v>687</v>
      </c>
      <c r="E38" s="97">
        <f>IF(E37-E21&gt;0,E37-E21,0)</f>
        <v>0</v>
      </c>
      <c r="G38" s="646">
        <f>ROUND(C33*0.05+C33,0)</f>
        <v>0</v>
      </c>
      <c r="H38" s="629" t="str">
        <f>CONCATENATE("Less ",E1-2," Expenditures + 5%")</f>
        <v>Less 2013 Expenditures + 5%</v>
      </c>
      <c r="I38" s="645"/>
      <c r="J38" s="661"/>
    </row>
    <row r="39" spans="2:10" ht="15.75">
      <c r="B39" s="106"/>
      <c r="C39" s="457" t="s">
        <v>455</v>
      </c>
      <c r="D39" s="683">
        <f>inputOth!$E$22</f>
        <v>0.07</v>
      </c>
      <c r="E39" s="258">
        <f>ROUND(IF(D39&gt;0,(E38*D39),0),0)</f>
        <v>0</v>
      </c>
      <c r="G39" s="648">
        <f>G36-G38</f>
        <v>0</v>
      </c>
      <c r="H39" s="649" t="str">
        <f>CONCATENATE("Projected ",E1+1," carryover (est.)")</f>
        <v>Projected 2016 carryover (est.)</v>
      </c>
      <c r="I39" s="650"/>
      <c r="J39" s="651"/>
    </row>
    <row r="40" spans="2:10" ht="15.75">
      <c r="B40" s="66"/>
      <c r="C40" s="743" t="str">
        <f>CONCATENATE("Amount of  ",$E$1-1," Ad Valorem Tax")</f>
        <v>Amount of  2014 Ad Valorem Tax</v>
      </c>
      <c r="D40" s="744"/>
      <c r="E40" s="332">
        <f>E38+E39</f>
        <v>0</v>
      </c>
      <c r="G40" s="641"/>
      <c r="H40" s="641"/>
      <c r="I40" s="641"/>
      <c r="J40" s="641"/>
    </row>
    <row r="41" spans="2:10" ht="15.75">
      <c r="B41" s="66"/>
      <c r="C41" s="607"/>
      <c r="D41" s="66"/>
      <c r="E41" s="66"/>
      <c r="G41" s="749" t="s">
        <v>599</v>
      </c>
      <c r="H41" s="750"/>
      <c r="I41" s="750"/>
      <c r="J41" s="751"/>
    </row>
    <row r="42" spans="2:10" ht="15.75">
      <c r="B42" s="66"/>
      <c r="C42" s="607"/>
      <c r="D42" s="66"/>
      <c r="E42" s="66"/>
      <c r="G42" s="652"/>
      <c r="H42" s="644"/>
      <c r="I42" s="653"/>
      <c r="J42" s="654"/>
    </row>
    <row r="43" spans="2:10" ht="15.75">
      <c r="B43" s="66"/>
      <c r="C43" s="144"/>
      <c r="D43" s="144"/>
      <c r="E43" s="144"/>
      <c r="G43" s="655">
        <f>summ!H37</f>
        <v>0</v>
      </c>
      <c r="H43" s="644" t="str">
        <f>CONCATENATE("",E1," Fund Mill Rate")</f>
        <v>2015 Fund Mill Rate</v>
      </c>
      <c r="I43" s="653"/>
      <c r="J43" s="654"/>
    </row>
    <row r="44" spans="2:10" ht="15.75">
      <c r="B44" s="65" t="s">
        <v>672</v>
      </c>
      <c r="C44" s="624" t="str">
        <f aca="true" t="shared" si="0" ref="C44:E45">C4</f>
        <v>Prior Year </v>
      </c>
      <c r="D44" s="625" t="str">
        <f t="shared" si="0"/>
        <v>Current Year </v>
      </c>
      <c r="E44" s="148" t="str">
        <f t="shared" si="0"/>
        <v>Proposed Budget </v>
      </c>
      <c r="G44" s="656">
        <f>summ!E37</f>
        <v>0</v>
      </c>
      <c r="H44" s="644" t="str">
        <f>CONCATENATE("",E1-1," Fund Mill Rate")</f>
        <v>2014 Fund Mill Rate</v>
      </c>
      <c r="I44" s="653"/>
      <c r="J44" s="654"/>
    </row>
    <row r="45" spans="2:10" ht="15.75">
      <c r="B45" s="460">
        <f>inputPrYr!$B$38</f>
        <v>0</v>
      </c>
      <c r="C45" s="440" t="str">
        <f t="shared" si="0"/>
        <v>Actual for 2013</v>
      </c>
      <c r="D45" s="440" t="str">
        <f t="shared" si="0"/>
        <v>Estimate for 2014</v>
      </c>
      <c r="E45" s="305" t="str">
        <f t="shared" si="0"/>
        <v>Year for 2015</v>
      </c>
      <c r="G45" s="657">
        <f>summ!H52</f>
        <v>42.268</v>
      </c>
      <c r="H45" s="644" t="str">
        <f>CONCATENATE("Total ",E1," Mill Rate")</f>
        <v>Total 2015 Mill Rate</v>
      </c>
      <c r="I45" s="653"/>
      <c r="J45" s="654"/>
    </row>
    <row r="46" spans="2:10" ht="15.75">
      <c r="B46" s="152" t="s">
        <v>789</v>
      </c>
      <c r="C46" s="468"/>
      <c r="D46" s="439">
        <f>C74</f>
        <v>0</v>
      </c>
      <c r="E46" s="258">
        <f>D74</f>
        <v>0</v>
      </c>
      <c r="G46" s="656">
        <f>summ!E52</f>
        <v>40.64399999999999</v>
      </c>
      <c r="H46" s="658" t="str">
        <f>CONCATENATE("Total ",E1-1," Mill Rate")</f>
        <v>Total 2014 Mill Rate</v>
      </c>
      <c r="I46" s="659"/>
      <c r="J46" s="660"/>
    </row>
    <row r="47" spans="2:10" ht="15.75">
      <c r="B47" s="294" t="s">
        <v>791</v>
      </c>
      <c r="C47" s="166"/>
      <c r="D47" s="166"/>
      <c r="E47" s="109"/>
      <c r="G47" s="641"/>
      <c r="H47" s="641"/>
      <c r="I47" s="641"/>
      <c r="J47" s="641"/>
    </row>
    <row r="48" spans="2:10" ht="15.75">
      <c r="B48" s="152" t="s">
        <v>673</v>
      </c>
      <c r="C48" s="468"/>
      <c r="D48" s="439">
        <f>inputPrYr!E38</f>
        <v>0</v>
      </c>
      <c r="E48" s="320" t="s">
        <v>660</v>
      </c>
      <c r="G48" s="696" t="s">
        <v>53</v>
      </c>
      <c r="H48" s="695"/>
      <c r="I48" s="694" t="str">
        <f>cert!F60</f>
        <v>Yes</v>
      </c>
      <c r="J48" s="641"/>
    </row>
    <row r="49" spans="2:10" ht="15.75">
      <c r="B49" s="152" t="s">
        <v>674</v>
      </c>
      <c r="C49" s="468"/>
      <c r="D49" s="468"/>
      <c r="E49" s="93"/>
      <c r="G49" s="641"/>
      <c r="H49" s="641"/>
      <c r="I49" s="641"/>
      <c r="J49" s="641"/>
    </row>
    <row r="50" spans="2:10" ht="15.75">
      <c r="B50" s="152" t="s">
        <v>675</v>
      </c>
      <c r="C50" s="468"/>
      <c r="D50" s="468"/>
      <c r="E50" s="258" t="str">
        <f>mvalloc!E32</f>
        <v>  </v>
      </c>
      <c r="G50" s="641"/>
      <c r="H50" s="641"/>
      <c r="I50" s="641"/>
      <c r="J50" s="641"/>
    </row>
    <row r="51" spans="2:10" ht="15.75">
      <c r="B51" s="152" t="s">
        <v>676</v>
      </c>
      <c r="C51" s="468"/>
      <c r="D51" s="468"/>
      <c r="E51" s="258" t="str">
        <f>mvalloc!F32</f>
        <v>  </v>
      </c>
      <c r="G51" s="641"/>
      <c r="H51" s="641"/>
      <c r="I51" s="641"/>
      <c r="J51" s="641"/>
    </row>
    <row r="52" spans="2:10" ht="15.75">
      <c r="B52" s="166" t="s">
        <v>740</v>
      </c>
      <c r="C52" s="468"/>
      <c r="D52" s="468"/>
      <c r="E52" s="258" t="str">
        <f>mvalloc!G32</f>
        <v>  </v>
      </c>
      <c r="G52" s="641"/>
      <c r="H52" s="641"/>
      <c r="I52" s="641"/>
      <c r="J52" s="641"/>
    </row>
    <row r="53" spans="2:10" ht="15.75">
      <c r="B53" s="310"/>
      <c r="C53" s="468"/>
      <c r="D53" s="468"/>
      <c r="E53" s="93"/>
      <c r="G53" s="641"/>
      <c r="H53" s="641"/>
      <c r="I53" s="641"/>
      <c r="J53" s="641"/>
    </row>
    <row r="54" spans="2:10" ht="15.75">
      <c r="B54" s="310"/>
      <c r="C54" s="468"/>
      <c r="D54" s="468"/>
      <c r="E54" s="93"/>
      <c r="G54" s="641"/>
      <c r="H54" s="641"/>
      <c r="I54" s="641"/>
      <c r="J54" s="641"/>
    </row>
    <row r="55" spans="2:10" ht="15.75">
      <c r="B55" s="310"/>
      <c r="C55" s="468"/>
      <c r="D55" s="468"/>
      <c r="E55" s="93"/>
      <c r="G55" s="641"/>
      <c r="H55" s="641"/>
      <c r="I55" s="641"/>
      <c r="J55" s="641"/>
    </row>
    <row r="56" spans="2:10" ht="15.75">
      <c r="B56" s="310"/>
      <c r="C56" s="468"/>
      <c r="D56" s="468"/>
      <c r="E56" s="93"/>
      <c r="G56" s="641"/>
      <c r="H56" s="641"/>
      <c r="I56" s="641"/>
      <c r="J56" s="641"/>
    </row>
    <row r="57" spans="2:10" ht="15.75">
      <c r="B57" s="298" t="s">
        <v>680</v>
      </c>
      <c r="C57" s="468"/>
      <c r="D57" s="468"/>
      <c r="E57" s="93"/>
      <c r="G57" s="641"/>
      <c r="H57" s="641"/>
      <c r="I57" s="641"/>
      <c r="J57" s="641"/>
    </row>
    <row r="58" spans="2:10" ht="15.75">
      <c r="B58" s="299" t="s">
        <v>911</v>
      </c>
      <c r="C58" s="468"/>
      <c r="D58" s="468"/>
      <c r="E58" s="93"/>
      <c r="G58" s="641"/>
      <c r="H58" s="641"/>
      <c r="I58" s="641"/>
      <c r="J58" s="641"/>
    </row>
    <row r="59" spans="2:10" ht="15.75">
      <c r="B59" s="299" t="s">
        <v>913</v>
      </c>
      <c r="C59" s="438">
        <f>IF(C60*0.1&lt;C58,"Exceed 10% Rule","")</f>
      </c>
      <c r="D59" s="438">
        <f>IF(D60*0.1&lt;D58,"Exceed 10% Rule","")</f>
      </c>
      <c r="E59" s="327">
        <f>IF(E60*0.1+E80&lt;E58,"Exceed 10% Rule","")</f>
      </c>
      <c r="G59" s="641"/>
      <c r="H59" s="641"/>
      <c r="I59" s="641"/>
      <c r="J59" s="641"/>
    </row>
    <row r="60" spans="2:10" ht="15.75">
      <c r="B60" s="301" t="s">
        <v>681</v>
      </c>
      <c r="C60" s="442">
        <f>SUM(C48:C58)</f>
        <v>0</v>
      </c>
      <c r="D60" s="442">
        <f>SUM(D48:D58)</f>
        <v>0</v>
      </c>
      <c r="E60" s="347">
        <f>SUM(E48:E58)</f>
        <v>0</v>
      </c>
      <c r="G60" s="641"/>
      <c r="H60" s="641"/>
      <c r="I60" s="641"/>
      <c r="J60" s="641"/>
    </row>
    <row r="61" spans="2:10" ht="15.75">
      <c r="B61" s="301" t="s">
        <v>682</v>
      </c>
      <c r="C61" s="442">
        <f>C46+C60</f>
        <v>0</v>
      </c>
      <c r="D61" s="442">
        <f>D46+D60</f>
        <v>0</v>
      </c>
      <c r="E61" s="347">
        <f>E46+E60</f>
        <v>0</v>
      </c>
      <c r="G61" s="641"/>
      <c r="H61" s="641"/>
      <c r="I61" s="641"/>
      <c r="J61" s="641"/>
    </row>
    <row r="62" spans="2:10" ht="15.75">
      <c r="B62" s="152" t="s">
        <v>685</v>
      </c>
      <c r="C62" s="299"/>
      <c r="D62" s="299"/>
      <c r="E62" s="162"/>
      <c r="G62" s="641"/>
      <c r="H62" s="641"/>
      <c r="I62" s="641"/>
      <c r="J62" s="641"/>
    </row>
    <row r="63" spans="2:10" ht="15.75">
      <c r="B63" s="310"/>
      <c r="C63" s="468"/>
      <c r="D63" s="468"/>
      <c r="E63" s="93"/>
      <c r="G63" s="641"/>
      <c r="H63" s="641"/>
      <c r="I63" s="641"/>
      <c r="J63" s="641"/>
    </row>
    <row r="64" spans="2:10" ht="15.75">
      <c r="B64" s="310"/>
      <c r="C64" s="468"/>
      <c r="D64" s="468"/>
      <c r="E64" s="93"/>
      <c r="G64" s="752" t="str">
        <f>CONCATENATE("Desired Carryover Into ",E1+1,"")</f>
        <v>Desired Carryover Into 2016</v>
      </c>
      <c r="H64" s="753"/>
      <c r="I64" s="753"/>
      <c r="J64" s="754"/>
    </row>
    <row r="65" spans="2:10" ht="15.75">
      <c r="B65" s="310"/>
      <c r="C65" s="468"/>
      <c r="D65" s="468"/>
      <c r="E65" s="93"/>
      <c r="G65" s="628"/>
      <c r="H65" s="68"/>
      <c r="I65" s="629"/>
      <c r="J65" s="630"/>
    </row>
    <row r="66" spans="2:10" ht="15.75">
      <c r="B66" s="310"/>
      <c r="C66" s="468"/>
      <c r="D66" s="468"/>
      <c r="E66" s="93"/>
      <c r="G66" s="631" t="s">
        <v>461</v>
      </c>
      <c r="H66" s="629"/>
      <c r="I66" s="629"/>
      <c r="J66" s="632">
        <v>0</v>
      </c>
    </row>
    <row r="67" spans="2:10" ht="15.75">
      <c r="B67" s="310"/>
      <c r="C67" s="468"/>
      <c r="D67" s="468"/>
      <c r="E67" s="93"/>
      <c r="G67" s="628" t="s">
        <v>462</v>
      </c>
      <c r="H67" s="68"/>
      <c r="I67" s="68"/>
      <c r="J67" s="633">
        <f>IF(J66=0,"",ROUND((J66+E80-G79)/inputOth!E5*1000,3)-G84)</f>
      </c>
    </row>
    <row r="68" spans="2:10" ht="15.75">
      <c r="B68" s="310"/>
      <c r="C68" s="468"/>
      <c r="D68" s="468"/>
      <c r="E68" s="93"/>
      <c r="G68" s="634" t="str">
        <f>CONCATENATE("",E1," Tot Exp/Non-Appr Must Be:")</f>
        <v>2015 Tot Exp/Non-Appr Must Be:</v>
      </c>
      <c r="H68" s="635"/>
      <c r="I68" s="636"/>
      <c r="J68" s="637">
        <f>IF(J66&gt;0,IF(E77&lt;E61,IF(J66=G79,E77,((J66-G79)*(1-D79))+E61),E77+(J66-G79)),0)</f>
        <v>0</v>
      </c>
    </row>
    <row r="69" spans="2:10" ht="15.75">
      <c r="B69" s="310"/>
      <c r="C69" s="468"/>
      <c r="D69" s="468"/>
      <c r="E69" s="93"/>
      <c r="G69" s="638" t="s">
        <v>598</v>
      </c>
      <c r="H69" s="639"/>
      <c r="I69" s="639"/>
      <c r="J69" s="640">
        <f>IF(J66&gt;0,J68-E77,0)</f>
        <v>0</v>
      </c>
    </row>
    <row r="70" spans="2:10" ht="15.75">
      <c r="B70" s="299" t="s">
        <v>910</v>
      </c>
      <c r="C70" s="468"/>
      <c r="D70" s="468"/>
      <c r="E70" s="97">
        <f>Nhood!E28</f>
      </c>
      <c r="G70" s="641"/>
      <c r="H70" s="641"/>
      <c r="I70" s="641"/>
      <c r="J70" s="641"/>
    </row>
    <row r="71" spans="2:10" ht="15.75">
      <c r="B71" s="299" t="s">
        <v>911</v>
      </c>
      <c r="C71" s="468"/>
      <c r="D71" s="468"/>
      <c r="E71" s="93"/>
      <c r="G71" s="752" t="str">
        <f>CONCATENATE("Projected Carryover Into ",E1+1,"")</f>
        <v>Projected Carryover Into 2016</v>
      </c>
      <c r="H71" s="759"/>
      <c r="I71" s="759"/>
      <c r="J71" s="758"/>
    </row>
    <row r="72" spans="2:10" ht="15.75">
      <c r="B72" s="299" t="s">
        <v>912</v>
      </c>
      <c r="C72" s="438">
        <f>IF(C73*0.1&lt;C71,"Exceed 10% Rule","")</f>
      </c>
      <c r="D72" s="438">
        <f>IF(D73*0.1&lt;D71,"Exceed 10% Rule","")</f>
      </c>
      <c r="E72" s="327">
        <f>IF(E73*0.1&lt;E71,"Exceed 10% Rule","")</f>
      </c>
      <c r="G72" s="281"/>
      <c r="H72" s="68"/>
      <c r="I72" s="68"/>
      <c r="J72" s="661"/>
    </row>
    <row r="73" spans="2:10" ht="15.75">
      <c r="B73" s="301" t="s">
        <v>686</v>
      </c>
      <c r="C73" s="442">
        <f>SUM(C63:C71)</f>
        <v>0</v>
      </c>
      <c r="D73" s="442">
        <f>SUM(D63:D71)</f>
        <v>0</v>
      </c>
      <c r="E73" s="347">
        <f>SUM(E63:E71)</f>
        <v>0</v>
      </c>
      <c r="G73" s="643">
        <f>D74</f>
        <v>0</v>
      </c>
      <c r="H73" s="644" t="str">
        <f>CONCATENATE("",E1-1," Ending Cash Balance (est.)")</f>
        <v>2014 Ending Cash Balance (est.)</v>
      </c>
      <c r="I73" s="645"/>
      <c r="J73" s="661"/>
    </row>
    <row r="74" spans="2:10" ht="15.75">
      <c r="B74" s="152" t="s">
        <v>790</v>
      </c>
      <c r="C74" s="437">
        <f>C61-C73</f>
        <v>0</v>
      </c>
      <c r="D74" s="437">
        <f>D61-D73</f>
        <v>0</v>
      </c>
      <c r="E74" s="320" t="s">
        <v>660</v>
      </c>
      <c r="G74" s="643">
        <f>E60</f>
        <v>0</v>
      </c>
      <c r="H74" s="629" t="str">
        <f>CONCATENATE("",E1," Non-AV Receipts (est.)")</f>
        <v>2015 Non-AV Receipts (est.)</v>
      </c>
      <c r="I74" s="645"/>
      <c r="J74" s="661"/>
    </row>
    <row r="75" spans="2:11" ht="15.75">
      <c r="B75" s="280" t="str">
        <f>CONCATENATE("",$E$1-2,"/",$E$1-1," Budget Authority Amount:")</f>
        <v>2013/2014 Budget Authority Amount:</v>
      </c>
      <c r="C75" s="272">
        <f>inputOth!B51</f>
        <v>0</v>
      </c>
      <c r="D75" s="272">
        <f>inputPrYr!D38</f>
        <v>0</v>
      </c>
      <c r="E75" s="320" t="s">
        <v>660</v>
      </c>
      <c r="F75" s="313"/>
      <c r="G75" s="646">
        <f>IF(E79&gt;0,E78,E80)</f>
        <v>0</v>
      </c>
      <c r="H75" s="629" t="str">
        <f>CONCATENATE("",E1," Ad Valorem Tax (est.)")</f>
        <v>2015 Ad Valorem Tax (est.)</v>
      </c>
      <c r="I75" s="645"/>
      <c r="J75" s="661"/>
      <c r="K75" s="680">
        <f>IF(G75=E80,"","Note: Does not include Delinquent Taxes")</f>
      </c>
    </row>
    <row r="76" spans="2:10" ht="15.75">
      <c r="B76" s="280"/>
      <c r="C76" s="745" t="s">
        <v>453</v>
      </c>
      <c r="D76" s="746"/>
      <c r="E76" s="93"/>
      <c r="F76" s="481">
        <f>IF(E73/0.95-E73&lt;E76,"Exceeds 5%","")</f>
      </c>
      <c r="G76" s="662">
        <f>SUM(G73:G75)</f>
        <v>0</v>
      </c>
      <c r="H76" s="629" t="str">
        <f>CONCATENATE("Total ",E1," Resources Available")</f>
        <v>Total 2015 Resources Available</v>
      </c>
      <c r="I76" s="169"/>
      <c r="J76" s="661"/>
    </row>
    <row r="77" spans="2:10" ht="15.75">
      <c r="B77" s="475" t="str">
        <f>CONCATENATE(C90,"      ",D90)</f>
        <v>      </v>
      </c>
      <c r="C77" s="747" t="s">
        <v>454</v>
      </c>
      <c r="D77" s="748"/>
      <c r="E77" s="258">
        <f>E73+E76</f>
        <v>0</v>
      </c>
      <c r="G77" s="663"/>
      <c r="H77" s="664"/>
      <c r="I77" s="68"/>
      <c r="J77" s="661"/>
    </row>
    <row r="78" spans="2:10" ht="15.75">
      <c r="B78" s="475" t="str">
        <f>CONCATENATE(C91,"      ",D91)</f>
        <v>      </v>
      </c>
      <c r="C78" s="314"/>
      <c r="D78" s="106" t="s">
        <v>687</v>
      </c>
      <c r="E78" s="97">
        <f>IF(E77-E61&gt;0,E77-E61,0)</f>
        <v>0</v>
      </c>
      <c r="G78" s="665">
        <f>ROUND(C73*0.05+C73,0)</f>
        <v>0</v>
      </c>
      <c r="H78" s="629" t="str">
        <f>CONCATENATE("Less ",E1-2," Expenditures + 5%")</f>
        <v>Less 2013 Expenditures + 5%</v>
      </c>
      <c r="I78" s="169"/>
      <c r="J78" s="661"/>
    </row>
    <row r="79" spans="2:10" ht="15.75">
      <c r="B79" s="106"/>
      <c r="C79" s="457" t="s">
        <v>455</v>
      </c>
      <c r="D79" s="683">
        <f>inputOth!$E$22</f>
        <v>0.07</v>
      </c>
      <c r="E79" s="258">
        <f>ROUND(IF(D79&gt;0,(E78*D79),0),0)</f>
        <v>0</v>
      </c>
      <c r="G79" s="666">
        <f>G76-G78</f>
        <v>0</v>
      </c>
      <c r="H79" s="649" t="str">
        <f>CONCATENATE("Projected ",E1+1," carryover (est.)")</f>
        <v>Projected 2016 carryover (est.)</v>
      </c>
      <c r="I79" s="667"/>
      <c r="J79" s="668"/>
    </row>
    <row r="80" spans="2:10" ht="15.75">
      <c r="B80" s="66"/>
      <c r="C80" s="743" t="str">
        <f>CONCATENATE("Amount of  ",$E$1-1," Ad Valorem Tax")</f>
        <v>Amount of  2014 Ad Valorem Tax</v>
      </c>
      <c r="D80" s="744"/>
      <c r="E80" s="332">
        <f>E78+E79</f>
        <v>0</v>
      </c>
      <c r="G80" s="641"/>
      <c r="H80" s="641"/>
      <c r="I80" s="641"/>
      <c r="J80" s="641"/>
    </row>
    <row r="81" spans="2:10" ht="15.75">
      <c r="B81" s="315" t="s">
        <v>700</v>
      </c>
      <c r="C81" s="333"/>
      <c r="D81" s="66"/>
      <c r="E81" s="66"/>
      <c r="G81" s="749" t="s">
        <v>599</v>
      </c>
      <c r="H81" s="750"/>
      <c r="I81" s="750"/>
      <c r="J81" s="751"/>
    </row>
    <row r="82" spans="7:10" ht="15.75">
      <c r="G82" s="652"/>
      <c r="H82" s="644"/>
      <c r="I82" s="653"/>
      <c r="J82" s="654"/>
    </row>
    <row r="83" spans="7:10" ht="15.75">
      <c r="G83" s="655">
        <f>summ!H38</f>
        <v>0</v>
      </c>
      <c r="H83" s="644" t="str">
        <f>CONCATENATE("",E1," Fund Mill Rate")</f>
        <v>2015 Fund Mill Rate</v>
      </c>
      <c r="I83" s="653"/>
      <c r="J83" s="654"/>
    </row>
    <row r="84" spans="7:10" ht="15.75">
      <c r="G84" s="656">
        <f>summ!E38</f>
        <v>0</v>
      </c>
      <c r="H84" s="644" t="str">
        <f>CONCATENATE("",E1-1," Fund Mill Rate")</f>
        <v>2014 Fund Mill Rate</v>
      </c>
      <c r="I84" s="653"/>
      <c r="J84" s="654"/>
    </row>
    <row r="85" spans="7:10" ht="15.75">
      <c r="G85" s="657">
        <f>summ!H52</f>
        <v>42.268</v>
      </c>
      <c r="H85" s="644" t="str">
        <f>CONCATENATE("Total ",E1," Mill Rate")</f>
        <v>Total 2015 Mill Rate</v>
      </c>
      <c r="I85" s="653"/>
      <c r="J85" s="654"/>
    </row>
    <row r="86" spans="7:10" ht="15.75">
      <c r="G86" s="656">
        <f>summ!E52</f>
        <v>40.64399999999999</v>
      </c>
      <c r="H86" s="658" t="str">
        <f>CONCATENATE("Total ",E1-1," Mill Rate")</f>
        <v>Total 2014 Mill Rate</v>
      </c>
      <c r="I86" s="659"/>
      <c r="J86" s="660"/>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row r="92" spans="7:9" ht="15.75">
      <c r="G92" s="696" t="s">
        <v>53</v>
      </c>
      <c r="H92" s="695"/>
      <c r="I92" s="694" t="str">
        <f>cert!F60</f>
        <v>Yes</v>
      </c>
    </row>
  </sheetData>
  <sheetProtection sheet="1"/>
  <mergeCells count="12">
    <mergeCell ref="G24:J24"/>
    <mergeCell ref="G31:J31"/>
    <mergeCell ref="G41:J41"/>
    <mergeCell ref="G64:J64"/>
    <mergeCell ref="G71:J71"/>
    <mergeCell ref="C36:D36"/>
    <mergeCell ref="C37:D37"/>
    <mergeCell ref="C76:D76"/>
    <mergeCell ref="C77:D77"/>
    <mergeCell ref="G81:J81"/>
    <mergeCell ref="C80:D80"/>
    <mergeCell ref="C40:D40"/>
  </mergeCells>
  <conditionalFormatting sqref="E36">
    <cfRule type="cellIs" priority="3" dxfId="309" operator="greaterThan" stopIfTrue="1">
      <formula>$E$33/0.95-$E$33</formula>
    </cfRule>
  </conditionalFormatting>
  <conditionalFormatting sqref="E76">
    <cfRule type="cellIs" priority="4" dxfId="309" operator="greaterThan" stopIfTrue="1">
      <formula>$E$73/0.95-$E$73</formula>
    </cfRule>
  </conditionalFormatting>
  <conditionalFormatting sqref="E71">
    <cfRule type="cellIs" priority="5" dxfId="309" operator="greaterThan" stopIfTrue="1">
      <formula>$E$73*0.1</formula>
    </cfRule>
  </conditionalFormatting>
  <conditionalFormatting sqref="C18">
    <cfRule type="cellIs" priority="6" dxfId="309" operator="greaterThan" stopIfTrue="1">
      <formula>$C$20*0.1</formula>
    </cfRule>
  </conditionalFormatting>
  <conditionalFormatting sqref="D18">
    <cfRule type="cellIs" priority="7" dxfId="309" operator="greaterThan" stopIfTrue="1">
      <formula>$D$20*0.1</formula>
    </cfRule>
  </conditionalFormatting>
  <conditionalFormatting sqref="E31">
    <cfRule type="cellIs" priority="8" dxfId="309" operator="greaterThan" stopIfTrue="1">
      <formula>$E$33*0.1</formula>
    </cfRule>
  </conditionalFormatting>
  <conditionalFormatting sqref="E18">
    <cfRule type="cellIs" priority="9" dxfId="309" operator="greaterThan" stopIfTrue="1">
      <formula>$E$20*0.1+E40</formula>
    </cfRule>
  </conditionalFormatting>
  <conditionalFormatting sqref="E58">
    <cfRule type="cellIs" priority="10" dxfId="309"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74 C3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74 D34">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1"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18" sqref="E18"/>
    </sheetView>
  </sheetViews>
  <sheetFormatPr defaultColWidth="8.796875" defaultRowHeight="15"/>
  <cols>
    <col min="1" max="1" width="2.3984375" style="52" customWidth="1"/>
    <col min="2" max="2" width="31.09765625" style="52" customWidth="1"/>
    <col min="3" max="4" width="15.796875" style="52" customWidth="1"/>
    <col min="5" max="5" width="16.09765625" style="52" customWidth="1"/>
    <col min="6"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208" t="s">
        <v>749</v>
      </c>
      <c r="C3" s="144"/>
      <c r="D3" s="144"/>
      <c r="E3" s="144"/>
    </row>
    <row r="4" spans="2:5" ht="15.75">
      <c r="B4" s="65" t="s">
        <v>672</v>
      </c>
      <c r="C4" s="624" t="s">
        <v>595</v>
      </c>
      <c r="D4" s="625" t="s">
        <v>596</v>
      </c>
      <c r="E4" s="148" t="s">
        <v>597</v>
      </c>
    </row>
    <row r="5" spans="2:5" ht="15.75">
      <c r="B5" s="460" t="str">
        <f>inputPrYr!$B$44</f>
        <v>Waste Disposal</v>
      </c>
      <c r="C5" s="440" t="str">
        <f>CONCATENATE("Actual for ",E1-2,"")</f>
        <v>Actual for 2013</v>
      </c>
      <c r="D5" s="440" t="str">
        <f>CONCATENATE("Estimate for ",E1-1,"")</f>
        <v>Estimate for 2014</v>
      </c>
      <c r="E5" s="293" t="str">
        <f>CONCATENATE("Year for ",E1,"")</f>
        <v>Year for 2015</v>
      </c>
    </row>
    <row r="6" spans="2:5" ht="15.75">
      <c r="B6" s="152" t="s">
        <v>789</v>
      </c>
      <c r="C6" s="93">
        <v>60086</v>
      </c>
      <c r="D6" s="258">
        <v>56479</v>
      </c>
      <c r="E6" s="258">
        <f>D29</f>
        <v>56479</v>
      </c>
    </row>
    <row r="7" spans="2:5" ht="15.75">
      <c r="B7" s="174" t="s">
        <v>791</v>
      </c>
      <c r="C7" s="162"/>
      <c r="D7" s="162"/>
      <c r="E7" s="162"/>
    </row>
    <row r="8" spans="2:5" ht="15.75">
      <c r="B8" s="310"/>
      <c r="C8" s="93"/>
      <c r="D8" s="93"/>
      <c r="E8" s="93"/>
    </row>
    <row r="9" spans="2:5" ht="15.75">
      <c r="B9" s="310"/>
      <c r="C9" s="93"/>
      <c r="D9" s="93"/>
      <c r="E9" s="93"/>
    </row>
    <row r="10" spans="2:5" ht="15.75">
      <c r="B10" s="310"/>
      <c r="C10" s="93"/>
      <c r="D10" s="93"/>
      <c r="E10" s="93"/>
    </row>
    <row r="11" spans="2:5" ht="15.75">
      <c r="B11" s="298" t="s">
        <v>680</v>
      </c>
      <c r="C11" s="93"/>
      <c r="D11" s="93"/>
      <c r="E11" s="93"/>
    </row>
    <row r="12" spans="2:5" ht="15.75">
      <c r="B12" s="299" t="s">
        <v>911</v>
      </c>
      <c r="C12" s="93"/>
      <c r="D12" s="319"/>
      <c r="E12" s="319"/>
    </row>
    <row r="13" spans="2:5" ht="15.75">
      <c r="B13" s="299" t="s">
        <v>451</v>
      </c>
      <c r="C13" s="453">
        <f>IF(C14*0.1&lt;C12,"Exceed 10% Rule","")</f>
      </c>
      <c r="D13" s="300">
        <f>IF(D14*0.1&lt;D12,"Exceed 10% Rule","")</f>
      </c>
      <c r="E13" s="300">
        <f>IF(E14*0.1&lt;E12,"Exceed 10% Rule","")</f>
      </c>
    </row>
    <row r="14" spans="2:5" ht="15.75">
      <c r="B14" s="301" t="s">
        <v>681</v>
      </c>
      <c r="C14" s="347">
        <f>SUM(C8:C12)</f>
        <v>0</v>
      </c>
      <c r="D14" s="347">
        <f>SUM(D8:D12)</f>
        <v>0</v>
      </c>
      <c r="E14" s="347">
        <f>SUM(E8:E12)</f>
        <v>0</v>
      </c>
    </row>
    <row r="15" spans="2:5" ht="15.75">
      <c r="B15" s="301" t="s">
        <v>682</v>
      </c>
      <c r="C15" s="347">
        <f>C14+C6</f>
        <v>60086</v>
      </c>
      <c r="D15" s="347">
        <f>D14+D6</f>
        <v>56479</v>
      </c>
      <c r="E15" s="347">
        <f>E14+E6</f>
        <v>56479</v>
      </c>
    </row>
    <row r="16" spans="2:5" ht="15.75">
      <c r="B16" s="152" t="s">
        <v>685</v>
      </c>
      <c r="C16" s="258"/>
      <c r="D16" s="258"/>
      <c r="E16" s="258"/>
    </row>
    <row r="17" spans="2:5" ht="15.75">
      <c r="B17" s="310" t="s">
        <v>167</v>
      </c>
      <c r="C17" s="93">
        <v>3607</v>
      </c>
      <c r="D17" s="93">
        <v>0</v>
      </c>
      <c r="E17" s="93">
        <v>56479</v>
      </c>
    </row>
    <row r="18" spans="2:5" ht="15.75">
      <c r="B18" s="310"/>
      <c r="C18" s="93"/>
      <c r="D18" s="93"/>
      <c r="E18" s="93"/>
    </row>
    <row r="19" spans="2:5" ht="15.75">
      <c r="B19" s="310"/>
      <c r="C19" s="93"/>
      <c r="D19" s="93"/>
      <c r="E19" s="93"/>
    </row>
    <row r="20" spans="2:5" ht="15.75">
      <c r="B20" s="310"/>
      <c r="C20" s="93"/>
      <c r="D20" s="93"/>
      <c r="E20" s="93"/>
    </row>
    <row r="21" spans="2:5" ht="15.75">
      <c r="B21" s="310"/>
      <c r="C21" s="93"/>
      <c r="D21" s="93"/>
      <c r="E21" s="93"/>
    </row>
    <row r="22" spans="2:5" ht="15.75">
      <c r="B22" s="310"/>
      <c r="C22" s="93"/>
      <c r="D22" s="93"/>
      <c r="E22" s="93"/>
    </row>
    <row r="23" spans="2:5" ht="15.75">
      <c r="B23" s="310"/>
      <c r="C23" s="93"/>
      <c r="D23" s="93"/>
      <c r="E23" s="93"/>
    </row>
    <row r="24" spans="2:5" ht="15.75">
      <c r="B24" s="310"/>
      <c r="C24" s="93"/>
      <c r="D24" s="93"/>
      <c r="E24" s="93"/>
    </row>
    <row r="25" spans="2:5" ht="15.75">
      <c r="B25" s="310"/>
      <c r="C25" s="93"/>
      <c r="D25" s="93"/>
      <c r="E25" s="93"/>
    </row>
    <row r="26" spans="2:5" ht="15.75">
      <c r="B26" s="299" t="s">
        <v>911</v>
      </c>
      <c r="C26" s="93"/>
      <c r="D26" s="319"/>
      <c r="E26" s="319"/>
    </row>
    <row r="27" spans="2:5" ht="15.75">
      <c r="B27" s="299" t="s">
        <v>452</v>
      </c>
      <c r="C27" s="453">
        <f>IF(C28*0.1&lt;C26,"Exceed 10% Rule","")</f>
      </c>
      <c r="D27" s="300">
        <f>IF(D28*0.1&lt;D26,"Exceed 10% Rule","")</f>
      </c>
      <c r="E27" s="300">
        <f>IF(E28*0.1&lt;E26,"Exceed 10% Rule","")</f>
      </c>
    </row>
    <row r="28" spans="2:5" ht="15.75">
      <c r="B28" s="301" t="s">
        <v>686</v>
      </c>
      <c r="C28" s="347">
        <f>SUM(C17:C26)</f>
        <v>3607</v>
      </c>
      <c r="D28" s="347">
        <f>SUM(D17:D26)</f>
        <v>0</v>
      </c>
      <c r="E28" s="347">
        <f>SUM(E17:E26)</f>
        <v>56479</v>
      </c>
    </row>
    <row r="29" spans="2:5" ht="15.75">
      <c r="B29" s="152" t="s">
        <v>790</v>
      </c>
      <c r="C29" s="97">
        <f>C15-C28</f>
        <v>56479</v>
      </c>
      <c r="D29" s="97">
        <f>D15-D28</f>
        <v>56479</v>
      </c>
      <c r="E29" s="97">
        <f>E15-E28</f>
        <v>0</v>
      </c>
    </row>
    <row r="30" spans="2:5" ht="15.75">
      <c r="B30" s="280" t="str">
        <f>CONCATENATE("",E1-2,"/",E1-1," Budget Authority Amount:")</f>
        <v>2013/2014 Budget Authority Amount:</v>
      </c>
      <c r="C30" s="272">
        <f>inputOth!B54</f>
        <v>60086</v>
      </c>
      <c r="D30" s="272">
        <f>inputPrYr!D44</f>
        <v>60086</v>
      </c>
      <c r="E30" s="471">
        <f>IF($E$29&lt;0,"See Tab E","")</f>
      </c>
    </row>
    <row r="31" spans="2:5" ht="15.75">
      <c r="B31" s="280"/>
      <c r="C31" s="314">
        <f>IF(C28&gt;C30,"See Tab A","")</f>
      </c>
      <c r="D31" s="314">
        <f>IF(D28&gt;D30,"See Tab C","")</f>
      </c>
      <c r="E31" s="126"/>
    </row>
    <row r="32" spans="2:5" ht="15.75">
      <c r="B32" s="280"/>
      <c r="C32" s="314">
        <f>IF(C29&lt;0,"See Tab B","")</f>
      </c>
      <c r="D32" s="314">
        <f>IF(D29&lt;0,"See Tab D","")</f>
      </c>
      <c r="E32" s="126"/>
    </row>
    <row r="33" spans="2:5" ht="15.75">
      <c r="B33" s="66"/>
      <c r="C33" s="126"/>
      <c r="D33" s="126"/>
      <c r="E33" s="126"/>
    </row>
    <row r="34" spans="2:5" ht="15.75">
      <c r="B34" s="65"/>
      <c r="C34" s="144"/>
      <c r="D34" s="144"/>
      <c r="E34" s="144"/>
    </row>
    <row r="35" spans="2:5" ht="15.75">
      <c r="B35" s="65" t="s">
        <v>672</v>
      </c>
      <c r="C35" s="334" t="str">
        <f aca="true" t="shared" si="0" ref="C35:E36">C4</f>
        <v>Prior Year </v>
      </c>
      <c r="D35" s="148" t="str">
        <f t="shared" si="0"/>
        <v>Current Year </v>
      </c>
      <c r="E35" s="148" t="str">
        <f t="shared" si="0"/>
        <v>Proposed Budget </v>
      </c>
    </row>
    <row r="36" spans="2:5" ht="15.75">
      <c r="B36" s="460" t="str">
        <f>inputPrYr!$B$45</f>
        <v>Tourism &amp; Convention</v>
      </c>
      <c r="C36" s="305" t="str">
        <f t="shared" si="0"/>
        <v>Actual for 2013</v>
      </c>
      <c r="D36" s="305" t="str">
        <f t="shared" si="0"/>
        <v>Estimate for 2014</v>
      </c>
      <c r="E36" s="305" t="str">
        <f t="shared" si="0"/>
        <v>Year for 2015</v>
      </c>
    </row>
    <row r="37" spans="2:5" ht="15.75">
      <c r="B37" s="152" t="s">
        <v>789</v>
      </c>
      <c r="C37" s="93">
        <v>0</v>
      </c>
      <c r="D37" s="258">
        <f>C60</f>
        <v>0</v>
      </c>
      <c r="E37" s="258">
        <f>D60</f>
        <v>0</v>
      </c>
    </row>
    <row r="38" spans="2:5" ht="15.75">
      <c r="B38" s="152" t="s">
        <v>791</v>
      </c>
      <c r="C38" s="162"/>
      <c r="D38" s="162"/>
      <c r="E38" s="162"/>
    </row>
    <row r="39" spans="2:5" ht="15.75">
      <c r="B39" s="310" t="s">
        <v>214</v>
      </c>
      <c r="C39" s="93">
        <v>309439</v>
      </c>
      <c r="D39" s="93">
        <v>325000</v>
      </c>
      <c r="E39" s="93">
        <v>375000</v>
      </c>
    </row>
    <row r="40" spans="2:5" ht="15.75">
      <c r="B40" s="310"/>
      <c r="C40" s="93"/>
      <c r="D40" s="93"/>
      <c r="E40" s="93"/>
    </row>
    <row r="41" spans="2:5" ht="15.75">
      <c r="B41" s="310"/>
      <c r="C41" s="93"/>
      <c r="D41" s="93"/>
      <c r="E41" s="93"/>
    </row>
    <row r="42" spans="2:5" ht="15.75">
      <c r="B42" s="298" t="s">
        <v>680</v>
      </c>
      <c r="C42" s="93"/>
      <c r="D42" s="93"/>
      <c r="E42" s="93"/>
    </row>
    <row r="43" spans="2:5" ht="15.75">
      <c r="B43" s="299" t="s">
        <v>911</v>
      </c>
      <c r="C43" s="93"/>
      <c r="D43" s="319"/>
      <c r="E43" s="319"/>
    </row>
    <row r="44" spans="2:5" ht="15.75">
      <c r="B44" s="299" t="s">
        <v>451</v>
      </c>
      <c r="C44" s="453">
        <f>IF(C45*0.1&lt;C43,"Exceed 10% Rule","")</f>
      </c>
      <c r="D44" s="300">
        <f>IF(D45*0.1&lt;D43,"Exceed 10% Rule","")</f>
      </c>
      <c r="E44" s="300">
        <f>IF(E45*0.1&lt;E43,"Exceed 10% Rule","")</f>
      </c>
    </row>
    <row r="45" spans="2:5" ht="15.75">
      <c r="B45" s="301" t="s">
        <v>681</v>
      </c>
      <c r="C45" s="347">
        <f>SUM(C39:C43)</f>
        <v>309439</v>
      </c>
      <c r="D45" s="347">
        <f>SUM(D39:D43)</f>
        <v>325000</v>
      </c>
      <c r="E45" s="347">
        <f>SUM(E39:E43)</f>
        <v>375000</v>
      </c>
    </row>
    <row r="46" spans="2:5" ht="15.75">
      <c r="B46" s="301" t="s">
        <v>682</v>
      </c>
      <c r="C46" s="347">
        <f>C37+C45</f>
        <v>309439</v>
      </c>
      <c r="D46" s="347">
        <f>D37+D45</f>
        <v>325000</v>
      </c>
      <c r="E46" s="347">
        <f>E37+E45</f>
        <v>375000</v>
      </c>
    </row>
    <row r="47" spans="2:5" ht="15.75">
      <c r="B47" s="152" t="s">
        <v>685</v>
      </c>
      <c r="C47" s="258"/>
      <c r="D47" s="258"/>
      <c r="E47" s="258"/>
    </row>
    <row r="48" spans="2:5" ht="15.75">
      <c r="B48" s="310" t="s">
        <v>75</v>
      </c>
      <c r="C48" s="93">
        <v>309439</v>
      </c>
      <c r="D48" s="93">
        <v>325000</v>
      </c>
      <c r="E48" s="93">
        <v>375000</v>
      </c>
    </row>
    <row r="49" spans="2:5" ht="15.75">
      <c r="B49" s="310"/>
      <c r="C49" s="93"/>
      <c r="D49" s="93"/>
      <c r="E49" s="93"/>
    </row>
    <row r="50" spans="2:5" ht="15.75">
      <c r="B50" s="310"/>
      <c r="C50" s="93"/>
      <c r="D50" s="93"/>
      <c r="E50" s="93"/>
    </row>
    <row r="51" spans="2:5" ht="15.75">
      <c r="B51" s="310"/>
      <c r="C51" s="93"/>
      <c r="D51" s="93"/>
      <c r="E51" s="93"/>
    </row>
    <row r="52" spans="2:5" ht="15.75">
      <c r="B52" s="310"/>
      <c r="C52" s="93"/>
      <c r="D52" s="93"/>
      <c r="E52" s="93"/>
    </row>
    <row r="53" spans="2:5" ht="15.75">
      <c r="B53" s="310"/>
      <c r="C53" s="93"/>
      <c r="D53" s="93"/>
      <c r="E53" s="93"/>
    </row>
    <row r="54" spans="2:5" ht="15.75">
      <c r="B54" s="310"/>
      <c r="C54" s="93"/>
      <c r="D54" s="93"/>
      <c r="E54" s="93"/>
    </row>
    <row r="55" spans="2:5" ht="15.75">
      <c r="B55" s="310"/>
      <c r="C55" s="93"/>
      <c r="D55" s="93"/>
      <c r="E55" s="93"/>
    </row>
    <row r="56" spans="2:5" ht="15.75">
      <c r="B56" s="310"/>
      <c r="C56" s="93"/>
      <c r="D56" s="93"/>
      <c r="E56" s="93"/>
    </row>
    <row r="57" spans="2:5" ht="15.75">
      <c r="B57" s="299" t="s">
        <v>911</v>
      </c>
      <c r="C57" s="93"/>
      <c r="D57" s="319"/>
      <c r="E57" s="319"/>
    </row>
    <row r="58" spans="2:5" ht="15.75">
      <c r="B58" s="299" t="s">
        <v>452</v>
      </c>
      <c r="C58" s="453">
        <f>IF(C59*0.1&lt;C57,"Exceed 10% Rule","")</f>
      </c>
      <c r="D58" s="300">
        <f>IF(D59*0.1&lt;D57,"Exceed 10% Rule","")</f>
      </c>
      <c r="E58" s="300">
        <f>IF(E59*0.1&lt;E57,"Exceed 10% Rule","")</f>
      </c>
    </row>
    <row r="59" spans="2:5" ht="15.75">
      <c r="B59" s="301" t="s">
        <v>686</v>
      </c>
      <c r="C59" s="347">
        <f>SUM(C48:C57)</f>
        <v>309439</v>
      </c>
      <c r="D59" s="347">
        <f>SUM(D48:D57)</f>
        <v>325000</v>
      </c>
      <c r="E59" s="347">
        <f>SUM(E48:E57)</f>
        <v>375000</v>
      </c>
    </row>
    <row r="60" spans="2:5" ht="15.75">
      <c r="B60" s="152" t="s">
        <v>790</v>
      </c>
      <c r="C60" s="97">
        <f>C46-C59</f>
        <v>0</v>
      </c>
      <c r="D60" s="97">
        <f>D46-D59</f>
        <v>0</v>
      </c>
      <c r="E60" s="97">
        <f>E46-E59</f>
        <v>0</v>
      </c>
    </row>
    <row r="61" spans="2:5" ht="15.75">
      <c r="B61" s="280" t="str">
        <f>CONCATENATE("",$E$1-2,"/",$E$1-1," Budget Authority Amount:")</f>
        <v>2013/2014 Budget Authority Amount:</v>
      </c>
      <c r="C61" s="272">
        <f>inputOth!B55</f>
        <v>325000</v>
      </c>
      <c r="D61" s="272">
        <f>inputPrYr!D45</f>
        <v>325000</v>
      </c>
      <c r="E61" s="461">
        <f>IF($E$60&lt;0,"See Tab E","")</f>
      </c>
    </row>
    <row r="62" spans="2:5" ht="15.75">
      <c r="B62" s="280"/>
      <c r="C62" s="314">
        <f>IF(C59&gt;C61,"See Tab A","")</f>
      </c>
      <c r="D62" s="314">
        <f>IF(D59&gt;D61,"See Tab C","")</f>
      </c>
      <c r="E62" s="66"/>
    </row>
    <row r="63" spans="2:5" ht="15.75">
      <c r="B63" s="280"/>
      <c r="C63" s="314">
        <f>IF(C60&lt;0,"See Tab B","")</f>
      </c>
      <c r="D63" s="314">
        <f>IF(D60&lt;0,"See Tab D","")</f>
      </c>
      <c r="E63" s="66"/>
    </row>
    <row r="64" spans="2:5" ht="15.75">
      <c r="B64" s="66"/>
      <c r="C64" s="66"/>
      <c r="D64" s="66"/>
      <c r="E64" s="66"/>
    </row>
    <row r="65" spans="2:5" ht="15.75">
      <c r="B65" s="315" t="s">
        <v>700</v>
      </c>
      <c r="C65" s="333">
        <v>16</v>
      </c>
      <c r="D65" s="66"/>
      <c r="E65" s="66"/>
    </row>
  </sheetData>
  <sheetProtection sheet="1"/>
  <conditionalFormatting sqref="C43">
    <cfRule type="cellIs" priority="5" dxfId="309" operator="greaterThan" stopIfTrue="1">
      <formula>$C$45*0.1</formula>
    </cfRule>
  </conditionalFormatting>
  <conditionalFormatting sqref="D43">
    <cfRule type="cellIs" priority="6" dxfId="309" operator="greaterThan" stopIfTrue="1">
      <formula>$D$45*0.1</formula>
    </cfRule>
  </conditionalFormatting>
  <conditionalFormatting sqref="E43">
    <cfRule type="cellIs" priority="7" dxfId="309" operator="greaterThan" stopIfTrue="1">
      <formula>$E$45*0.1</formula>
    </cfRule>
  </conditionalFormatting>
  <conditionalFormatting sqref="C57">
    <cfRule type="cellIs" priority="8" dxfId="309" operator="greaterThan" stopIfTrue="1">
      <formula>$C$59*0.1</formula>
    </cfRule>
  </conditionalFormatting>
  <conditionalFormatting sqref="D57">
    <cfRule type="cellIs" priority="9" dxfId="309" operator="greaterThan" stopIfTrue="1">
      <formula>$D$59*0.1</formula>
    </cfRule>
  </conditionalFormatting>
  <conditionalFormatting sqref="E57">
    <cfRule type="cellIs" priority="10" dxfId="309" operator="greaterThan" stopIfTrue="1">
      <formula>$E$59*0.1</formula>
    </cfRule>
  </conditionalFormatting>
  <conditionalFormatting sqref="C26">
    <cfRule type="cellIs" priority="11" dxfId="309" operator="greaterThan" stopIfTrue="1">
      <formula>$C$28*0.1</formula>
    </cfRule>
  </conditionalFormatting>
  <conditionalFormatting sqref="D26">
    <cfRule type="cellIs" priority="12" dxfId="309" operator="greaterThan" stopIfTrue="1">
      <formula>$D$28*0.1</formula>
    </cfRule>
  </conditionalFormatting>
  <conditionalFormatting sqref="E26">
    <cfRule type="cellIs" priority="13" dxfId="309" operator="greaterThan" stopIfTrue="1">
      <formula>$E$28*0.1</formula>
    </cfRule>
  </conditionalFormatting>
  <conditionalFormatting sqref="C12">
    <cfRule type="cellIs" priority="14" dxfId="309" operator="greaterThan" stopIfTrue="1">
      <formula>$C$14*0.1</formula>
    </cfRule>
  </conditionalFormatting>
  <conditionalFormatting sqref="D12">
    <cfRule type="cellIs" priority="15" dxfId="309" operator="greaterThan" stopIfTrue="1">
      <formula>$D$14*0.1</formula>
    </cfRule>
  </conditionalFormatting>
  <conditionalFormatting sqref="E12">
    <cfRule type="cellIs" priority="16" dxfId="309" operator="greaterThan" stopIfTrue="1">
      <formula>$E$14*0.1</formula>
    </cfRule>
  </conditionalFormatting>
  <conditionalFormatting sqref="E60 E29 C60 C29">
    <cfRule type="cellIs" priority="17" dxfId="2" operator="lessThan" stopIfTrue="1">
      <formula>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C28">
    <cfRule type="cellIs" priority="20" dxfId="2" operator="greaterThan" stopIfTrue="1">
      <formula>$C$30</formula>
    </cfRule>
  </conditionalFormatting>
  <conditionalFormatting sqref="D28">
    <cfRule type="cellIs" priority="21" dxfId="2" operator="greaterThan" stopIfTrue="1">
      <formula>$D$30</formula>
    </cfRule>
  </conditionalFormatting>
  <conditionalFormatting sqref="D29">
    <cfRule type="cellIs" priority="3" dxfId="0" operator="lessThan" stopIfTrue="1">
      <formula>0</formula>
    </cfRule>
    <cfRule type="cellIs" priority="4" dxfId="0" operator="lessThan" stopIfTrue="1">
      <formula>0</formula>
    </cfRule>
  </conditionalFormatting>
  <conditionalFormatting sqref="D60">
    <cfRule type="cellIs" priority="1" dxfId="0" operator="lessThan" stopIfTrue="1">
      <formula>0</formula>
    </cfRule>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65" sqref="C65"/>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208" t="s">
        <v>749</v>
      </c>
      <c r="C3" s="144"/>
      <c r="D3" s="144"/>
      <c r="E3" s="144"/>
    </row>
    <row r="4" spans="2:5" ht="15.75">
      <c r="B4" s="65" t="s">
        <v>672</v>
      </c>
      <c r="C4" s="624" t="s">
        <v>595</v>
      </c>
      <c r="D4" s="625" t="s">
        <v>596</v>
      </c>
      <c r="E4" s="148" t="s">
        <v>597</v>
      </c>
    </row>
    <row r="5" spans="2:5" ht="15.75">
      <c r="B5" s="460" t="str">
        <f>inputPrYr!$B$46</f>
        <v>Sp Law Enforcement</v>
      </c>
      <c r="C5" s="440" t="str">
        <f>CONCATENATE("Actual for ",E1-2,"")</f>
        <v>Actual for 2013</v>
      </c>
      <c r="D5" s="440" t="str">
        <f>CONCATENATE("Estimate for ",E1-1,"")</f>
        <v>Estimate for 2014</v>
      </c>
      <c r="E5" s="293" t="str">
        <f>CONCATENATE("Year for ",E1,"")</f>
        <v>Year for 2015</v>
      </c>
    </row>
    <row r="6" spans="2:5" ht="15.75">
      <c r="B6" s="152" t="s">
        <v>789</v>
      </c>
      <c r="C6" s="93">
        <v>25061</v>
      </c>
      <c r="D6" s="258">
        <f>C29</f>
        <v>16424</v>
      </c>
      <c r="E6" s="258">
        <f>D29</f>
        <v>16363</v>
      </c>
    </row>
    <row r="7" spans="2:5" ht="15.75">
      <c r="B7" s="174" t="s">
        <v>791</v>
      </c>
      <c r="C7" s="162"/>
      <c r="D7" s="162"/>
      <c r="E7" s="162"/>
    </row>
    <row r="8" spans="2:5" ht="15.75">
      <c r="B8" s="310" t="s">
        <v>213</v>
      </c>
      <c r="C8" s="93">
        <v>31289</v>
      </c>
      <c r="D8" s="93">
        <v>80000</v>
      </c>
      <c r="E8" s="93">
        <v>80000</v>
      </c>
    </row>
    <row r="9" spans="2:5" ht="15.75">
      <c r="B9" s="310" t="s">
        <v>98</v>
      </c>
      <c r="C9" s="93">
        <v>175</v>
      </c>
      <c r="D9" s="93">
        <v>0</v>
      </c>
      <c r="E9" s="93">
        <v>0</v>
      </c>
    </row>
    <row r="10" spans="2:5" ht="15.75">
      <c r="B10" s="310"/>
      <c r="C10" s="93"/>
      <c r="D10" s="93"/>
      <c r="E10" s="93"/>
    </row>
    <row r="11" spans="2:5" ht="15.75">
      <c r="B11" s="298" t="s">
        <v>680</v>
      </c>
      <c r="C11" s="93"/>
      <c r="D11" s="93"/>
      <c r="E11" s="93"/>
    </row>
    <row r="12" spans="2:5" ht="15.75">
      <c r="B12" s="299" t="s">
        <v>911</v>
      </c>
      <c r="C12" s="93"/>
      <c r="D12" s="319"/>
      <c r="E12" s="319"/>
    </row>
    <row r="13" spans="2:5" ht="15.75">
      <c r="B13" s="299" t="s">
        <v>451</v>
      </c>
      <c r="C13" s="453">
        <f>IF(C14*0.1&lt;C12,"Exceed 10% Rule","")</f>
      </c>
      <c r="D13" s="300">
        <f>IF(D14*0.1&lt;D12,"Exceed 10% Rule","")</f>
      </c>
      <c r="E13" s="300">
        <f>IF(E14*0.1&lt;E12,"Exceed 10% Rule","")</f>
      </c>
    </row>
    <row r="14" spans="2:5" ht="15.75">
      <c r="B14" s="301" t="s">
        <v>681</v>
      </c>
      <c r="C14" s="347">
        <f>SUM(C8:C12)</f>
        <v>31464</v>
      </c>
      <c r="D14" s="347">
        <f>SUM(D8:D12)</f>
        <v>80000</v>
      </c>
      <c r="E14" s="347">
        <f>SUM(E8:E12)</f>
        <v>80000</v>
      </c>
    </row>
    <row r="15" spans="2:5" ht="15.75">
      <c r="B15" s="301" t="s">
        <v>682</v>
      </c>
      <c r="C15" s="347">
        <f>C14+C6</f>
        <v>56525</v>
      </c>
      <c r="D15" s="347">
        <f>D14+D6</f>
        <v>96424</v>
      </c>
      <c r="E15" s="347">
        <f>E14+E6</f>
        <v>96363</v>
      </c>
    </row>
    <row r="16" spans="2:5" ht="15.75">
      <c r="B16" s="152" t="s">
        <v>685</v>
      </c>
      <c r="C16" s="258"/>
      <c r="D16" s="258"/>
      <c r="E16" s="258"/>
    </row>
    <row r="17" spans="2:5" ht="15.75">
      <c r="B17" s="310" t="s">
        <v>167</v>
      </c>
      <c r="C17" s="93">
        <v>20365</v>
      </c>
      <c r="D17" s="93">
        <v>80061</v>
      </c>
      <c r="E17" s="93">
        <v>96363</v>
      </c>
    </row>
    <row r="18" spans="2:5" ht="15.75">
      <c r="B18" s="310" t="s">
        <v>168</v>
      </c>
      <c r="C18" s="93">
        <v>19736</v>
      </c>
      <c r="D18" s="93">
        <v>0</v>
      </c>
      <c r="E18" s="93">
        <v>0</v>
      </c>
    </row>
    <row r="19" spans="2:5" ht="15.75">
      <c r="B19" s="310"/>
      <c r="C19" s="93"/>
      <c r="D19" s="93"/>
      <c r="E19" s="93"/>
    </row>
    <row r="20" spans="2:5" ht="15.75">
      <c r="B20" s="310"/>
      <c r="C20" s="93"/>
      <c r="D20" s="93"/>
      <c r="E20" s="93"/>
    </row>
    <row r="21" spans="2:5" ht="15.75">
      <c r="B21" s="310"/>
      <c r="C21" s="93"/>
      <c r="D21" s="93"/>
      <c r="E21" s="93"/>
    </row>
    <row r="22" spans="2:5" ht="15.75">
      <c r="B22" s="310"/>
      <c r="C22" s="93"/>
      <c r="D22" s="93"/>
      <c r="E22" s="93"/>
    </row>
    <row r="23" spans="2:5" ht="15.75">
      <c r="B23" s="310"/>
      <c r="C23" s="93"/>
      <c r="D23" s="93"/>
      <c r="E23" s="93"/>
    </row>
    <row r="24" spans="2:5" ht="15.75">
      <c r="B24" s="310"/>
      <c r="C24" s="93"/>
      <c r="D24" s="93"/>
      <c r="E24" s="93"/>
    </row>
    <row r="25" spans="2:5" ht="15.75">
      <c r="B25" s="310"/>
      <c r="C25" s="93"/>
      <c r="D25" s="93"/>
      <c r="E25" s="93"/>
    </row>
    <row r="26" spans="2:5" ht="15.75">
      <c r="B26" s="299" t="s">
        <v>911</v>
      </c>
      <c r="C26" s="93"/>
      <c r="D26" s="319"/>
      <c r="E26" s="319"/>
    </row>
    <row r="27" spans="2:5" ht="15.75">
      <c r="B27" s="299" t="s">
        <v>452</v>
      </c>
      <c r="C27" s="453">
        <f>IF(C28*0.1&lt;C26,"Exceed 10% Rule","")</f>
      </c>
      <c r="D27" s="300">
        <f>IF(D28*0.1&lt;D26,"Exceed 10% Rule","")</f>
      </c>
      <c r="E27" s="300">
        <f>IF(E28*0.1&lt;E26,"Exceed 10% Rule","")</f>
      </c>
    </row>
    <row r="28" spans="2:5" ht="15.75">
      <c r="B28" s="301" t="s">
        <v>686</v>
      </c>
      <c r="C28" s="347">
        <f>SUM(C17:C26)</f>
        <v>40101</v>
      </c>
      <c r="D28" s="347">
        <f>SUM(D17:D26)</f>
        <v>80061</v>
      </c>
      <c r="E28" s="347">
        <f>SUM(E17:E26)</f>
        <v>96363</v>
      </c>
    </row>
    <row r="29" spans="2:5" ht="15.75">
      <c r="B29" s="152" t="s">
        <v>790</v>
      </c>
      <c r="C29" s="97">
        <f>C15-C28</f>
        <v>16424</v>
      </c>
      <c r="D29" s="97">
        <f>D15-D28</f>
        <v>16363</v>
      </c>
      <c r="E29" s="97">
        <f>E15-E28</f>
        <v>0</v>
      </c>
    </row>
    <row r="30" spans="2:5" ht="15.75">
      <c r="B30" s="280" t="str">
        <f>CONCATENATE("",$E$1-2,"/",$E$1-1," Budget Authority Amount:")</f>
        <v>2013/2014 Budget Authority Amount:</v>
      </c>
      <c r="C30" s="272">
        <f>inputOth!B56</f>
        <v>123331</v>
      </c>
      <c r="D30" s="272">
        <f>inputPrYr!D46</f>
        <v>80061</v>
      </c>
      <c r="E30" s="471">
        <f>IF($E$29&lt;0,"See Tab E","")</f>
      </c>
    </row>
    <row r="31" spans="2:5" ht="15.75">
      <c r="B31" s="280"/>
      <c r="C31" s="314">
        <f>IF(C28&gt;C30,"See Tab A","")</f>
      </c>
      <c r="D31" s="314">
        <f>IF(D28&gt;D30,"See Tab C","")</f>
      </c>
      <c r="E31" s="126"/>
    </row>
    <row r="32" spans="2:5" ht="15.75">
      <c r="B32" s="280"/>
      <c r="C32" s="314">
        <f>IF(C29&lt;0,"See Tab B","")</f>
      </c>
      <c r="D32" s="314">
        <f>IF(D29&lt;0,"See Tab D","")</f>
      </c>
      <c r="E32" s="126"/>
    </row>
    <row r="33" spans="2:5" ht="15.75">
      <c r="B33" s="66"/>
      <c r="C33" s="126"/>
      <c r="D33" s="126"/>
      <c r="E33" s="126"/>
    </row>
    <row r="34" spans="2:5" ht="15.75">
      <c r="B34" s="65"/>
      <c r="C34" s="144"/>
      <c r="D34" s="144"/>
      <c r="E34" s="144"/>
    </row>
    <row r="35" spans="2:5" ht="15.75">
      <c r="B35" s="65" t="s">
        <v>672</v>
      </c>
      <c r="C35" s="334" t="str">
        <f aca="true" t="shared" si="0" ref="C35:E36">C4</f>
        <v>Prior Year </v>
      </c>
      <c r="D35" s="148" t="str">
        <f t="shared" si="0"/>
        <v>Current Year </v>
      </c>
      <c r="E35" s="148" t="str">
        <f t="shared" si="0"/>
        <v>Proposed Budget </v>
      </c>
    </row>
    <row r="36" spans="2:5" ht="15.75">
      <c r="B36" s="460" t="str">
        <f>inputPrYr!$B$47</f>
        <v>Sp Parks &amp; Rec</v>
      </c>
      <c r="C36" s="305" t="str">
        <f t="shared" si="0"/>
        <v>Actual for 2013</v>
      </c>
      <c r="D36" s="305" t="str">
        <f t="shared" si="0"/>
        <v>Estimate for 2014</v>
      </c>
      <c r="E36" s="305" t="str">
        <f t="shared" si="0"/>
        <v>Year for 2015</v>
      </c>
    </row>
    <row r="37" spans="2:5" ht="15.75">
      <c r="B37" s="152" t="s">
        <v>789</v>
      </c>
      <c r="C37" s="93">
        <v>10549</v>
      </c>
      <c r="D37" s="258">
        <v>418</v>
      </c>
      <c r="E37" s="258">
        <f>D60</f>
        <v>0</v>
      </c>
    </row>
    <row r="38" spans="2:5" ht="15.75">
      <c r="B38" s="152" t="s">
        <v>791</v>
      </c>
      <c r="C38" s="162"/>
      <c r="D38" s="162"/>
      <c r="E38" s="162"/>
    </row>
    <row r="39" spans="2:5" ht="15.75">
      <c r="B39" s="310" t="s">
        <v>215</v>
      </c>
      <c r="C39" s="93">
        <v>15603</v>
      </c>
      <c r="D39" s="93">
        <v>20000</v>
      </c>
      <c r="E39" s="93">
        <v>20000</v>
      </c>
    </row>
    <row r="40" spans="2:5" ht="15.75">
      <c r="B40" s="310"/>
      <c r="C40" s="93"/>
      <c r="D40" s="93"/>
      <c r="E40" s="93"/>
    </row>
    <row r="41" spans="2:5" ht="15.75">
      <c r="B41" s="310"/>
      <c r="C41" s="93"/>
      <c r="D41" s="93"/>
      <c r="E41" s="93"/>
    </row>
    <row r="42" spans="2:5" ht="15.75">
      <c r="B42" s="298" t="s">
        <v>680</v>
      </c>
      <c r="C42" s="93"/>
      <c r="D42" s="93"/>
      <c r="E42" s="93"/>
    </row>
    <row r="43" spans="2:5" ht="15.75">
      <c r="B43" s="299" t="s">
        <v>911</v>
      </c>
      <c r="C43" s="93"/>
      <c r="D43" s="319"/>
      <c r="E43" s="319"/>
    </row>
    <row r="44" spans="2:5" ht="15.75">
      <c r="B44" s="299" t="s">
        <v>451</v>
      </c>
      <c r="C44" s="453">
        <f>IF(C45*0.1&lt;C43,"Exceed 10% Rule","")</f>
      </c>
      <c r="D44" s="300">
        <f>IF(D45*0.1&lt;D43,"Exceed 10% Rule","")</f>
      </c>
      <c r="E44" s="300">
        <f>IF(E45*0.1&lt;E43,"Exceed 10% Rule","")</f>
      </c>
    </row>
    <row r="45" spans="2:5" ht="15.75">
      <c r="B45" s="301" t="s">
        <v>681</v>
      </c>
      <c r="C45" s="347">
        <f>SUM(C39:C43)</f>
        <v>15603</v>
      </c>
      <c r="D45" s="347">
        <f>SUM(D39:D43)</f>
        <v>20000</v>
      </c>
      <c r="E45" s="347">
        <f>SUM(E39:E43)</f>
        <v>20000</v>
      </c>
    </row>
    <row r="46" spans="2:5" ht="15.75">
      <c r="B46" s="301" t="s">
        <v>682</v>
      </c>
      <c r="C46" s="347">
        <f>C37+C45</f>
        <v>26152</v>
      </c>
      <c r="D46" s="347">
        <f>D37+D45</f>
        <v>20418</v>
      </c>
      <c r="E46" s="347">
        <f>E37+E45</f>
        <v>20000</v>
      </c>
    </row>
    <row r="47" spans="2:5" ht="15.75">
      <c r="B47" s="152" t="s">
        <v>685</v>
      </c>
      <c r="C47" s="258"/>
      <c r="D47" s="258"/>
      <c r="E47" s="258"/>
    </row>
    <row r="48" spans="2:5" ht="15.75">
      <c r="B48" s="310" t="s">
        <v>75</v>
      </c>
      <c r="C48" s="93">
        <v>25734</v>
      </c>
      <c r="D48" s="93">
        <v>20418</v>
      </c>
      <c r="E48" s="93">
        <v>20000</v>
      </c>
    </row>
    <row r="49" spans="2:5" ht="15.75">
      <c r="B49" s="310"/>
      <c r="C49" s="93"/>
      <c r="D49" s="93"/>
      <c r="E49" s="93"/>
    </row>
    <row r="50" spans="2:5" ht="15.75">
      <c r="B50" s="310"/>
      <c r="C50" s="93"/>
      <c r="D50" s="93"/>
      <c r="E50" s="93"/>
    </row>
    <row r="51" spans="2:5" ht="15.75">
      <c r="B51" s="310"/>
      <c r="C51" s="93"/>
      <c r="D51" s="93"/>
      <c r="E51" s="93"/>
    </row>
    <row r="52" spans="2:5" ht="15.75">
      <c r="B52" s="310"/>
      <c r="C52" s="93"/>
      <c r="D52" s="93"/>
      <c r="E52" s="93"/>
    </row>
    <row r="53" spans="2:5" ht="15.75">
      <c r="B53" s="310"/>
      <c r="C53" s="93"/>
      <c r="D53" s="93"/>
      <c r="E53" s="93"/>
    </row>
    <row r="54" spans="2:5" ht="15.75">
      <c r="B54" s="310"/>
      <c r="C54" s="93"/>
      <c r="D54" s="93"/>
      <c r="E54" s="93"/>
    </row>
    <row r="55" spans="2:5" ht="15.75">
      <c r="B55" s="310"/>
      <c r="C55" s="93"/>
      <c r="D55" s="93"/>
      <c r="E55" s="93"/>
    </row>
    <row r="56" spans="2:5" ht="15.75">
      <c r="B56" s="310"/>
      <c r="C56" s="93"/>
      <c r="D56" s="93"/>
      <c r="E56" s="93"/>
    </row>
    <row r="57" spans="2:5" ht="15.75">
      <c r="B57" s="299" t="s">
        <v>911</v>
      </c>
      <c r="C57" s="93"/>
      <c r="D57" s="319"/>
      <c r="E57" s="319"/>
    </row>
    <row r="58" spans="2:5" ht="15.75">
      <c r="B58" s="299" t="s">
        <v>452</v>
      </c>
      <c r="C58" s="453">
        <f>IF(C59*0.1&lt;C57,"Exceed 10% Rule","")</f>
      </c>
      <c r="D58" s="300">
        <f>IF(D59*0.1&lt;D57,"Exceed 10% Rule","")</f>
      </c>
      <c r="E58" s="300">
        <f>IF(E59*0.1&lt;E57,"Exceed 10% Rule","")</f>
      </c>
    </row>
    <row r="59" spans="2:5" ht="15.75">
      <c r="B59" s="301" t="s">
        <v>686</v>
      </c>
      <c r="C59" s="347">
        <f>SUM(C48:C57)</f>
        <v>25734</v>
      </c>
      <c r="D59" s="347">
        <f>SUM(D48:D57)</f>
        <v>20418</v>
      </c>
      <c r="E59" s="347">
        <f>SUM(E48:E57)</f>
        <v>20000</v>
      </c>
    </row>
    <row r="60" spans="2:5" ht="15.75">
      <c r="B60" s="152" t="s">
        <v>790</v>
      </c>
      <c r="C60" s="97">
        <f>C46-C59</f>
        <v>418</v>
      </c>
      <c r="D60" s="97">
        <f>D46-D59</f>
        <v>0</v>
      </c>
      <c r="E60" s="97">
        <f>E46-E59</f>
        <v>0</v>
      </c>
    </row>
    <row r="61" spans="2:5" ht="15.75">
      <c r="B61" s="280" t="str">
        <f>CONCATENATE("",$E$1-2,"/",$E$1-1," Budget Authority Amount:")</f>
        <v>2013/2014 Budget Authority Amount:</v>
      </c>
      <c r="C61" s="272">
        <f>inputOth!B57</f>
        <v>26896</v>
      </c>
      <c r="D61" s="272">
        <f>inputPrYr!D47</f>
        <v>23814</v>
      </c>
      <c r="E61" s="461">
        <f>IF($E$60&lt;0,"See Tab E","")</f>
      </c>
    </row>
    <row r="62" spans="2:5" ht="15.75">
      <c r="B62" s="280"/>
      <c r="C62" s="314">
        <f>IF(C59&gt;C61,"See Tab A","")</f>
      </c>
      <c r="D62" s="314">
        <f>IF(D59&gt;D61,"See Tab C","")</f>
      </c>
      <c r="E62" s="66"/>
    </row>
    <row r="63" spans="2:5" ht="15.75">
      <c r="B63" s="280"/>
      <c r="C63" s="314">
        <f>IF(C60&lt;0,"See Tab B","")</f>
      </c>
      <c r="D63" s="314">
        <f>IF(D60&lt;0,"See Tab D","")</f>
      </c>
      <c r="E63" s="66"/>
    </row>
    <row r="64" spans="2:5" ht="15.75">
      <c r="B64" s="66"/>
      <c r="C64" s="66"/>
      <c r="D64" s="66"/>
      <c r="E64" s="66"/>
    </row>
    <row r="65" spans="2:5" ht="15.75">
      <c r="B65" s="315" t="s">
        <v>700</v>
      </c>
      <c r="C65" s="333">
        <v>17</v>
      </c>
      <c r="D65" s="66"/>
      <c r="E65" s="66"/>
    </row>
  </sheetData>
  <sheetProtection sheet="1"/>
  <conditionalFormatting sqref="C43">
    <cfRule type="cellIs" priority="3" dxfId="309" operator="greaterThan" stopIfTrue="1">
      <formula>$C$45*0.1</formula>
    </cfRule>
  </conditionalFormatting>
  <conditionalFormatting sqref="D43">
    <cfRule type="cellIs" priority="4" dxfId="309" operator="greaterThan" stopIfTrue="1">
      <formula>$D$45*0.1</formula>
    </cfRule>
  </conditionalFormatting>
  <conditionalFormatting sqref="E43">
    <cfRule type="cellIs" priority="5" dxfId="309" operator="greaterThan" stopIfTrue="1">
      <formula>$E$45*0.1</formula>
    </cfRule>
  </conditionalFormatting>
  <conditionalFormatting sqref="C57">
    <cfRule type="cellIs" priority="6" dxfId="309" operator="greaterThan" stopIfTrue="1">
      <formula>$C$59*0.1</formula>
    </cfRule>
  </conditionalFormatting>
  <conditionalFormatting sqref="D57">
    <cfRule type="cellIs" priority="7" dxfId="309" operator="greaterThan" stopIfTrue="1">
      <formula>$D$59*0.1</formula>
    </cfRule>
  </conditionalFormatting>
  <conditionalFormatting sqref="E57">
    <cfRule type="cellIs" priority="8" dxfId="309" operator="greaterThan" stopIfTrue="1">
      <formula>$E$59*0.1</formula>
    </cfRule>
  </conditionalFormatting>
  <conditionalFormatting sqref="C26">
    <cfRule type="cellIs" priority="9" dxfId="309" operator="greaterThan" stopIfTrue="1">
      <formula>$C$28*0.1</formula>
    </cfRule>
  </conditionalFormatting>
  <conditionalFormatting sqref="D26">
    <cfRule type="cellIs" priority="10" dxfId="309" operator="greaterThan" stopIfTrue="1">
      <formula>$D$28*0.1</formula>
    </cfRule>
  </conditionalFormatting>
  <conditionalFormatting sqref="E26">
    <cfRule type="cellIs" priority="11" dxfId="309" operator="greaterThan" stopIfTrue="1">
      <formula>$E$28*0.1</formula>
    </cfRule>
  </conditionalFormatting>
  <conditionalFormatting sqref="C12">
    <cfRule type="cellIs" priority="12" dxfId="309" operator="greaterThan" stopIfTrue="1">
      <formula>$C$14*0.1</formula>
    </cfRule>
  </conditionalFormatting>
  <conditionalFormatting sqref="D12">
    <cfRule type="cellIs" priority="13" dxfId="309" operator="greaterThan" stopIfTrue="1">
      <formula>$D$14*0.1</formula>
    </cfRule>
  </conditionalFormatting>
  <conditionalFormatting sqref="E12">
    <cfRule type="cellIs" priority="14" dxfId="309" operator="greaterThan" stopIfTrue="1">
      <formula>$E$14*0.1</formula>
    </cfRule>
  </conditionalFormatting>
  <conditionalFormatting sqref="D59">
    <cfRule type="cellIs" priority="15" dxfId="2" operator="greaterThan" stopIfTrue="1">
      <formula>$D$61</formula>
    </cfRule>
  </conditionalFormatting>
  <conditionalFormatting sqref="C59">
    <cfRule type="cellIs" priority="16" dxfId="2" operator="greaterThan" stopIfTrue="1">
      <formula>$C$61</formula>
    </cfRule>
  </conditionalFormatting>
  <conditionalFormatting sqref="E60 C60 E29 C29">
    <cfRule type="cellIs" priority="17" dxfId="2" operator="lessThan" stopIfTrue="1">
      <formula>0</formula>
    </cfRule>
  </conditionalFormatting>
  <conditionalFormatting sqref="C28">
    <cfRule type="cellIs" priority="18" dxfId="2" operator="greaterThan" stopIfTrue="1">
      <formula>$C$30</formula>
    </cfRule>
  </conditionalFormatting>
  <conditionalFormatting sqref="D28">
    <cfRule type="cellIs" priority="19" dxfId="2" operator="greaterThan" stopIfTrue="1">
      <formula>$D$30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C65" sqref="C65"/>
    </sheetView>
  </sheetViews>
  <sheetFormatPr defaultColWidth="8.796875" defaultRowHeight="15"/>
  <cols>
    <col min="1" max="1" width="2.3984375" style="1" customWidth="1"/>
    <col min="2" max="2" width="31.09765625" style="1" customWidth="1"/>
    <col min="3" max="4" width="15.796875" style="1" customWidth="1"/>
    <col min="5" max="5" width="16.296875" style="1" customWidth="1"/>
    <col min="6" max="16384" width="8.8984375" style="1" customWidth="1"/>
  </cols>
  <sheetData>
    <row r="1" spans="2:5" ht="15.75">
      <c r="B1" s="9" t="str">
        <f>(inputPrYr!C3)</f>
        <v>Montgomery County</v>
      </c>
      <c r="C1" s="5"/>
      <c r="D1" s="5"/>
      <c r="E1" s="27">
        <f>inputPrYr!C5</f>
        <v>2015</v>
      </c>
    </row>
    <row r="2" spans="2:5" ht="15.75">
      <c r="B2" s="11"/>
      <c r="C2" s="12"/>
      <c r="D2" s="12"/>
      <c r="E2" s="15"/>
    </row>
    <row r="3" spans="2:5" ht="15.75">
      <c r="B3" s="11" t="s">
        <v>749</v>
      </c>
      <c r="C3" s="7"/>
      <c r="D3" s="7"/>
      <c r="E3" s="7"/>
    </row>
    <row r="4" spans="2:5" ht="15.75">
      <c r="B4" s="6" t="s">
        <v>672</v>
      </c>
      <c r="C4" s="624" t="s">
        <v>595</v>
      </c>
      <c r="D4" s="625" t="s">
        <v>596</v>
      </c>
      <c r="E4" s="148" t="s">
        <v>597</v>
      </c>
    </row>
    <row r="5" spans="2:5" ht="15.75">
      <c r="B5" s="458" t="str">
        <f>inputPrYr!$B$48</f>
        <v>Sp Alcohol Program</v>
      </c>
      <c r="C5" s="440" t="str">
        <f>CONCATENATE("Actual for ",E1-2,"")</f>
        <v>Actual for 2013</v>
      </c>
      <c r="D5" s="440" t="str">
        <f>CONCATENATE("Estimate for ",E1-1,"")</f>
        <v>Estimate for 2014</v>
      </c>
      <c r="E5" s="293" t="str">
        <f>CONCATENATE("Year for ",E1,"")</f>
        <v>Year for 2015</v>
      </c>
    </row>
    <row r="6" spans="2:5" ht="15.75">
      <c r="B6" s="4" t="s">
        <v>789</v>
      </c>
      <c r="C6" s="2">
        <v>5124</v>
      </c>
      <c r="D6" s="14">
        <f>C29</f>
        <v>0</v>
      </c>
      <c r="E6" s="14">
        <f>D29</f>
        <v>0</v>
      </c>
    </row>
    <row r="7" spans="2:5" ht="15.75">
      <c r="B7" s="41" t="s">
        <v>791</v>
      </c>
      <c r="C7" s="8"/>
      <c r="D7" s="8"/>
      <c r="E7" s="8"/>
    </row>
    <row r="8" spans="2:5" ht="15.75">
      <c r="B8" s="42"/>
      <c r="C8" s="2">
        <v>24974</v>
      </c>
      <c r="D8" s="2">
        <v>30000</v>
      </c>
      <c r="E8" s="2">
        <v>30000</v>
      </c>
    </row>
    <row r="9" spans="2:5" ht="15.75">
      <c r="B9" s="42"/>
      <c r="C9" s="2"/>
      <c r="D9" s="2"/>
      <c r="E9" s="2"/>
    </row>
    <row r="10" spans="2:5" ht="15.75">
      <c r="B10" s="42"/>
      <c r="C10" s="2"/>
      <c r="D10" s="2"/>
      <c r="E10" s="2"/>
    </row>
    <row r="11" spans="2:5" ht="15.75">
      <c r="B11" s="3" t="s">
        <v>680</v>
      </c>
      <c r="C11" s="2"/>
      <c r="D11" s="2"/>
      <c r="E11" s="2"/>
    </row>
    <row r="12" spans="2:5" ht="15.75">
      <c r="B12" s="28" t="s">
        <v>911</v>
      </c>
      <c r="C12" s="2"/>
      <c r="D12" s="43"/>
      <c r="E12" s="43"/>
    </row>
    <row r="13" spans="2:5" ht="15.75">
      <c r="B13" s="28" t="s">
        <v>451</v>
      </c>
      <c r="C13" s="454">
        <f>IF(C14*0.1&lt;C12,"Exceed 10% Rule","")</f>
      </c>
      <c r="D13" s="44">
        <f>IF(D14*0.1&lt;D12,"Exceed 10% Rule","")</f>
      </c>
      <c r="E13" s="44">
        <f>IF(E14*0.1&lt;E12,"Exceed 10% Rule","")</f>
      </c>
    </row>
    <row r="14" spans="2:5" ht="15.75">
      <c r="B14" s="30" t="s">
        <v>681</v>
      </c>
      <c r="C14" s="40">
        <f>SUM(C8:C12)</f>
        <v>24974</v>
      </c>
      <c r="D14" s="40">
        <f>SUM(D8:D12)</f>
        <v>30000</v>
      </c>
      <c r="E14" s="40">
        <f>SUM(E8:E12)</f>
        <v>30000</v>
      </c>
    </row>
    <row r="15" spans="2:5" ht="15.75">
      <c r="B15" s="30" t="s">
        <v>682</v>
      </c>
      <c r="C15" s="40">
        <f>C14+C6</f>
        <v>30098</v>
      </c>
      <c r="D15" s="40">
        <f>D14+D6</f>
        <v>30000</v>
      </c>
      <c r="E15" s="40">
        <f>E14+E6</f>
        <v>30000</v>
      </c>
    </row>
    <row r="16" spans="2:5" ht="15.75">
      <c r="B16" s="4" t="s">
        <v>685</v>
      </c>
      <c r="C16" s="14"/>
      <c r="D16" s="14"/>
      <c r="E16" s="14"/>
    </row>
    <row r="17" spans="2:5" ht="15.75">
      <c r="B17" s="42" t="s">
        <v>75</v>
      </c>
      <c r="C17" s="2">
        <v>30098</v>
      </c>
      <c r="D17" s="2">
        <v>30000</v>
      </c>
      <c r="E17" s="2">
        <v>30000</v>
      </c>
    </row>
    <row r="18" spans="2:5" ht="15.75">
      <c r="B18" s="42"/>
      <c r="C18" s="2"/>
      <c r="D18" s="2"/>
      <c r="E18" s="2"/>
    </row>
    <row r="19" spans="2:5" ht="15.75">
      <c r="B19" s="42"/>
      <c r="C19" s="2"/>
      <c r="D19" s="2"/>
      <c r="E19" s="2"/>
    </row>
    <row r="20" spans="2:5" ht="15.75">
      <c r="B20" s="42"/>
      <c r="C20" s="2"/>
      <c r="D20" s="2"/>
      <c r="E20" s="2"/>
    </row>
    <row r="21" spans="2:5" ht="15.75">
      <c r="B21" s="42"/>
      <c r="C21" s="2"/>
      <c r="D21" s="2"/>
      <c r="E21" s="2"/>
    </row>
    <row r="22" spans="2:5" ht="15.75">
      <c r="B22" s="42"/>
      <c r="C22" s="2"/>
      <c r="D22" s="2"/>
      <c r="E22" s="2"/>
    </row>
    <row r="23" spans="2:5" ht="15.75">
      <c r="B23" s="42"/>
      <c r="C23" s="2"/>
      <c r="D23" s="2"/>
      <c r="E23" s="2"/>
    </row>
    <row r="24" spans="2:5" ht="15.75">
      <c r="B24" s="42"/>
      <c r="C24" s="2"/>
      <c r="D24" s="2"/>
      <c r="E24" s="2"/>
    </row>
    <row r="25" spans="2:5" ht="15.75">
      <c r="B25" s="42"/>
      <c r="C25" s="2"/>
      <c r="D25" s="2"/>
      <c r="E25" s="2"/>
    </row>
    <row r="26" spans="2:5" ht="15.75">
      <c r="B26" s="28" t="s">
        <v>911</v>
      </c>
      <c r="C26" s="2"/>
      <c r="D26" s="43"/>
      <c r="E26" s="43"/>
    </row>
    <row r="27" spans="2:5" ht="15.75">
      <c r="B27" s="28" t="s">
        <v>452</v>
      </c>
      <c r="C27" s="454">
        <f>IF(C28*0.1&lt;C26,"Exceed 10% Rule","")</f>
      </c>
      <c r="D27" s="44">
        <f>IF(D28*0.1&lt;D26,"Exceed 10% Rule","")</f>
      </c>
      <c r="E27" s="44">
        <f>IF(E28*0.1&lt;E26,"Exceed 10% Rule","")</f>
      </c>
    </row>
    <row r="28" spans="2:5" ht="15.75">
      <c r="B28" s="30" t="s">
        <v>686</v>
      </c>
      <c r="C28" s="40">
        <f>SUM(C17:C26)</f>
        <v>30098</v>
      </c>
      <c r="D28" s="40">
        <f>SUM(D17:D26)</f>
        <v>30000</v>
      </c>
      <c r="E28" s="40">
        <f>SUM(E17:E26)</f>
        <v>30000</v>
      </c>
    </row>
    <row r="29" spans="2:5" ht="15.75">
      <c r="B29" s="4" t="s">
        <v>790</v>
      </c>
      <c r="C29" s="39">
        <f>C15-C28</f>
        <v>0</v>
      </c>
      <c r="D29" s="39">
        <f>D15-D28</f>
        <v>0</v>
      </c>
      <c r="E29" s="39">
        <f>E15-E28</f>
        <v>0</v>
      </c>
    </row>
    <row r="30" spans="2:5" ht="15.75">
      <c r="B30" s="13" t="str">
        <f>CONCATENATE("",$E$1-2,"/",$E$1-1," Budget Authority Amount:")</f>
        <v>2013/2014 Budget Authority Amount:</v>
      </c>
      <c r="C30" s="462">
        <f>inputOth!B58</f>
        <v>37899</v>
      </c>
      <c r="D30" s="462">
        <f>inputPrYr!D48</f>
        <v>30124</v>
      </c>
      <c r="E30" s="471">
        <f>IF($E$29&lt;0,"See Tab E","")</f>
      </c>
    </row>
    <row r="31" spans="2:5" ht="15.75">
      <c r="B31" s="13"/>
      <c r="C31" s="314">
        <f>IF(C28&gt;C30,"See Tab A","")</f>
      </c>
      <c r="D31" s="314">
        <f>IF(D28&gt;D30,"See Tab C","")</f>
      </c>
      <c r="E31" s="10"/>
    </row>
    <row r="32" spans="2:5" ht="15.75">
      <c r="B32" s="13"/>
      <c r="C32" s="314">
        <f>IF(C29&lt;0,"See Tab B","")</f>
      </c>
      <c r="D32" s="314">
        <f>IF(D29&lt;0,"See Tab D","")</f>
      </c>
      <c r="E32" s="10"/>
    </row>
    <row r="33" spans="2:5" ht="15.75">
      <c r="B33" s="5"/>
      <c r="C33" s="10"/>
      <c r="D33" s="10"/>
      <c r="E33" s="10"/>
    </row>
    <row r="34" spans="2:5" ht="15.75">
      <c r="B34" s="6"/>
      <c r="C34" s="7"/>
      <c r="D34" s="7"/>
      <c r="E34" s="7"/>
    </row>
    <row r="35" spans="2:5" ht="15.75">
      <c r="B35" s="6" t="s">
        <v>672</v>
      </c>
      <c r="C35" s="626" t="str">
        <f aca="true" t="shared" si="0" ref="C35:E36">C4</f>
        <v>Prior Year </v>
      </c>
      <c r="D35" s="627" t="str">
        <f t="shared" si="0"/>
        <v>Current Year </v>
      </c>
      <c r="E35" s="627" t="str">
        <f t="shared" si="0"/>
        <v>Proposed Budget </v>
      </c>
    </row>
    <row r="36" spans="2:5" ht="15.75">
      <c r="B36" s="458" t="str">
        <f>inputPrYr!$B$49</f>
        <v>Sp Assmts-Co Wide</v>
      </c>
      <c r="C36" s="29" t="str">
        <f t="shared" si="0"/>
        <v>Actual for 2013</v>
      </c>
      <c r="D36" s="29" t="str">
        <f t="shared" si="0"/>
        <v>Estimate for 2014</v>
      </c>
      <c r="E36" s="29" t="str">
        <f t="shared" si="0"/>
        <v>Year for 2015</v>
      </c>
    </row>
    <row r="37" spans="2:5" ht="15.75">
      <c r="B37" s="4" t="s">
        <v>789</v>
      </c>
      <c r="C37" s="2">
        <v>20431</v>
      </c>
      <c r="D37" s="14">
        <f>C60</f>
        <v>20431</v>
      </c>
      <c r="E37" s="14">
        <f>D60</f>
        <v>0</v>
      </c>
    </row>
    <row r="38" spans="2:5" ht="15.75">
      <c r="B38" s="4" t="s">
        <v>791</v>
      </c>
      <c r="C38" s="8"/>
      <c r="D38" s="8"/>
      <c r="E38" s="8"/>
    </row>
    <row r="39" spans="2:5" ht="15.75">
      <c r="B39" s="42"/>
      <c r="C39" s="2"/>
      <c r="D39" s="2"/>
      <c r="E39" s="2"/>
    </row>
    <row r="40" spans="2:5" ht="15.75">
      <c r="B40" s="42"/>
      <c r="C40" s="2"/>
      <c r="D40" s="2"/>
      <c r="E40" s="2"/>
    </row>
    <row r="41" spans="2:5" ht="15.75">
      <c r="B41" s="42"/>
      <c r="C41" s="2"/>
      <c r="D41" s="2"/>
      <c r="E41" s="2"/>
    </row>
    <row r="42" spans="2:5" ht="15.75">
      <c r="B42" s="3" t="s">
        <v>680</v>
      </c>
      <c r="C42" s="2"/>
      <c r="D42" s="2"/>
      <c r="E42" s="2"/>
    </row>
    <row r="43" spans="2:5" ht="15.75">
      <c r="B43" s="28" t="s">
        <v>911</v>
      </c>
      <c r="C43" s="2"/>
      <c r="D43" s="43"/>
      <c r="E43" s="43"/>
    </row>
    <row r="44" spans="2:5" ht="15.75">
      <c r="B44" s="28" t="s">
        <v>451</v>
      </c>
      <c r="C44" s="454">
        <f>IF(C45*0.1&lt;C43,"Exceed 10% Rule","")</f>
      </c>
      <c r="D44" s="44">
        <f>IF(D45*0.1&lt;D43,"Exceed 10% Rule","")</f>
      </c>
      <c r="E44" s="44">
        <f>IF(E45*0.1&lt;E43,"Exceed 10% Rule","")</f>
      </c>
    </row>
    <row r="45" spans="2:5" ht="15.75">
      <c r="B45" s="30" t="s">
        <v>681</v>
      </c>
      <c r="C45" s="40">
        <f>SUM(C39:C43)</f>
        <v>0</v>
      </c>
      <c r="D45" s="40">
        <f>SUM(D39:D43)</f>
        <v>0</v>
      </c>
      <c r="E45" s="40">
        <f>SUM(E39:E43)</f>
        <v>0</v>
      </c>
    </row>
    <row r="46" spans="2:5" ht="15.75">
      <c r="B46" s="30" t="s">
        <v>682</v>
      </c>
      <c r="C46" s="40">
        <f>C37+C45</f>
        <v>20431</v>
      </c>
      <c r="D46" s="40">
        <f>D37+D45</f>
        <v>20431</v>
      </c>
      <c r="E46" s="40">
        <f>E37+E45</f>
        <v>0</v>
      </c>
    </row>
    <row r="47" spans="2:5" ht="15.75">
      <c r="B47" s="4" t="s">
        <v>685</v>
      </c>
      <c r="C47" s="14"/>
      <c r="D47" s="14"/>
      <c r="E47" s="14"/>
    </row>
    <row r="48" spans="2:5" ht="15.75">
      <c r="B48" s="42" t="s">
        <v>216</v>
      </c>
      <c r="C48" s="2">
        <v>0</v>
      </c>
      <c r="D48" s="2">
        <v>20431</v>
      </c>
      <c r="E48" s="2">
        <v>0</v>
      </c>
    </row>
    <row r="49" spans="2:5" ht="15.75">
      <c r="B49" s="42"/>
      <c r="C49" s="2"/>
      <c r="D49" s="2"/>
      <c r="E49" s="2"/>
    </row>
    <row r="50" spans="2:5" ht="15.75">
      <c r="B50" s="42"/>
      <c r="C50" s="2"/>
      <c r="D50" s="2"/>
      <c r="E50" s="2"/>
    </row>
    <row r="51" spans="2:5" ht="15.75">
      <c r="B51" s="42"/>
      <c r="C51" s="2"/>
      <c r="D51" s="2"/>
      <c r="E51" s="2"/>
    </row>
    <row r="52" spans="2:5" ht="15.75">
      <c r="B52" s="42"/>
      <c r="C52" s="2"/>
      <c r="D52" s="2"/>
      <c r="E52" s="2"/>
    </row>
    <row r="53" spans="2:5" ht="15.75">
      <c r="B53" s="42"/>
      <c r="C53" s="2"/>
      <c r="D53" s="2"/>
      <c r="E53" s="2"/>
    </row>
    <row r="54" spans="2:5" ht="15.75">
      <c r="B54" s="42"/>
      <c r="C54" s="2"/>
      <c r="D54" s="2"/>
      <c r="E54" s="2"/>
    </row>
    <row r="55" spans="2:5" ht="15.75">
      <c r="B55" s="42"/>
      <c r="C55" s="2"/>
      <c r="D55" s="2"/>
      <c r="E55" s="2"/>
    </row>
    <row r="56" spans="2:5" ht="15.75">
      <c r="B56" s="42"/>
      <c r="C56" s="2"/>
      <c r="D56" s="2"/>
      <c r="E56" s="2"/>
    </row>
    <row r="57" spans="2:5" ht="15.75">
      <c r="B57" s="28" t="s">
        <v>911</v>
      </c>
      <c r="C57" s="2"/>
      <c r="D57" s="43"/>
      <c r="E57" s="43"/>
    </row>
    <row r="58" spans="2:5" ht="15.75">
      <c r="B58" s="28" t="s">
        <v>452</v>
      </c>
      <c r="C58" s="454">
        <f>IF(C59*0.1&lt;C57,"Exceed 10% Rule","")</f>
      </c>
      <c r="D58" s="44">
        <f>IF(D59*0.1&lt;D57,"Exceed 10% Rule","")</f>
      </c>
      <c r="E58" s="44">
        <f>IF(E59*0.1&lt;E57,"Exceed 10% Rule","")</f>
      </c>
    </row>
    <row r="59" spans="2:5" ht="15.75">
      <c r="B59" s="30" t="s">
        <v>686</v>
      </c>
      <c r="C59" s="40">
        <f>SUM(C48:C57)</f>
        <v>0</v>
      </c>
      <c r="D59" s="40">
        <f>SUM(D48:D57)</f>
        <v>20431</v>
      </c>
      <c r="E59" s="40">
        <f>SUM(E48:E57)</f>
        <v>0</v>
      </c>
    </row>
    <row r="60" spans="2:5" ht="15.75">
      <c r="B60" s="4" t="s">
        <v>790</v>
      </c>
      <c r="C60" s="39">
        <f>C46-C59</f>
        <v>20431</v>
      </c>
      <c r="D60" s="39">
        <f>D46-D59</f>
        <v>0</v>
      </c>
      <c r="E60" s="39">
        <f>E46-E59</f>
        <v>0</v>
      </c>
    </row>
    <row r="61" spans="2:5" ht="15.75">
      <c r="B61" s="13" t="str">
        <f>CONCATENATE("",$E$1-2,"/",$E$1-1," Budget Authority Amount:")</f>
        <v>2013/2014 Budget Authority Amount:</v>
      </c>
      <c r="C61" s="462">
        <f>inputOth!B59</f>
        <v>0</v>
      </c>
      <c r="D61" s="462">
        <f>inputPrYr!D49</f>
        <v>20431</v>
      </c>
      <c r="E61" s="455">
        <f>IF($E$60&lt;0,"See Tab E","")</f>
      </c>
    </row>
    <row r="62" spans="2:5" ht="15.75">
      <c r="B62" s="13"/>
      <c r="C62" s="314">
        <f>IF(C59&gt;C61,"See Tab A","")</f>
      </c>
      <c r="D62" s="314">
        <f>IF(D59&gt;D61,"See Tab C","")</f>
      </c>
      <c r="E62" s="5"/>
    </row>
    <row r="63" spans="2:5" ht="15.75">
      <c r="B63" s="13"/>
      <c r="C63" s="314">
        <f>IF(C60&lt;0,"See Tab B","")</f>
      </c>
      <c r="D63" s="314">
        <f>IF(D60&lt;0,"See Tab D","")</f>
      </c>
      <c r="E63" s="5"/>
    </row>
    <row r="64" spans="2:5" ht="15.75">
      <c r="B64" s="5"/>
      <c r="C64" s="5"/>
      <c r="D64" s="5"/>
      <c r="E64" s="5"/>
    </row>
    <row r="65" spans="2:5" ht="15.75">
      <c r="B65" s="315" t="s">
        <v>700</v>
      </c>
      <c r="C65" s="31">
        <v>18</v>
      </c>
      <c r="D65" s="5"/>
      <c r="E65" s="5"/>
    </row>
  </sheetData>
  <sheetProtection sheet="1"/>
  <conditionalFormatting sqref="C43">
    <cfRule type="cellIs" priority="3" dxfId="309" operator="greaterThan" stopIfTrue="1">
      <formula>$C$45*0.1</formula>
    </cfRule>
  </conditionalFormatting>
  <conditionalFormatting sqref="D43">
    <cfRule type="cellIs" priority="4" dxfId="309" operator="greaterThan" stopIfTrue="1">
      <formula>$D$45*0.1</formula>
    </cfRule>
  </conditionalFormatting>
  <conditionalFormatting sqref="E43">
    <cfRule type="cellIs" priority="5" dxfId="309" operator="greaterThan" stopIfTrue="1">
      <formula>$E$45*0.1</formula>
    </cfRule>
  </conditionalFormatting>
  <conditionalFormatting sqref="C57">
    <cfRule type="cellIs" priority="6" dxfId="309" operator="greaterThan" stopIfTrue="1">
      <formula>$C$59*0.1</formula>
    </cfRule>
  </conditionalFormatting>
  <conditionalFormatting sqref="D57">
    <cfRule type="cellIs" priority="7" dxfId="309" operator="greaterThan" stopIfTrue="1">
      <formula>$D$59*0.1</formula>
    </cfRule>
  </conditionalFormatting>
  <conditionalFormatting sqref="E57">
    <cfRule type="cellIs" priority="8" dxfId="309" operator="greaterThan" stopIfTrue="1">
      <formula>$E$59*0.1</formula>
    </cfRule>
  </conditionalFormatting>
  <conditionalFormatting sqref="C26">
    <cfRule type="cellIs" priority="9" dxfId="309" operator="greaterThan" stopIfTrue="1">
      <formula>$C$28*0.1</formula>
    </cfRule>
  </conditionalFormatting>
  <conditionalFormatting sqref="D26">
    <cfRule type="cellIs" priority="10" dxfId="309" operator="greaterThan" stopIfTrue="1">
      <formula>$D$28*0.1</formula>
    </cfRule>
  </conditionalFormatting>
  <conditionalFormatting sqref="E26">
    <cfRule type="cellIs" priority="11" dxfId="309" operator="greaterThan" stopIfTrue="1">
      <formula>$E$28*0.1</formula>
    </cfRule>
  </conditionalFormatting>
  <conditionalFormatting sqref="C12">
    <cfRule type="cellIs" priority="12" dxfId="309" operator="greaterThan" stopIfTrue="1">
      <formula>$C$14*0.1</formula>
    </cfRule>
  </conditionalFormatting>
  <conditionalFormatting sqref="D12">
    <cfRule type="cellIs" priority="13" dxfId="309" operator="greaterThan" stopIfTrue="1">
      <formula>$D$14*0.1</formula>
    </cfRule>
  </conditionalFormatting>
  <conditionalFormatting sqref="E12">
    <cfRule type="cellIs" priority="14" dxfId="309" operator="greaterThan" stopIfTrue="1">
      <formula>$E$14*0.1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C28">
    <cfRule type="cellIs" priority="18" dxfId="2" operator="greaterThan" stopIfTrue="1">
      <formula>$C$30</formula>
    </cfRule>
  </conditionalFormatting>
  <conditionalFormatting sqref="D28">
    <cfRule type="cellIs" priority="19" dxfId="2" operator="greaterThan" stopIfTrue="1">
      <formula>$D$30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C65" sqref="C65"/>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208" t="s">
        <v>749</v>
      </c>
      <c r="C3" s="144"/>
      <c r="D3" s="144"/>
      <c r="E3" s="144"/>
    </row>
    <row r="4" spans="2:5" ht="15.75">
      <c r="B4" s="65" t="s">
        <v>672</v>
      </c>
      <c r="C4" s="624" t="s">
        <v>595</v>
      </c>
      <c r="D4" s="625" t="s">
        <v>596</v>
      </c>
      <c r="E4" s="148" t="s">
        <v>597</v>
      </c>
    </row>
    <row r="5" spans="2:5" ht="15.75">
      <c r="B5" s="460" t="str">
        <f>inputPrYr!$B$50</f>
        <v>Emergency 911</v>
      </c>
      <c r="C5" s="440" t="str">
        <f>CONCATENATE("Actual for ",E1-2,"")</f>
        <v>Actual for 2013</v>
      </c>
      <c r="D5" s="440" t="str">
        <f>CONCATENATE("Estimate for ",E1-1,"")</f>
        <v>Estimate for 2014</v>
      </c>
      <c r="E5" s="293" t="str">
        <f>CONCATENATE("Year for ",E1,"")</f>
        <v>Year for 2015</v>
      </c>
    </row>
    <row r="6" spans="2:5" ht="15.75">
      <c r="B6" s="152" t="s">
        <v>789</v>
      </c>
      <c r="C6" s="93">
        <v>3076</v>
      </c>
      <c r="D6" s="258">
        <f>C29</f>
        <v>2568</v>
      </c>
      <c r="E6" s="258">
        <f>D29</f>
        <v>0</v>
      </c>
    </row>
    <row r="7" spans="2:5" ht="15.75">
      <c r="B7" s="174" t="s">
        <v>791</v>
      </c>
      <c r="C7" s="162"/>
      <c r="D7" s="162"/>
      <c r="E7" s="162"/>
    </row>
    <row r="8" spans="2:5" ht="15.75">
      <c r="B8" s="310" t="s">
        <v>217</v>
      </c>
      <c r="C8" s="93">
        <v>0</v>
      </c>
      <c r="D8" s="93">
        <v>0</v>
      </c>
      <c r="E8" s="93">
        <v>3000</v>
      </c>
    </row>
    <row r="9" spans="2:5" ht="15.75">
      <c r="B9" s="310"/>
      <c r="C9" s="93"/>
      <c r="D9" s="93"/>
      <c r="E9" s="93"/>
    </row>
    <row r="10" spans="2:5" ht="15.75">
      <c r="B10" s="310"/>
      <c r="C10" s="93"/>
      <c r="D10" s="93"/>
      <c r="E10" s="93"/>
    </row>
    <row r="11" spans="2:5" ht="15.75">
      <c r="B11" s="298" t="s">
        <v>680</v>
      </c>
      <c r="C11" s="93"/>
      <c r="D11" s="93"/>
      <c r="E11" s="93"/>
    </row>
    <row r="12" spans="2:5" ht="15.75">
      <c r="B12" s="299" t="s">
        <v>911</v>
      </c>
      <c r="C12" s="93"/>
      <c r="D12" s="319"/>
      <c r="E12" s="319"/>
    </row>
    <row r="13" spans="2:5" ht="15.75">
      <c r="B13" s="299" t="s">
        <v>451</v>
      </c>
      <c r="C13" s="453">
        <f>IF(C14*0.1&lt;C12,"Exceed 10% Rule","")</f>
      </c>
      <c r="D13" s="300">
        <f>IF(D14*0.1&lt;D12,"Exceed 10% Rule","")</f>
      </c>
      <c r="E13" s="300">
        <f>IF(E14*0.1&lt;E12,"Exceed 10% Rule","")</f>
      </c>
    </row>
    <row r="14" spans="2:5" ht="15.75">
      <c r="B14" s="301" t="s">
        <v>681</v>
      </c>
      <c r="C14" s="347">
        <f>SUM(C8:C12)</f>
        <v>0</v>
      </c>
      <c r="D14" s="347">
        <f>SUM(D8:D12)</f>
        <v>0</v>
      </c>
      <c r="E14" s="347">
        <f>SUM(E8:E12)</f>
        <v>3000</v>
      </c>
    </row>
    <row r="15" spans="2:5" ht="15.75">
      <c r="B15" s="301" t="s">
        <v>682</v>
      </c>
      <c r="C15" s="347">
        <f>C14+C6</f>
        <v>3076</v>
      </c>
      <c r="D15" s="347">
        <f>D14+D6</f>
        <v>2568</v>
      </c>
      <c r="E15" s="347">
        <f>E14+E6</f>
        <v>3000</v>
      </c>
    </row>
    <row r="16" spans="2:5" ht="15.75">
      <c r="B16" s="152" t="s">
        <v>685</v>
      </c>
      <c r="C16" s="258"/>
      <c r="D16" s="258"/>
      <c r="E16" s="258"/>
    </row>
    <row r="17" spans="2:5" ht="15.75">
      <c r="B17" s="310" t="s">
        <v>167</v>
      </c>
      <c r="C17" s="93">
        <v>508</v>
      </c>
      <c r="D17" s="93">
        <v>2568</v>
      </c>
      <c r="E17" s="93">
        <v>3000</v>
      </c>
    </row>
    <row r="18" spans="2:5" ht="15.75">
      <c r="B18" s="310"/>
      <c r="C18" s="93"/>
      <c r="D18" s="93"/>
      <c r="E18" s="93"/>
    </row>
    <row r="19" spans="2:5" ht="15.75">
      <c r="B19" s="310"/>
      <c r="C19" s="93"/>
      <c r="D19" s="93"/>
      <c r="E19" s="93"/>
    </row>
    <row r="20" spans="2:5" ht="15.75">
      <c r="B20" s="310"/>
      <c r="C20" s="93"/>
      <c r="D20" s="93"/>
      <c r="E20" s="93"/>
    </row>
    <row r="21" spans="2:5" ht="15.75">
      <c r="B21" s="310"/>
      <c r="C21" s="93"/>
      <c r="D21" s="93"/>
      <c r="E21" s="93"/>
    </row>
    <row r="22" spans="2:5" ht="15.75">
      <c r="B22" s="310"/>
      <c r="C22" s="93"/>
      <c r="D22" s="93"/>
      <c r="E22" s="93"/>
    </row>
    <row r="23" spans="2:5" ht="15.75">
      <c r="B23" s="310"/>
      <c r="C23" s="93"/>
      <c r="D23" s="93"/>
      <c r="E23" s="93"/>
    </row>
    <row r="24" spans="2:5" ht="15.75">
      <c r="B24" s="310"/>
      <c r="C24" s="93"/>
      <c r="D24" s="93"/>
      <c r="E24" s="93"/>
    </row>
    <row r="25" spans="2:5" ht="15.75">
      <c r="B25" s="310"/>
      <c r="C25" s="93"/>
      <c r="D25" s="93"/>
      <c r="E25" s="93"/>
    </row>
    <row r="26" spans="2:5" ht="15.75">
      <c r="B26" s="299" t="s">
        <v>911</v>
      </c>
      <c r="C26" s="93"/>
      <c r="D26" s="319"/>
      <c r="E26" s="319"/>
    </row>
    <row r="27" spans="2:5" ht="15.75">
      <c r="B27" s="299" t="s">
        <v>452</v>
      </c>
      <c r="C27" s="453">
        <f>IF(C28*0.1&lt;C26,"Exceed 10% Rule","")</f>
      </c>
      <c r="D27" s="300">
        <f>IF(D28*0.1&lt;D26,"Exceed 10% Rule","")</f>
      </c>
      <c r="E27" s="300">
        <f>IF(E28*0.1&lt;E26,"Exceed 10% Rule","")</f>
      </c>
    </row>
    <row r="28" spans="2:5" ht="15.75">
      <c r="B28" s="301" t="s">
        <v>686</v>
      </c>
      <c r="C28" s="347">
        <f>SUM(C17:C26)</f>
        <v>508</v>
      </c>
      <c r="D28" s="347">
        <f>SUM(D17:D26)</f>
        <v>2568</v>
      </c>
      <c r="E28" s="347">
        <f>SUM(E17:E26)</f>
        <v>3000</v>
      </c>
    </row>
    <row r="29" spans="2:5" ht="15.75">
      <c r="B29" s="152" t="s">
        <v>790</v>
      </c>
      <c r="C29" s="97">
        <f>C15-C28</f>
        <v>2568</v>
      </c>
      <c r="D29" s="97">
        <f>D15-D28</f>
        <v>0</v>
      </c>
      <c r="E29" s="97">
        <f>E15-E28</f>
        <v>0</v>
      </c>
    </row>
    <row r="30" spans="2:5" ht="15.75">
      <c r="B30" s="280" t="str">
        <f>CONCATENATE("",$E$1-2,"/",$E$1-1," Budget Authority Amount:")</f>
        <v>2013/2014 Budget Authority Amount:</v>
      </c>
      <c r="C30" s="272">
        <f>inputOth!B60</f>
        <v>70000</v>
      </c>
      <c r="D30" s="272">
        <f>inputPrYr!D50</f>
        <v>2568</v>
      </c>
      <c r="E30" s="471">
        <f>IF($E$29&lt;0,"See Tab E","")</f>
      </c>
    </row>
    <row r="31" spans="2:5" ht="15.75">
      <c r="B31" s="280"/>
      <c r="C31" s="314">
        <f>IF(C28&gt;C30,"See Tab A","")</f>
      </c>
      <c r="D31" s="314">
        <f>IF(D28&gt;D30,"See Tab C","")</f>
      </c>
      <c r="E31" s="126"/>
    </row>
    <row r="32" spans="2:5" ht="15.75">
      <c r="B32" s="280"/>
      <c r="C32" s="314">
        <f>IF(C29&lt;0,"See Tab B","")</f>
      </c>
      <c r="D32" s="314">
        <f>IF(D29&lt;0,"See Tab D","")</f>
      </c>
      <c r="E32" s="126"/>
    </row>
    <row r="33" spans="2:5" ht="15.75">
      <c r="B33" s="66"/>
      <c r="C33" s="126"/>
      <c r="D33" s="126"/>
      <c r="E33" s="126"/>
    </row>
    <row r="34" spans="2:5" ht="15.75">
      <c r="B34" s="65"/>
      <c r="C34" s="144"/>
      <c r="D34" s="144"/>
      <c r="E34" s="144"/>
    </row>
    <row r="35" spans="2:5" ht="15.75">
      <c r="B35" s="65" t="s">
        <v>672</v>
      </c>
      <c r="C35" s="334" t="str">
        <f aca="true" t="shared" si="0" ref="C35:E36">C4</f>
        <v>Prior Year </v>
      </c>
      <c r="D35" s="148" t="str">
        <f t="shared" si="0"/>
        <v>Current Year </v>
      </c>
      <c r="E35" s="148" t="str">
        <f t="shared" si="0"/>
        <v>Proposed Budget </v>
      </c>
    </row>
    <row r="36" spans="2:5" ht="15.75">
      <c r="B36" s="460" t="str">
        <f>inputPrYr!$B$51</f>
        <v>VIN Fees</v>
      </c>
      <c r="C36" s="305" t="str">
        <f t="shared" si="0"/>
        <v>Actual for 2013</v>
      </c>
      <c r="D36" s="305" t="str">
        <f t="shared" si="0"/>
        <v>Estimate for 2014</v>
      </c>
      <c r="E36" s="305" t="str">
        <f t="shared" si="0"/>
        <v>Year for 2015</v>
      </c>
    </row>
    <row r="37" spans="2:5" ht="15.75">
      <c r="B37" s="152" t="s">
        <v>789</v>
      </c>
      <c r="C37" s="93">
        <v>38063</v>
      </c>
      <c r="D37" s="258">
        <f>C60</f>
        <v>27503</v>
      </c>
      <c r="E37" s="258">
        <f>D60</f>
        <v>0</v>
      </c>
    </row>
    <row r="38" spans="2:5" ht="15.75">
      <c r="B38" s="174" t="s">
        <v>791</v>
      </c>
      <c r="C38" s="162"/>
      <c r="D38" s="162"/>
      <c r="E38" s="162"/>
    </row>
    <row r="39" spans="2:5" ht="15.75">
      <c r="B39" s="310" t="s">
        <v>213</v>
      </c>
      <c r="C39" s="93">
        <v>74488</v>
      </c>
      <c r="D39" s="93">
        <v>65000</v>
      </c>
      <c r="E39" s="93">
        <v>80000</v>
      </c>
    </row>
    <row r="40" spans="2:5" ht="15.75">
      <c r="B40" s="310"/>
      <c r="C40" s="93"/>
      <c r="D40" s="93"/>
      <c r="E40" s="93"/>
    </row>
    <row r="41" spans="2:5" ht="15.75">
      <c r="B41" s="310"/>
      <c r="C41" s="93"/>
      <c r="D41" s="93"/>
      <c r="E41" s="93"/>
    </row>
    <row r="42" spans="2:5" ht="15.75">
      <c r="B42" s="298" t="s">
        <v>680</v>
      </c>
      <c r="C42" s="93"/>
      <c r="D42" s="93"/>
      <c r="E42" s="93"/>
    </row>
    <row r="43" spans="2:5" ht="15.75">
      <c r="B43" s="299" t="s">
        <v>911</v>
      </c>
      <c r="C43" s="93">
        <v>4018</v>
      </c>
      <c r="D43" s="319"/>
      <c r="E43" s="319"/>
    </row>
    <row r="44" spans="2:5" ht="15.75">
      <c r="B44" s="299" t="s">
        <v>451</v>
      </c>
      <c r="C44" s="453">
        <f>IF(C45*0.1&lt;C43,"Exceed 10% Rule","")</f>
      </c>
      <c r="D44" s="300">
        <f>IF(D45*0.1&lt;D43,"Exceed 10% Rule","")</f>
      </c>
      <c r="E44" s="300">
        <f>IF(E45*0.1&lt;E43,"Exceed 10% Rule","")</f>
      </c>
    </row>
    <row r="45" spans="2:5" ht="15.75">
      <c r="B45" s="301" t="s">
        <v>681</v>
      </c>
      <c r="C45" s="347">
        <f>SUM(C39:C43)</f>
        <v>78506</v>
      </c>
      <c r="D45" s="347">
        <f>SUM(D39:D43)</f>
        <v>65000</v>
      </c>
      <c r="E45" s="347">
        <f>SUM(E39:E43)</f>
        <v>80000</v>
      </c>
    </row>
    <row r="46" spans="2:5" ht="15.75">
      <c r="B46" s="301" t="s">
        <v>682</v>
      </c>
      <c r="C46" s="347">
        <f>C37+C45</f>
        <v>116569</v>
      </c>
      <c r="D46" s="347">
        <f>D37+D45</f>
        <v>92503</v>
      </c>
      <c r="E46" s="347">
        <f>E37+E45</f>
        <v>80000</v>
      </c>
    </row>
    <row r="47" spans="2:5" ht="15.75">
      <c r="B47" s="152" t="s">
        <v>685</v>
      </c>
      <c r="C47" s="258"/>
      <c r="D47" s="258"/>
      <c r="E47" s="258"/>
    </row>
    <row r="48" spans="2:5" ht="15.75">
      <c r="B48" s="310" t="s">
        <v>167</v>
      </c>
      <c r="C48" s="93">
        <v>11676</v>
      </c>
      <c r="D48" s="93">
        <v>37503</v>
      </c>
      <c r="E48" s="93">
        <v>20000</v>
      </c>
    </row>
    <row r="49" spans="2:5" ht="15.75">
      <c r="B49" s="310" t="s">
        <v>168</v>
      </c>
      <c r="C49" s="93">
        <v>77390</v>
      </c>
      <c r="D49" s="93">
        <v>55000</v>
      </c>
      <c r="E49" s="93">
        <v>60000</v>
      </c>
    </row>
    <row r="50" spans="2:5" ht="15.75">
      <c r="B50" s="310"/>
      <c r="C50" s="93"/>
      <c r="D50" s="93"/>
      <c r="E50" s="93"/>
    </row>
    <row r="51" spans="2:5" ht="15.75">
      <c r="B51" s="310"/>
      <c r="C51" s="93"/>
      <c r="D51" s="93"/>
      <c r="E51" s="93"/>
    </row>
    <row r="52" spans="2:5" ht="15.75">
      <c r="B52" s="310"/>
      <c r="C52" s="93"/>
      <c r="D52" s="93"/>
      <c r="E52" s="93"/>
    </row>
    <row r="53" spans="2:5" ht="15.75">
      <c r="B53" s="310"/>
      <c r="C53" s="93"/>
      <c r="D53" s="93"/>
      <c r="E53" s="93"/>
    </row>
    <row r="54" spans="2:5" ht="15.75">
      <c r="B54" s="310"/>
      <c r="C54" s="93"/>
      <c r="D54" s="93"/>
      <c r="E54" s="93"/>
    </row>
    <row r="55" spans="2:5" ht="15.75">
      <c r="B55" s="310"/>
      <c r="C55" s="93"/>
      <c r="D55" s="93"/>
      <c r="E55" s="93"/>
    </row>
    <row r="56" spans="2:5" ht="15.75">
      <c r="B56" s="310"/>
      <c r="C56" s="93"/>
      <c r="D56" s="93"/>
      <c r="E56" s="93"/>
    </row>
    <row r="57" spans="2:5" ht="15.75">
      <c r="B57" s="299" t="s">
        <v>911</v>
      </c>
      <c r="C57" s="93"/>
      <c r="D57" s="319"/>
      <c r="E57" s="319"/>
    </row>
    <row r="58" spans="2:5" ht="15.75">
      <c r="B58" s="299" t="s">
        <v>452</v>
      </c>
      <c r="C58" s="453">
        <f>IF(C59*0.1&lt;C57,"Exceed 10% Rule","")</f>
      </c>
      <c r="D58" s="300">
        <f>IF(D59*0.1&lt;D57,"Exceed 10% Rule","")</f>
      </c>
      <c r="E58" s="300">
        <f>IF(E59*0.1&lt;E57,"Exceed 10% Rule","")</f>
      </c>
    </row>
    <row r="59" spans="2:5" ht="15.75">
      <c r="B59" s="301" t="s">
        <v>686</v>
      </c>
      <c r="C59" s="347">
        <f>SUM(C48:C57)</f>
        <v>89066</v>
      </c>
      <c r="D59" s="347">
        <f>SUM(D48:D57)</f>
        <v>92503</v>
      </c>
      <c r="E59" s="347">
        <f>SUM(E48:E57)</f>
        <v>80000</v>
      </c>
    </row>
    <row r="60" spans="2:5" ht="15.75">
      <c r="B60" s="152" t="s">
        <v>790</v>
      </c>
      <c r="C60" s="97">
        <f>C46-C59</f>
        <v>27503</v>
      </c>
      <c r="D60" s="97">
        <f>D46-D59</f>
        <v>0</v>
      </c>
      <c r="E60" s="97">
        <f>E46-E59</f>
        <v>0</v>
      </c>
    </row>
    <row r="61" spans="2:5" ht="15.75">
      <c r="B61" s="280" t="str">
        <f>CONCATENATE("",$E$1-2,"/",$E$1-1," Budget Authority Amount:")</f>
        <v>2013/2014 Budget Authority Amount:</v>
      </c>
      <c r="C61" s="272">
        <f>inputOth!B61</f>
        <v>45000</v>
      </c>
      <c r="D61" s="272">
        <f>inputPrYr!D51</f>
        <v>105000</v>
      </c>
      <c r="E61" s="461">
        <f>IF($E$60&lt;0,"See Tab E","")</f>
      </c>
    </row>
    <row r="62" spans="2:5" ht="15.75">
      <c r="B62" s="280"/>
      <c r="C62" s="314" t="str">
        <f>IF(C59&gt;C61,"See Tab A","")</f>
        <v>See Tab A</v>
      </c>
      <c r="D62" s="314">
        <f>IF(D59&gt;D61,"See Tab C","")</f>
      </c>
      <c r="E62" s="66"/>
    </row>
    <row r="63" spans="2:5" ht="15.75">
      <c r="B63" s="280"/>
      <c r="C63" s="314">
        <f>IF(C60&lt;0,"See Tab B","")</f>
      </c>
      <c r="D63" s="314">
        <f>IF(D60&lt;0,"See Tab D","")</f>
      </c>
      <c r="E63" s="66"/>
    </row>
    <row r="64" spans="2:5" ht="15.75">
      <c r="B64" s="66"/>
      <c r="C64" s="66"/>
      <c r="D64" s="66"/>
      <c r="E64" s="66"/>
    </row>
    <row r="65" spans="2:5" ht="15.75">
      <c r="B65" s="315" t="s">
        <v>700</v>
      </c>
      <c r="C65" s="333">
        <v>19</v>
      </c>
      <c r="D65" s="66"/>
      <c r="E65" s="66"/>
    </row>
  </sheetData>
  <sheetProtection sheet="1"/>
  <conditionalFormatting sqref="C43">
    <cfRule type="cellIs" priority="5" dxfId="309" operator="greaterThan" stopIfTrue="1">
      <formula>$C$45*0.1</formula>
    </cfRule>
  </conditionalFormatting>
  <conditionalFormatting sqref="D43">
    <cfRule type="cellIs" priority="6" dxfId="309" operator="greaterThan" stopIfTrue="1">
      <formula>$D$45*0.1</formula>
    </cfRule>
  </conditionalFormatting>
  <conditionalFormatting sqref="E43">
    <cfRule type="cellIs" priority="7" dxfId="309" operator="greaterThan" stopIfTrue="1">
      <formula>$E$45*0.1</formula>
    </cfRule>
  </conditionalFormatting>
  <conditionalFormatting sqref="C57">
    <cfRule type="cellIs" priority="8" dxfId="309" operator="greaterThan" stopIfTrue="1">
      <formula>$C$59*0.1</formula>
    </cfRule>
  </conditionalFormatting>
  <conditionalFormatting sqref="D57">
    <cfRule type="cellIs" priority="9" dxfId="309" operator="greaterThan" stopIfTrue="1">
      <formula>$D$59*0.1</formula>
    </cfRule>
  </conditionalFormatting>
  <conditionalFormatting sqref="E57">
    <cfRule type="cellIs" priority="10" dxfId="309" operator="greaterThan" stopIfTrue="1">
      <formula>$E$59*0.1</formula>
    </cfRule>
  </conditionalFormatting>
  <conditionalFormatting sqref="C26">
    <cfRule type="cellIs" priority="11" dxfId="309" operator="greaterThan" stopIfTrue="1">
      <formula>$C$28*0.1</formula>
    </cfRule>
  </conditionalFormatting>
  <conditionalFormatting sqref="D26">
    <cfRule type="cellIs" priority="12" dxfId="309" operator="greaterThan" stopIfTrue="1">
      <formula>$D$28*0.1</formula>
    </cfRule>
  </conditionalFormatting>
  <conditionalFormatting sqref="E26">
    <cfRule type="cellIs" priority="13" dxfId="309" operator="greaterThan" stopIfTrue="1">
      <formula>$E$28*0.1</formula>
    </cfRule>
  </conditionalFormatting>
  <conditionalFormatting sqref="C12">
    <cfRule type="cellIs" priority="14" dxfId="309" operator="greaterThan" stopIfTrue="1">
      <formula>$C$14*0.1</formula>
    </cfRule>
  </conditionalFormatting>
  <conditionalFormatting sqref="D12">
    <cfRule type="cellIs" priority="15" dxfId="309" operator="greaterThan" stopIfTrue="1">
      <formula>$D$14*0.1</formula>
    </cfRule>
  </conditionalFormatting>
  <conditionalFormatting sqref="E12">
    <cfRule type="cellIs" priority="16" dxfId="309" operator="greaterThan" stopIfTrue="1">
      <formula>$E$14*0.1</formula>
    </cfRule>
  </conditionalFormatting>
  <conditionalFormatting sqref="E60 E29 C29">
    <cfRule type="cellIs" priority="17" dxfId="2" operator="lessThan" stopIfTrue="1">
      <formula>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C28">
    <cfRule type="cellIs" priority="20" dxfId="2" operator="greaterThan" stopIfTrue="1">
      <formula>$C$30</formula>
    </cfRule>
  </conditionalFormatting>
  <conditionalFormatting sqref="D28">
    <cfRule type="cellIs" priority="21" dxfId="2" operator="greaterThan" stopIfTrue="1">
      <formula>$D$30</formula>
    </cfRule>
  </conditionalFormatting>
  <conditionalFormatting sqref="C60">
    <cfRule type="cellIs" priority="4"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C65" sqref="C65"/>
    </sheetView>
  </sheetViews>
  <sheetFormatPr defaultColWidth="8.796875" defaultRowHeight="15"/>
  <cols>
    <col min="1" max="1" width="2.3984375" style="52" customWidth="1"/>
    <col min="2" max="2" width="31.09765625" style="52" customWidth="1"/>
    <col min="3" max="4" width="15.796875" style="52" customWidth="1"/>
    <col min="5" max="5" width="16.296875" style="52" customWidth="1"/>
    <col min="6"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208" t="s">
        <v>749</v>
      </c>
      <c r="C3" s="144"/>
      <c r="D3" s="144"/>
      <c r="E3" s="144"/>
    </row>
    <row r="4" spans="2:5" ht="15.75">
      <c r="B4" s="65" t="s">
        <v>672</v>
      </c>
      <c r="C4" s="624" t="s">
        <v>595</v>
      </c>
      <c r="D4" s="625" t="s">
        <v>596</v>
      </c>
      <c r="E4" s="148" t="s">
        <v>597</v>
      </c>
    </row>
    <row r="5" spans="2:5" ht="15.75">
      <c r="B5" s="460" t="str">
        <f>inputPrYr!$B$52</f>
        <v>Noxious Weed Cap. Outlay</v>
      </c>
      <c r="C5" s="440" t="str">
        <f>CONCATENATE("Actual for ",E1-2,"")</f>
        <v>Actual for 2013</v>
      </c>
      <c r="D5" s="440" t="str">
        <f>CONCATENATE("Estimate for ",E1-1,"")</f>
        <v>Estimate for 2014</v>
      </c>
      <c r="E5" s="293" t="str">
        <f>CONCATENATE("Year for ",E1,"")</f>
        <v>Year for 2015</v>
      </c>
    </row>
    <row r="6" spans="2:5" ht="15.75">
      <c r="B6" s="152" t="s">
        <v>789</v>
      </c>
      <c r="C6" s="93">
        <v>119379</v>
      </c>
      <c r="D6" s="258">
        <f>C29</f>
        <v>119379</v>
      </c>
      <c r="E6" s="258">
        <f>D29</f>
        <v>119379</v>
      </c>
    </row>
    <row r="7" spans="2:5" ht="15.75">
      <c r="B7" s="174" t="s">
        <v>791</v>
      </c>
      <c r="C7" s="162"/>
      <c r="D7" s="162"/>
      <c r="E7" s="162"/>
    </row>
    <row r="8" spans="2:5" ht="15.75">
      <c r="B8" s="310"/>
      <c r="C8" s="93"/>
      <c r="D8" s="93"/>
      <c r="E8" s="93"/>
    </row>
    <row r="9" spans="2:5" ht="15.75">
      <c r="B9" s="310"/>
      <c r="C9" s="93"/>
      <c r="D9" s="93"/>
      <c r="E9" s="93"/>
    </row>
    <row r="10" spans="2:5" ht="15.75">
      <c r="B10" s="310"/>
      <c r="C10" s="93"/>
      <c r="D10" s="93"/>
      <c r="E10" s="93"/>
    </row>
    <row r="11" spans="2:5" ht="15.75">
      <c r="B11" s="298" t="s">
        <v>680</v>
      </c>
      <c r="C11" s="93"/>
      <c r="D11" s="93"/>
      <c r="E11" s="93"/>
    </row>
    <row r="12" spans="2:5" ht="15.75">
      <c r="B12" s="299" t="s">
        <v>911</v>
      </c>
      <c r="C12" s="93"/>
      <c r="D12" s="319"/>
      <c r="E12" s="319"/>
    </row>
    <row r="13" spans="2:5" ht="15.75">
      <c r="B13" s="299" t="s">
        <v>451</v>
      </c>
      <c r="C13" s="453">
        <f>IF(C14*0.1&lt;C12,"Exceed 10% Rule","")</f>
      </c>
      <c r="D13" s="300">
        <f>IF(D14*0.1&lt;D12,"Exceed 10% Rule","")</f>
      </c>
      <c r="E13" s="300">
        <f>IF(E14*0.1&lt;E12,"Exceed 10% Rule","")</f>
      </c>
    </row>
    <row r="14" spans="2:5" ht="15.75">
      <c r="B14" s="301" t="s">
        <v>681</v>
      </c>
      <c r="C14" s="347">
        <f>SUM(C8:C12)</f>
        <v>0</v>
      </c>
      <c r="D14" s="347">
        <f>SUM(D8:D12)</f>
        <v>0</v>
      </c>
      <c r="E14" s="347">
        <f>SUM(E8:E12)</f>
        <v>0</v>
      </c>
    </row>
    <row r="15" spans="2:5" ht="15.75">
      <c r="B15" s="301" t="s">
        <v>682</v>
      </c>
      <c r="C15" s="347">
        <f>C14+C6</f>
        <v>119379</v>
      </c>
      <c r="D15" s="347">
        <f>D14+D6</f>
        <v>119379</v>
      </c>
      <c r="E15" s="347">
        <f>E14+E6</f>
        <v>119379</v>
      </c>
    </row>
    <row r="16" spans="2:5" ht="15.75">
      <c r="B16" s="152" t="s">
        <v>685</v>
      </c>
      <c r="C16" s="258"/>
      <c r="D16" s="258"/>
      <c r="E16" s="258"/>
    </row>
    <row r="17" spans="2:5" ht="15.75">
      <c r="B17" s="310" t="s">
        <v>169</v>
      </c>
      <c r="C17" s="93">
        <v>0</v>
      </c>
      <c r="D17" s="93">
        <v>0</v>
      </c>
      <c r="E17" s="93">
        <v>119379</v>
      </c>
    </row>
    <row r="18" spans="2:5" ht="15.75">
      <c r="B18" s="310"/>
      <c r="C18" s="93"/>
      <c r="D18" s="93"/>
      <c r="E18" s="93"/>
    </row>
    <row r="19" spans="2:5" ht="15.75">
      <c r="B19" s="310"/>
      <c r="C19" s="93"/>
      <c r="D19" s="93"/>
      <c r="E19" s="93"/>
    </row>
    <row r="20" spans="2:5" ht="15.75">
      <c r="B20" s="310"/>
      <c r="C20" s="93"/>
      <c r="D20" s="93"/>
      <c r="E20" s="93"/>
    </row>
    <row r="21" spans="2:5" ht="15.75">
      <c r="B21" s="310"/>
      <c r="C21" s="93"/>
      <c r="D21" s="93"/>
      <c r="E21" s="93"/>
    </row>
    <row r="22" spans="2:5" ht="15.75">
      <c r="B22" s="310"/>
      <c r="C22" s="93"/>
      <c r="D22" s="93"/>
      <c r="E22" s="93"/>
    </row>
    <row r="23" spans="2:5" ht="15.75">
      <c r="B23" s="310"/>
      <c r="C23" s="93"/>
      <c r="D23" s="93"/>
      <c r="E23" s="93"/>
    </row>
    <row r="24" spans="2:5" ht="15.75">
      <c r="B24" s="310"/>
      <c r="C24" s="93"/>
      <c r="D24" s="93"/>
      <c r="E24" s="93"/>
    </row>
    <row r="25" spans="2:5" ht="15.75">
      <c r="B25" s="310"/>
      <c r="C25" s="93"/>
      <c r="D25" s="93"/>
      <c r="E25" s="93"/>
    </row>
    <row r="26" spans="2:5" ht="15.75">
      <c r="B26" s="299" t="s">
        <v>911</v>
      </c>
      <c r="C26" s="93"/>
      <c r="D26" s="319"/>
      <c r="E26" s="319"/>
    </row>
    <row r="27" spans="2:5" ht="15.75">
      <c r="B27" s="299" t="s">
        <v>452</v>
      </c>
      <c r="C27" s="453">
        <f>IF(C28*0.1&lt;C26,"Exceed 10% Rule","")</f>
      </c>
      <c r="D27" s="300">
        <f>IF(D28*0.1&lt;D26,"Exceed 10% Rule","")</f>
      </c>
      <c r="E27" s="300">
        <f>IF(E28*0.1&lt;E26,"Exceed 10% Rule","")</f>
      </c>
    </row>
    <row r="28" spans="2:5" ht="15.75">
      <c r="B28" s="301" t="s">
        <v>686</v>
      </c>
      <c r="C28" s="347">
        <f>SUM(C17:C26)</f>
        <v>0</v>
      </c>
      <c r="D28" s="347">
        <f>SUM(D17:D26)</f>
        <v>0</v>
      </c>
      <c r="E28" s="347">
        <f>SUM(E17:E26)</f>
        <v>119379</v>
      </c>
    </row>
    <row r="29" spans="2:5" ht="15.75">
      <c r="B29" s="152" t="s">
        <v>790</v>
      </c>
      <c r="C29" s="97">
        <f>C15-C28</f>
        <v>119379</v>
      </c>
      <c r="D29" s="97">
        <f>D15-D28</f>
        <v>119379</v>
      </c>
      <c r="E29" s="97">
        <f>E15-E28</f>
        <v>0</v>
      </c>
    </row>
    <row r="30" spans="2:5" ht="15.75">
      <c r="B30" s="280" t="str">
        <f>CONCATENATE("",$E$1-2,"/",$E$1-1," Budget Authority Amount:")</f>
        <v>2013/2014 Budget Authority Amount:</v>
      </c>
      <c r="C30" s="272">
        <f>inputOth!B62</f>
        <v>119379</v>
      </c>
      <c r="D30" s="272">
        <f>inputPrYr!D52</f>
        <v>119379</v>
      </c>
      <c r="E30" s="471">
        <f>IF($E$29&lt;0,"See Tab E","")</f>
      </c>
    </row>
    <row r="31" spans="2:5" ht="15.75">
      <c r="B31" s="280"/>
      <c r="C31" s="314">
        <f>IF(C28&gt;C30,"See Tab A","")</f>
      </c>
      <c r="D31" s="314">
        <f>IF(D28&gt;D30,"See Tab C","")</f>
      </c>
      <c r="E31" s="126"/>
    </row>
    <row r="32" spans="2:5" ht="15.75">
      <c r="B32" s="280"/>
      <c r="C32" s="314">
        <f>IF(C29&lt;0,"See Tab B","")</f>
      </c>
      <c r="D32" s="314">
        <f>IF(D29&lt;0,"See Tab D","")</f>
      </c>
      <c r="E32" s="126"/>
    </row>
    <row r="33" spans="2:5" ht="15.75">
      <c r="B33" s="66"/>
      <c r="C33" s="126"/>
      <c r="D33" s="126"/>
      <c r="E33" s="126"/>
    </row>
    <row r="34" spans="2:5" ht="15.75">
      <c r="B34" s="65"/>
      <c r="C34" s="144"/>
      <c r="D34" s="144"/>
      <c r="E34" s="144"/>
    </row>
    <row r="35" spans="2:5" ht="15.75">
      <c r="B35" s="65" t="s">
        <v>672</v>
      </c>
      <c r="C35" s="334" t="str">
        <f aca="true" t="shared" si="0" ref="C35:E36">C4</f>
        <v>Prior Year </v>
      </c>
      <c r="D35" s="148" t="str">
        <f t="shared" si="0"/>
        <v>Current Year </v>
      </c>
      <c r="E35" s="148" t="str">
        <f t="shared" si="0"/>
        <v>Proposed Budget </v>
      </c>
    </row>
    <row r="36" spans="2:5" ht="15.75">
      <c r="B36" s="460" t="str">
        <f>inputPrYr!$B$53</f>
        <v>Risk Management Fund</v>
      </c>
      <c r="C36" s="305" t="str">
        <f t="shared" si="0"/>
        <v>Actual for 2013</v>
      </c>
      <c r="D36" s="305" t="str">
        <f t="shared" si="0"/>
        <v>Estimate for 2014</v>
      </c>
      <c r="E36" s="305" t="str">
        <f t="shared" si="0"/>
        <v>Year for 2015</v>
      </c>
    </row>
    <row r="37" spans="2:5" ht="15.75">
      <c r="B37" s="152" t="s">
        <v>789</v>
      </c>
      <c r="C37" s="93">
        <v>0</v>
      </c>
      <c r="D37" s="258">
        <f>C60</f>
        <v>176548</v>
      </c>
      <c r="E37" s="258">
        <f>D60</f>
        <v>182548</v>
      </c>
    </row>
    <row r="38" spans="2:5" ht="15.75">
      <c r="B38" s="152" t="s">
        <v>791</v>
      </c>
      <c r="C38" s="162"/>
      <c r="D38" s="162"/>
      <c r="E38" s="162"/>
    </row>
    <row r="39" spans="2:5" ht="15.75">
      <c r="B39" s="310" t="s">
        <v>218</v>
      </c>
      <c r="C39" s="93">
        <v>176548</v>
      </c>
      <c r="D39" s="93">
        <v>6000</v>
      </c>
      <c r="E39" s="93">
        <v>16469</v>
      </c>
    </row>
    <row r="40" spans="2:5" ht="15.75">
      <c r="B40" s="310"/>
      <c r="C40" s="93"/>
      <c r="D40" s="93"/>
      <c r="E40" s="93"/>
    </row>
    <row r="41" spans="2:5" ht="15.75">
      <c r="B41" s="310"/>
      <c r="C41" s="93"/>
      <c r="D41" s="93"/>
      <c r="E41" s="93"/>
    </row>
    <row r="42" spans="2:5" ht="15.75">
      <c r="B42" s="298" t="s">
        <v>680</v>
      </c>
      <c r="C42" s="93"/>
      <c r="D42" s="93"/>
      <c r="E42" s="93"/>
    </row>
    <row r="43" spans="2:5" ht="15.75">
      <c r="B43" s="299" t="s">
        <v>911</v>
      </c>
      <c r="C43" s="93"/>
      <c r="D43" s="319"/>
      <c r="E43" s="319"/>
    </row>
    <row r="44" spans="2:5" ht="15.75">
      <c r="B44" s="299" t="s">
        <v>451</v>
      </c>
      <c r="C44" s="453">
        <f>IF(C45*0.1&lt;C43,"Exceed 10% Rule","")</f>
      </c>
      <c r="D44" s="300">
        <f>IF(D45*0.1&lt;D43,"Exceed 10% Rule","")</f>
      </c>
      <c r="E44" s="300">
        <f>IF(E45*0.1&lt;E43,"Exceed 10% Rule","")</f>
      </c>
    </row>
    <row r="45" spans="2:5" ht="15.75">
      <c r="B45" s="301" t="s">
        <v>681</v>
      </c>
      <c r="C45" s="347">
        <f>SUM(C39:C43)</f>
        <v>176548</v>
      </c>
      <c r="D45" s="347">
        <f>SUM(D39:D43)</f>
        <v>6000</v>
      </c>
      <c r="E45" s="347">
        <f>SUM(E39:E43)</f>
        <v>16469</v>
      </c>
    </row>
    <row r="46" spans="2:5" ht="15.75">
      <c r="B46" s="301" t="s">
        <v>682</v>
      </c>
      <c r="C46" s="347">
        <f>C37+C45</f>
        <v>176548</v>
      </c>
      <c r="D46" s="347">
        <f>D37+D45</f>
        <v>182548</v>
      </c>
      <c r="E46" s="347">
        <f>E37+E45</f>
        <v>199017</v>
      </c>
    </row>
    <row r="47" spans="2:5" ht="15.75">
      <c r="B47" s="152" t="s">
        <v>685</v>
      </c>
      <c r="C47" s="258"/>
      <c r="D47" s="258"/>
      <c r="E47" s="258"/>
    </row>
    <row r="48" spans="2:5" ht="15.75">
      <c r="B48" s="310" t="s">
        <v>167</v>
      </c>
      <c r="C48" s="93">
        <v>0</v>
      </c>
      <c r="D48" s="93">
        <v>0</v>
      </c>
      <c r="E48" s="93">
        <v>199017</v>
      </c>
    </row>
    <row r="49" spans="2:5" ht="15.75">
      <c r="B49" s="310"/>
      <c r="C49" s="93"/>
      <c r="D49" s="93"/>
      <c r="E49" s="93"/>
    </row>
    <row r="50" spans="2:5" ht="15.75">
      <c r="B50" s="310"/>
      <c r="C50" s="93"/>
      <c r="D50" s="93"/>
      <c r="E50" s="93"/>
    </row>
    <row r="51" spans="2:5" ht="15.75">
      <c r="B51" s="310"/>
      <c r="C51" s="93"/>
      <c r="D51" s="93"/>
      <c r="E51" s="93"/>
    </row>
    <row r="52" spans="2:5" ht="15.75">
      <c r="B52" s="310"/>
      <c r="C52" s="93"/>
      <c r="D52" s="93"/>
      <c r="E52" s="93"/>
    </row>
    <row r="53" spans="2:5" ht="15.75">
      <c r="B53" s="310"/>
      <c r="C53" s="93"/>
      <c r="D53" s="93"/>
      <c r="E53" s="93"/>
    </row>
    <row r="54" spans="2:5" ht="15.75">
      <c r="B54" s="310"/>
      <c r="C54" s="93"/>
      <c r="D54" s="93"/>
      <c r="E54" s="93"/>
    </row>
    <row r="55" spans="2:5" ht="15.75">
      <c r="B55" s="310"/>
      <c r="C55" s="93"/>
      <c r="D55" s="93"/>
      <c r="E55" s="93"/>
    </row>
    <row r="56" spans="2:5" ht="15.75">
      <c r="B56" s="310"/>
      <c r="C56" s="93"/>
      <c r="D56" s="93"/>
      <c r="E56" s="93"/>
    </row>
    <row r="57" spans="2:5" ht="15.75">
      <c r="B57" s="299" t="s">
        <v>911</v>
      </c>
      <c r="C57" s="93"/>
      <c r="D57" s="319"/>
      <c r="E57" s="319"/>
    </row>
    <row r="58" spans="2:5" ht="15.75">
      <c r="B58" s="299" t="s">
        <v>452</v>
      </c>
      <c r="C58" s="453">
        <f>IF(C59*0.1&lt;C57,"Exceed 10% Rule","")</f>
      </c>
      <c r="D58" s="300">
        <f>IF(D59*0.1&lt;D57,"Exceed 10% Rule","")</f>
      </c>
      <c r="E58" s="300">
        <f>IF(E59*0.1&lt;E57,"Exceed 10% Rule","")</f>
      </c>
    </row>
    <row r="59" spans="2:5" ht="15.75">
      <c r="B59" s="301" t="s">
        <v>686</v>
      </c>
      <c r="C59" s="347">
        <f>SUM(C48:C57)</f>
        <v>0</v>
      </c>
      <c r="D59" s="347">
        <f>SUM(D48:D57)</f>
        <v>0</v>
      </c>
      <c r="E59" s="347">
        <f>SUM(E48:E57)</f>
        <v>199017</v>
      </c>
    </row>
    <row r="60" spans="2:5" ht="15.75">
      <c r="B60" s="152" t="s">
        <v>790</v>
      </c>
      <c r="C60" s="97">
        <f>C46-C59</f>
        <v>176548</v>
      </c>
      <c r="D60" s="97">
        <f>D46-D59</f>
        <v>182548</v>
      </c>
      <c r="E60" s="97">
        <f>E46-E59</f>
        <v>0</v>
      </c>
    </row>
    <row r="61" spans="2:5" ht="15.75">
      <c r="B61" s="280" t="str">
        <f>CONCATENATE("",$E$1-2,"/",$E$1-1," Budget Authority Amount:")</f>
        <v>2013/2014 Budget Authority Amount:</v>
      </c>
      <c r="C61" s="272">
        <f>inputOth!B63</f>
        <v>0</v>
      </c>
      <c r="D61" s="272">
        <f>inputPrYr!D53</f>
        <v>200175</v>
      </c>
      <c r="E61" s="461">
        <f>IF($E$60&lt;0,"See Tab E","")</f>
      </c>
    </row>
    <row r="62" spans="2:5" ht="15.75">
      <c r="B62" s="280"/>
      <c r="C62" s="314">
        <f>IF(C59&gt;C61,"See Tab A","")</f>
      </c>
      <c r="D62" s="314">
        <f>IF(D59&gt;D61,"See Tab C","")</f>
      </c>
      <c r="E62" s="66"/>
    </row>
    <row r="63" spans="2:5" ht="15.75">
      <c r="B63" s="280"/>
      <c r="C63" s="314">
        <f>IF(C60&lt;0,"See Tab B","")</f>
      </c>
      <c r="D63" s="314">
        <f>IF(D60&lt;0,"See Tab D","")</f>
      </c>
      <c r="E63" s="66"/>
    </row>
    <row r="64" spans="2:5" ht="15.75">
      <c r="B64" s="66"/>
      <c r="C64" s="66"/>
      <c r="D64" s="66"/>
      <c r="E64" s="66"/>
    </row>
    <row r="65" spans="2:5" ht="15.75">
      <c r="B65" s="315" t="s">
        <v>700</v>
      </c>
      <c r="C65" s="333">
        <v>20</v>
      </c>
      <c r="D65" s="66"/>
      <c r="E65" s="66"/>
    </row>
  </sheetData>
  <sheetProtection sheet="1"/>
  <conditionalFormatting sqref="C43">
    <cfRule type="cellIs" priority="3" dxfId="309" operator="greaterThan" stopIfTrue="1">
      <formula>$C$45*0.1</formula>
    </cfRule>
  </conditionalFormatting>
  <conditionalFormatting sqref="D43">
    <cfRule type="cellIs" priority="4" dxfId="309" operator="greaterThan" stopIfTrue="1">
      <formula>$D$45*0.1</formula>
    </cfRule>
  </conditionalFormatting>
  <conditionalFormatting sqref="E43">
    <cfRule type="cellIs" priority="5" dxfId="309" operator="greaterThan" stopIfTrue="1">
      <formula>$E$45*0.1</formula>
    </cfRule>
  </conditionalFormatting>
  <conditionalFormatting sqref="C57">
    <cfRule type="cellIs" priority="6" dxfId="309" operator="greaterThan" stopIfTrue="1">
      <formula>$C$59*0.1</formula>
    </cfRule>
  </conditionalFormatting>
  <conditionalFormatting sqref="D57">
    <cfRule type="cellIs" priority="7" dxfId="309" operator="greaterThan" stopIfTrue="1">
      <formula>$D$59*0.1</formula>
    </cfRule>
  </conditionalFormatting>
  <conditionalFormatting sqref="E57">
    <cfRule type="cellIs" priority="8" dxfId="309" operator="greaterThan" stopIfTrue="1">
      <formula>$E$59*0.1</formula>
    </cfRule>
  </conditionalFormatting>
  <conditionalFormatting sqref="C26">
    <cfRule type="cellIs" priority="9" dxfId="309" operator="greaterThan" stopIfTrue="1">
      <formula>$C$28*0.1</formula>
    </cfRule>
  </conditionalFormatting>
  <conditionalFormatting sqref="D26">
    <cfRule type="cellIs" priority="10" dxfId="309" operator="greaterThan" stopIfTrue="1">
      <formula>$D$28*0.1</formula>
    </cfRule>
  </conditionalFormatting>
  <conditionalFormatting sqref="E26">
    <cfRule type="cellIs" priority="11" dxfId="309" operator="greaterThan" stopIfTrue="1">
      <formula>$E$28*0.1</formula>
    </cfRule>
  </conditionalFormatting>
  <conditionalFormatting sqref="C12">
    <cfRule type="cellIs" priority="12" dxfId="309" operator="greaterThan" stopIfTrue="1">
      <formula>$C$14*0.1</formula>
    </cfRule>
  </conditionalFormatting>
  <conditionalFormatting sqref="D12">
    <cfRule type="cellIs" priority="13" dxfId="309" operator="greaterThan" stopIfTrue="1">
      <formula>$D$14*0.1</formula>
    </cfRule>
  </conditionalFormatting>
  <conditionalFormatting sqref="E12">
    <cfRule type="cellIs" priority="14" dxfId="309" operator="greaterThan" stopIfTrue="1">
      <formula>$E$14*0.1</formula>
    </cfRule>
  </conditionalFormatting>
  <conditionalFormatting sqref="E60 E29 C29 C60">
    <cfRule type="cellIs" priority="15" dxfId="2" operator="lessThan" stopIfTrue="1">
      <formula>0</formula>
    </cfRule>
  </conditionalFormatting>
  <conditionalFormatting sqref="C28">
    <cfRule type="cellIs" priority="16" dxfId="2" operator="greaterThan" stopIfTrue="1">
      <formula>$C$30</formula>
    </cfRule>
  </conditionalFormatting>
  <conditionalFormatting sqref="D28">
    <cfRule type="cellIs" priority="17" dxfId="2" operator="greaterThan" stopIfTrue="1">
      <formula>$D$30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9">
      <selection activeCell="E12" sqref="E12"/>
    </sheetView>
  </sheetViews>
  <sheetFormatPr defaultColWidth="8.796875" defaultRowHeight="15"/>
  <cols>
    <col min="1" max="1" width="15.796875" style="47" customWidth="1"/>
    <col min="2" max="2" width="20.796875" style="47" customWidth="1"/>
    <col min="3" max="3" width="9.796875" style="47" customWidth="1"/>
    <col min="4" max="4" width="15.296875" style="47" customWidth="1"/>
    <col min="5" max="5" width="15.796875" style="47" customWidth="1"/>
    <col min="6" max="16384" width="8.8984375" style="47" customWidth="1"/>
  </cols>
  <sheetData>
    <row r="1" spans="1:5" ht="15.75">
      <c r="A1" s="124" t="str">
        <f>inputPrYr!C3</f>
        <v>Montgomery County</v>
      </c>
      <c r="B1" s="125"/>
      <c r="C1" s="125"/>
      <c r="D1" s="125"/>
      <c r="E1" s="107">
        <f>inputPrYr!C5</f>
        <v>2015</v>
      </c>
    </row>
    <row r="2" spans="1:5" ht="15">
      <c r="A2" s="125"/>
      <c r="B2" s="125"/>
      <c r="C2" s="125"/>
      <c r="D2" s="125"/>
      <c r="E2" s="125"/>
    </row>
    <row r="3" spans="1:5" ht="15.75">
      <c r="A3" s="66"/>
      <c r="B3" s="66"/>
      <c r="C3" s="66"/>
      <c r="D3" s="66"/>
      <c r="E3" s="126"/>
    </row>
    <row r="4" spans="1:5" ht="15.75">
      <c r="A4" s="79" t="str">
        <f>CONCATENATE("From the County Clerks ",E1," Budget Information:")</f>
        <v>From the County Clerks 2015 Budget Information:</v>
      </c>
      <c r="B4" s="78"/>
      <c r="C4" s="108"/>
      <c r="D4" s="66"/>
      <c r="E4" s="126"/>
    </row>
    <row r="5" spans="1:5" ht="15.75">
      <c r="A5" s="127" t="str">
        <f>CONCATENATE("Total Assessed Valuation for ",E1-1,"")</f>
        <v>Total Assessed Valuation for 2014</v>
      </c>
      <c r="B5" s="96"/>
      <c r="C5" s="96"/>
      <c r="D5" s="96"/>
      <c r="E5" s="93">
        <v>287000000</v>
      </c>
    </row>
    <row r="6" spans="1:5" ht="15.75">
      <c r="A6" s="127" t="str">
        <f>CONCATENATE("New Improvements for ",E1-1,"")</f>
        <v>New Improvements for 2014</v>
      </c>
      <c r="B6" s="96"/>
      <c r="C6" s="96"/>
      <c r="D6" s="96"/>
      <c r="E6" s="128">
        <v>395049</v>
      </c>
    </row>
    <row r="7" spans="1:5" ht="15.75">
      <c r="A7" s="127" t="str">
        <f>CONCATENATE("Personal Property excluding oil, gas, and mobile homes - ",E1-1,"")</f>
        <v>Personal Property excluding oil, gas, and mobile homes - 2014</v>
      </c>
      <c r="B7" s="96"/>
      <c r="C7" s="96"/>
      <c r="D7" s="96"/>
      <c r="E7" s="128">
        <v>14172150</v>
      </c>
    </row>
    <row r="8" spans="1:5" ht="15.75">
      <c r="A8" s="127" t="str">
        <f>CONCATENATE("Property that has changed in use for ",E1-1,"")</f>
        <v>Property that has changed in use for 2014</v>
      </c>
      <c r="B8" s="96"/>
      <c r="C8" s="96"/>
      <c r="D8" s="96"/>
      <c r="E8" s="128">
        <v>412976</v>
      </c>
    </row>
    <row r="9" spans="1:5" ht="15.75">
      <c r="A9" s="127" t="str">
        <f>CONCATENATE("Personal Property excluding oil, gas, and mobile homes - ",E1-2,"")</f>
        <v>Personal Property excluding oil, gas, and mobile homes - 2013</v>
      </c>
      <c r="B9" s="96"/>
      <c r="C9" s="96"/>
      <c r="D9" s="96"/>
      <c r="E9" s="128">
        <v>17916762</v>
      </c>
    </row>
    <row r="10" spans="1:5" ht="15.75">
      <c r="A10" s="127" t="str">
        <f>CONCATENATE("Gross earnings (intangible) tax estimate for ",E1,"")</f>
        <v>Gross earnings (intangible) tax estimate for 2015</v>
      </c>
      <c r="B10" s="96"/>
      <c r="C10" s="96"/>
      <c r="D10" s="96"/>
      <c r="E10" s="93">
        <v>0</v>
      </c>
    </row>
    <row r="11" spans="1:5" ht="15.75">
      <c r="A11" s="127" t="s">
        <v>843</v>
      </c>
      <c r="B11" s="96"/>
      <c r="C11" s="96"/>
      <c r="D11" s="96"/>
      <c r="E11" s="93">
        <v>71066</v>
      </c>
    </row>
    <row r="12" spans="1:5" ht="15.75">
      <c r="A12" s="66"/>
      <c r="B12" s="66"/>
      <c r="C12" s="66"/>
      <c r="D12" s="83"/>
      <c r="E12" s="83"/>
    </row>
    <row r="13" spans="1:5" ht="15.75">
      <c r="A13" s="79" t="str">
        <f>CONCATENATE("From the County Treasurer's ",E1," Budget Information:")</f>
        <v>From the County Treasurer's 2015 Budget Information:</v>
      </c>
      <c r="B13" s="78"/>
      <c r="C13" s="78"/>
      <c r="D13" s="126"/>
      <c r="E13" s="126"/>
    </row>
    <row r="14" spans="1:5" ht="15.75">
      <c r="A14" s="94" t="s">
        <v>645</v>
      </c>
      <c r="B14" s="95"/>
      <c r="C14" s="95"/>
      <c r="D14" s="129"/>
      <c r="E14" s="93">
        <v>1323338</v>
      </c>
    </row>
    <row r="15" spans="1:5" ht="15.75">
      <c r="A15" s="127" t="s">
        <v>646</v>
      </c>
      <c r="B15" s="96"/>
      <c r="C15" s="96"/>
      <c r="D15" s="130"/>
      <c r="E15" s="93">
        <v>14101</v>
      </c>
    </row>
    <row r="16" spans="1:5" ht="15.75">
      <c r="A16" s="127" t="s">
        <v>753</v>
      </c>
      <c r="B16" s="96"/>
      <c r="C16" s="96"/>
      <c r="D16" s="130"/>
      <c r="E16" s="93">
        <v>35632</v>
      </c>
    </row>
    <row r="17" spans="1:5" ht="15.75">
      <c r="A17" s="127" t="s">
        <v>844</v>
      </c>
      <c r="B17" s="96"/>
      <c r="C17" s="96"/>
      <c r="D17" s="131"/>
      <c r="E17" s="93"/>
    </row>
    <row r="18" spans="1:5" ht="15.75">
      <c r="A18" s="127" t="s">
        <v>845</v>
      </c>
      <c r="B18" s="96"/>
      <c r="C18" s="96"/>
      <c r="D18" s="131"/>
      <c r="E18" s="93"/>
    </row>
    <row r="19" spans="1:5" ht="15.75">
      <c r="A19" s="66"/>
      <c r="B19" s="66"/>
      <c r="C19" s="66"/>
      <c r="D19" s="66"/>
      <c r="E19" s="66"/>
    </row>
    <row r="20" spans="1:5" ht="15.75">
      <c r="A20" s="132" t="s">
        <v>846</v>
      </c>
      <c r="B20" s="74"/>
      <c r="C20" s="74"/>
      <c r="D20" s="66"/>
      <c r="E20" s="66"/>
    </row>
    <row r="21" spans="1:5" ht="15.75">
      <c r="A21" s="94" t="str">
        <f>CONCATENATE("Actual Delinquency for ",E1-3," Tax - (rate .01213 = 1.213%, key in 1.2)")</f>
        <v>Actual Delinquency for 2012 Tax - (rate .01213 = 1.213%, key in 1.2)</v>
      </c>
      <c r="B21" s="95"/>
      <c r="C21" s="95"/>
      <c r="D21" s="103"/>
      <c r="E21" s="681">
        <v>0.06</v>
      </c>
    </row>
    <row r="22" spans="1:5" ht="15.75">
      <c r="A22" s="94" t="s">
        <v>621</v>
      </c>
      <c r="B22" s="72"/>
      <c r="C22" s="68"/>
      <c r="D22" s="68"/>
      <c r="E22" s="682">
        <v>0.07</v>
      </c>
    </row>
    <row r="23" spans="1:5" ht="15.75">
      <c r="A23" s="133" t="s">
        <v>847</v>
      </c>
      <c r="B23" s="133"/>
      <c r="C23" s="134"/>
      <c r="D23" s="134"/>
      <c r="E23" s="135"/>
    </row>
    <row r="24" spans="1:5" ht="15">
      <c r="A24" s="125"/>
      <c r="B24" s="125"/>
      <c r="C24" s="125"/>
      <c r="D24" s="125"/>
      <c r="E24" s="125"/>
    </row>
    <row r="25" spans="1:5" ht="15.75">
      <c r="A25" s="709" t="str">
        <f>CONCATENATE("From the ",E1-2," Budget Certificate Page")</f>
        <v>From the 2013 Budget Certificate Page</v>
      </c>
      <c r="B25" s="710"/>
      <c r="C25" s="125"/>
      <c r="D25" s="125"/>
      <c r="E25" s="125"/>
    </row>
    <row r="26" spans="1:5" ht="15.75">
      <c r="A26" s="136"/>
      <c r="B26" s="711" t="str">
        <f>CONCATENATE("",E1-2,"                         Expenditure Amt Budget Authority")</f>
        <v>2013                         Expenditure Amt Budget Authority</v>
      </c>
      <c r="C26" s="714" t="str">
        <f>CONCATENATE("Note: If the ",E1-2," budget was amended, then the")</f>
        <v>Note: If the 2013 budget was amended, then the</v>
      </c>
      <c r="D26" s="715"/>
      <c r="E26" s="715"/>
    </row>
    <row r="27" spans="1:5" ht="15.75">
      <c r="A27" s="137" t="s">
        <v>904</v>
      </c>
      <c r="B27" s="712"/>
      <c r="C27" s="138" t="s">
        <v>905</v>
      </c>
      <c r="D27" s="139"/>
      <c r="E27" s="139"/>
    </row>
    <row r="28" spans="1:5" ht="15.75">
      <c r="A28" s="140"/>
      <c r="B28" s="713"/>
      <c r="C28" s="138" t="s">
        <v>906</v>
      </c>
      <c r="D28" s="139"/>
      <c r="E28" s="139"/>
    </row>
    <row r="29" spans="1:5" ht="15.75">
      <c r="A29" s="141" t="str">
        <f>inputPrYr!B16</f>
        <v>General</v>
      </c>
      <c r="B29" s="142">
        <v>9215158</v>
      </c>
      <c r="C29" s="138"/>
      <c r="D29" s="139"/>
      <c r="E29" s="139"/>
    </row>
    <row r="30" spans="1:5" ht="15.75">
      <c r="A30" s="141" t="str">
        <f>inputPrYr!B17</f>
        <v>Debt Service</v>
      </c>
      <c r="B30" s="87">
        <v>0</v>
      </c>
      <c r="C30" s="138"/>
      <c r="D30" s="139"/>
      <c r="E30" s="139"/>
    </row>
    <row r="31" spans="1:5" ht="15.75">
      <c r="A31" s="141" t="str">
        <f>inputPrYr!B18</f>
        <v>Road &amp; Bridge</v>
      </c>
      <c r="B31" s="87">
        <v>6141860</v>
      </c>
      <c r="C31" s="125"/>
      <c r="D31" s="125"/>
      <c r="E31" s="125"/>
    </row>
    <row r="32" spans="1:5" ht="15.75">
      <c r="A32" s="141" t="str">
        <f>inputPrYr!B19</f>
        <v>County Health</v>
      </c>
      <c r="B32" s="87">
        <v>593900</v>
      </c>
      <c r="C32" s="125"/>
      <c r="D32" s="125"/>
      <c r="E32" s="125"/>
    </row>
    <row r="33" spans="1:5" ht="15.75">
      <c r="A33" s="141" t="str">
        <f>inputPrYr!B20</f>
        <v>Special Bridge</v>
      </c>
      <c r="B33" s="87">
        <v>1569624</v>
      </c>
      <c r="C33" s="125"/>
      <c r="D33" s="125"/>
      <c r="E33" s="125"/>
    </row>
    <row r="34" spans="1:5" ht="15.75">
      <c r="A34" s="141" t="str">
        <f>inputPrYr!B21</f>
        <v>Mental Health</v>
      </c>
      <c r="B34" s="87">
        <v>333782</v>
      </c>
      <c r="C34" s="125"/>
      <c r="D34" s="125"/>
      <c r="E34" s="125"/>
    </row>
    <row r="35" spans="1:5" ht="15.75">
      <c r="A35" s="141" t="str">
        <f>inputPrYr!B22</f>
        <v>Mental Retardation</v>
      </c>
      <c r="B35" s="87">
        <v>190245</v>
      </c>
      <c r="C35" s="125"/>
      <c r="D35" s="125"/>
      <c r="E35" s="125"/>
    </row>
    <row r="36" spans="1:5" ht="15.75">
      <c r="A36" s="141" t="str">
        <f>inputPrYr!B23</f>
        <v>Council on Aging</v>
      </c>
      <c r="B36" s="87">
        <v>255484</v>
      </c>
      <c r="C36" s="125"/>
      <c r="D36" s="125"/>
      <c r="E36" s="125"/>
    </row>
    <row r="37" spans="1:5" ht="15.75">
      <c r="A37" s="141" t="str">
        <f>inputPrYr!B24</f>
        <v>Employee Benefits</v>
      </c>
      <c r="B37" s="87">
        <v>4800000</v>
      </c>
      <c r="C37" s="125"/>
      <c r="D37" s="125"/>
      <c r="E37" s="125"/>
    </row>
    <row r="38" spans="1:5" ht="15.75">
      <c r="A38" s="141" t="str">
        <f>inputPrYr!B25</f>
        <v>Noxious Weed</v>
      </c>
      <c r="B38" s="87">
        <v>291650</v>
      </c>
      <c r="C38" s="125"/>
      <c r="D38" s="125"/>
      <c r="E38" s="125"/>
    </row>
    <row r="39" spans="1:5" ht="15.75">
      <c r="A39" s="141" t="str">
        <f>inputPrYr!B26</f>
        <v>.Ambulance Services</v>
      </c>
      <c r="B39" s="87">
        <v>692818</v>
      </c>
      <c r="C39" s="125"/>
      <c r="D39" s="125"/>
      <c r="E39" s="125"/>
    </row>
    <row r="40" spans="1:5" ht="15.75">
      <c r="A40" s="141" t="str">
        <f>inputPrYr!B27</f>
        <v>Economic Development</v>
      </c>
      <c r="B40" s="87">
        <v>145447</v>
      </c>
      <c r="C40" s="125"/>
      <c r="D40" s="125"/>
      <c r="E40" s="125"/>
    </row>
    <row r="41" spans="1:5" ht="15.75">
      <c r="A41" s="141" t="str">
        <f>inputPrYr!B28</f>
        <v>Special Liability</v>
      </c>
      <c r="B41" s="87">
        <v>24500</v>
      </c>
      <c r="C41" s="125"/>
      <c r="D41" s="125"/>
      <c r="E41" s="125"/>
    </row>
    <row r="42" spans="1:5" ht="15.75">
      <c r="A42" s="141" t="str">
        <f>inputPrYr!B29</f>
        <v>No Fund Warr-B&amp;I</v>
      </c>
      <c r="B42" s="87">
        <v>200175</v>
      </c>
      <c r="C42" s="125"/>
      <c r="D42" s="125"/>
      <c r="E42" s="125"/>
    </row>
    <row r="43" spans="1:5" ht="15.75">
      <c r="A43" s="141">
        <f>inputPrYr!B30</f>
        <v>0</v>
      </c>
      <c r="B43" s="87"/>
      <c r="C43" s="125"/>
      <c r="D43" s="125"/>
      <c r="E43" s="125"/>
    </row>
    <row r="44" spans="1:5" ht="15.75">
      <c r="A44" s="141">
        <f>inputPrYr!B31</f>
        <v>0</v>
      </c>
      <c r="B44" s="87"/>
      <c r="C44" s="125"/>
      <c r="D44" s="125"/>
      <c r="E44" s="125"/>
    </row>
    <row r="45" spans="1:5" ht="15.75">
      <c r="A45" s="141">
        <f>inputPrYr!B32</f>
        <v>0</v>
      </c>
      <c r="B45" s="87"/>
      <c r="C45" s="125"/>
      <c r="D45" s="125"/>
      <c r="E45" s="125"/>
    </row>
    <row r="46" spans="1:5" ht="15.75">
      <c r="A46" s="141">
        <f>inputPrYr!B33</f>
        <v>0</v>
      </c>
      <c r="B46" s="87"/>
      <c r="C46" s="125"/>
      <c r="D46" s="125"/>
      <c r="E46" s="125"/>
    </row>
    <row r="47" spans="1:5" ht="15.75">
      <c r="A47" s="141">
        <f>inputPrYr!B34</f>
        <v>0</v>
      </c>
      <c r="B47" s="87"/>
      <c r="C47" s="125"/>
      <c r="D47" s="125"/>
      <c r="E47" s="125"/>
    </row>
    <row r="48" spans="1:5" ht="15.75">
      <c r="A48" s="141">
        <f>inputPrYr!B35</f>
        <v>0</v>
      </c>
      <c r="B48" s="87"/>
      <c r="C48" s="125"/>
      <c r="D48" s="125"/>
      <c r="E48" s="125"/>
    </row>
    <row r="49" spans="1:5" ht="15.75">
      <c r="A49" s="141">
        <f>inputPrYr!B36</f>
        <v>0</v>
      </c>
      <c r="B49" s="87"/>
      <c r="C49" s="125"/>
      <c r="D49" s="125"/>
      <c r="E49" s="125"/>
    </row>
    <row r="50" spans="1:5" ht="15.75">
      <c r="A50" s="141">
        <f>inputPrYr!B37</f>
        <v>0</v>
      </c>
      <c r="B50" s="87"/>
      <c r="C50" s="125"/>
      <c r="D50" s="125"/>
      <c r="E50" s="125"/>
    </row>
    <row r="51" spans="1:5" ht="15.75">
      <c r="A51" s="141">
        <f>inputPrYr!B38</f>
        <v>0</v>
      </c>
      <c r="B51" s="87"/>
      <c r="C51" s="125"/>
      <c r="D51" s="125"/>
      <c r="E51" s="125"/>
    </row>
    <row r="52" spans="1:5" ht="15.75">
      <c r="A52" s="141">
        <f>inputPrYr!B39</f>
        <v>0</v>
      </c>
      <c r="B52" s="87"/>
      <c r="C52" s="125"/>
      <c r="D52" s="125"/>
      <c r="E52" s="125"/>
    </row>
    <row r="53" spans="1:5" ht="15.75">
      <c r="A53" s="141">
        <f>inputPrYr!B40</f>
        <v>0</v>
      </c>
      <c r="B53" s="87"/>
      <c r="C53" s="125"/>
      <c r="D53" s="125"/>
      <c r="E53" s="125"/>
    </row>
    <row r="54" spans="1:5" ht="15.75">
      <c r="A54" s="141" t="str">
        <f>inputPrYr!B44</f>
        <v>Waste Disposal</v>
      </c>
      <c r="B54" s="87">
        <v>60086</v>
      </c>
      <c r="C54" s="125"/>
      <c r="D54" s="125"/>
      <c r="E54" s="125"/>
    </row>
    <row r="55" spans="1:5" ht="15.75">
      <c r="A55" s="141" t="str">
        <f>inputPrYr!B45</f>
        <v>Tourism &amp; Convention</v>
      </c>
      <c r="B55" s="87">
        <v>325000</v>
      </c>
      <c r="C55" s="125"/>
      <c r="D55" s="125"/>
      <c r="E55" s="125"/>
    </row>
    <row r="56" spans="1:5" ht="15.75">
      <c r="A56" s="141" t="str">
        <f>inputPrYr!B46</f>
        <v>Sp Law Enforcement</v>
      </c>
      <c r="B56" s="87">
        <v>123331</v>
      </c>
      <c r="C56" s="125"/>
      <c r="D56" s="125"/>
      <c r="E56" s="125"/>
    </row>
    <row r="57" spans="1:5" ht="15.75">
      <c r="A57" s="141" t="str">
        <f>inputPrYr!B47</f>
        <v>Sp Parks &amp; Rec</v>
      </c>
      <c r="B57" s="87">
        <v>26896</v>
      </c>
      <c r="C57" s="125"/>
      <c r="D57" s="125"/>
      <c r="E57" s="125"/>
    </row>
    <row r="58" spans="1:5" ht="15.75">
      <c r="A58" s="141" t="str">
        <f>inputPrYr!B48</f>
        <v>Sp Alcohol Program</v>
      </c>
      <c r="B58" s="87">
        <v>37899</v>
      </c>
      <c r="C58" s="125"/>
      <c r="D58" s="125"/>
      <c r="E58" s="125"/>
    </row>
    <row r="59" spans="1:5" ht="15.75">
      <c r="A59" s="141" t="str">
        <f>inputPrYr!B49</f>
        <v>Sp Assmts-Co Wide</v>
      </c>
      <c r="B59" s="87">
        <v>0</v>
      </c>
      <c r="C59" s="125"/>
      <c r="D59" s="125"/>
      <c r="E59" s="125"/>
    </row>
    <row r="60" spans="1:5" ht="15.75">
      <c r="A60" s="141" t="str">
        <f>inputPrYr!B50</f>
        <v>Emergency 911</v>
      </c>
      <c r="B60" s="87">
        <v>70000</v>
      </c>
      <c r="C60" s="125"/>
      <c r="D60" s="125"/>
      <c r="E60" s="125"/>
    </row>
    <row r="61" spans="1:5" ht="15.75">
      <c r="A61" s="141" t="str">
        <f>inputPrYr!B51</f>
        <v>VIN Fees</v>
      </c>
      <c r="B61" s="87">
        <v>45000</v>
      </c>
      <c r="C61" s="125"/>
      <c r="D61" s="125"/>
      <c r="E61" s="125"/>
    </row>
    <row r="62" spans="1:5" ht="15.75">
      <c r="A62" s="141" t="str">
        <f>inputPrYr!B52</f>
        <v>Noxious Weed Cap. Outlay</v>
      </c>
      <c r="B62" s="87">
        <v>119379</v>
      </c>
      <c r="C62" s="125"/>
      <c r="D62" s="125"/>
      <c r="E62" s="125"/>
    </row>
    <row r="63" spans="1:5" ht="15.75">
      <c r="A63" s="141" t="str">
        <f>inputPrYr!B53</f>
        <v>Risk Management Fund</v>
      </c>
      <c r="B63" s="87">
        <v>0</v>
      </c>
      <c r="C63" s="125"/>
      <c r="D63" s="125"/>
      <c r="E63" s="125"/>
    </row>
  </sheetData>
  <sheetProtection sheet="1"/>
  <mergeCells count="3">
    <mergeCell ref="A25:B25"/>
    <mergeCell ref="B26:B28"/>
    <mergeCell ref="C26:E26"/>
  </mergeCells>
  <printOptions/>
  <pageMargins left="0.75" right="0.75" top="1" bottom="1" header="0.5" footer="0.5"/>
  <pageSetup blackAndWhite="1" fitToHeight="1" fitToWidth="1" horizontalDpi="600" verticalDpi="600" orientation="portrait" scale="62"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5" sqref="C65"/>
    </sheetView>
  </sheetViews>
  <sheetFormatPr defaultColWidth="8.796875" defaultRowHeight="15"/>
  <cols>
    <col min="1" max="1" width="2.3984375" style="52" customWidth="1"/>
    <col min="2" max="2" width="31.09765625" style="52" customWidth="1"/>
    <col min="3" max="4" width="15.796875" style="52" customWidth="1"/>
    <col min="5" max="5" width="16.296875" style="52" customWidth="1"/>
    <col min="6"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208" t="s">
        <v>749</v>
      </c>
      <c r="C3" s="144"/>
      <c r="D3" s="144"/>
      <c r="E3" s="144"/>
    </row>
    <row r="4" spans="2:5" ht="15.75">
      <c r="B4" s="65" t="s">
        <v>672</v>
      </c>
      <c r="C4" s="624" t="s">
        <v>595</v>
      </c>
      <c r="D4" s="625" t="s">
        <v>596</v>
      </c>
      <c r="E4" s="148" t="s">
        <v>597</v>
      </c>
    </row>
    <row r="5" spans="2:5" ht="15.75">
      <c r="B5" s="460" t="s">
        <v>228</v>
      </c>
      <c r="C5" s="440" t="str">
        <f>CONCATENATE("Actual for ",E1-2,"")</f>
        <v>Actual for 2013</v>
      </c>
      <c r="D5" s="440" t="str">
        <f>CONCATENATE("Estimate for ",E1-1,"")</f>
        <v>Estimate for 2014</v>
      </c>
      <c r="E5" s="293" t="str">
        <f>CONCATENATE("Year for ",E1,"")</f>
        <v>Year for 2015</v>
      </c>
    </row>
    <row r="6" spans="2:5" ht="15.75">
      <c r="B6" s="152" t="s">
        <v>789</v>
      </c>
      <c r="C6" s="93">
        <v>13316</v>
      </c>
      <c r="D6" s="258">
        <f>C29</f>
        <v>13316</v>
      </c>
      <c r="E6" s="258">
        <f>D29</f>
        <v>13316</v>
      </c>
    </row>
    <row r="7" spans="2:5" ht="15.75">
      <c r="B7" s="174" t="s">
        <v>791</v>
      </c>
      <c r="C7" s="162"/>
      <c r="D7" s="162"/>
      <c r="E7" s="162"/>
    </row>
    <row r="8" spans="2:5" ht="15.75">
      <c r="B8" s="310"/>
      <c r="C8" s="93">
        <v>0</v>
      </c>
      <c r="D8" s="93">
        <v>0</v>
      </c>
      <c r="E8" s="93">
        <v>0</v>
      </c>
    </row>
    <row r="9" spans="2:5" ht="15.75">
      <c r="B9" s="310"/>
      <c r="C9" s="93"/>
      <c r="D9" s="93"/>
      <c r="E9" s="93"/>
    </row>
    <row r="10" spans="2:5" ht="15.75">
      <c r="B10" s="310"/>
      <c r="C10" s="93"/>
      <c r="D10" s="93"/>
      <c r="E10" s="93"/>
    </row>
    <row r="11" spans="2:5" ht="15.75">
      <c r="B11" s="298" t="s">
        <v>680</v>
      </c>
      <c r="C11" s="93"/>
      <c r="D11" s="93"/>
      <c r="E11" s="93"/>
    </row>
    <row r="12" spans="2:5" ht="15.75">
      <c r="B12" s="299" t="s">
        <v>911</v>
      </c>
      <c r="C12" s="93"/>
      <c r="D12" s="319"/>
      <c r="E12" s="319"/>
    </row>
    <row r="13" spans="2:5" ht="15.75">
      <c r="B13" s="299" t="s">
        <v>451</v>
      </c>
      <c r="C13" s="453">
        <f>IF(C14*0.1&lt;C12,"Exceed 10% Rule","")</f>
      </c>
      <c r="D13" s="300">
        <f>IF(D14*0.1&lt;D12,"Exceed 10% Rule","")</f>
      </c>
      <c r="E13" s="300">
        <f>IF(E14*0.1&lt;E12,"Exceed 10% Rule","")</f>
      </c>
    </row>
    <row r="14" spans="2:5" ht="15.75">
      <c r="B14" s="301" t="s">
        <v>681</v>
      </c>
      <c r="C14" s="347">
        <f>SUM(C8:C12)</f>
        <v>0</v>
      </c>
      <c r="D14" s="347">
        <f>SUM(D8:D12)</f>
        <v>0</v>
      </c>
      <c r="E14" s="347">
        <f>SUM(E8:E12)</f>
        <v>0</v>
      </c>
    </row>
    <row r="15" spans="2:5" ht="15.75">
      <c r="B15" s="301" t="s">
        <v>682</v>
      </c>
      <c r="C15" s="347">
        <f>C14+C6</f>
        <v>13316</v>
      </c>
      <c r="D15" s="347">
        <f>D14+D6</f>
        <v>13316</v>
      </c>
      <c r="E15" s="347">
        <f>E14+E6</f>
        <v>13316</v>
      </c>
    </row>
    <row r="16" spans="2:5" ht="15.75">
      <c r="B16" s="152" t="s">
        <v>685</v>
      </c>
      <c r="C16" s="258"/>
      <c r="D16" s="258"/>
      <c r="E16" s="258"/>
    </row>
    <row r="17" spans="2:5" ht="15.75">
      <c r="B17" s="310" t="s">
        <v>167</v>
      </c>
      <c r="C17" s="93">
        <v>0</v>
      </c>
      <c r="D17" s="93">
        <v>0</v>
      </c>
      <c r="E17" s="93">
        <v>13316</v>
      </c>
    </row>
    <row r="18" spans="2:5" ht="15.75">
      <c r="B18" s="310"/>
      <c r="C18" s="93"/>
      <c r="D18" s="93"/>
      <c r="E18" s="93"/>
    </row>
    <row r="19" spans="2:5" ht="15.75">
      <c r="B19" s="310"/>
      <c r="C19" s="93"/>
      <c r="D19" s="93"/>
      <c r="E19" s="93"/>
    </row>
    <row r="20" spans="2:5" ht="15.75">
      <c r="B20" s="310"/>
      <c r="C20" s="93"/>
      <c r="D20" s="93"/>
      <c r="E20" s="93"/>
    </row>
    <row r="21" spans="2:5" ht="15.75">
      <c r="B21" s="310"/>
      <c r="C21" s="93"/>
      <c r="D21" s="93"/>
      <c r="E21" s="93"/>
    </row>
    <row r="22" spans="2:5" ht="15.75">
      <c r="B22" s="310"/>
      <c r="C22" s="93"/>
      <c r="D22" s="93"/>
      <c r="E22" s="93"/>
    </row>
    <row r="23" spans="2:5" ht="15.75">
      <c r="B23" s="310"/>
      <c r="C23" s="93"/>
      <c r="D23" s="93"/>
      <c r="E23" s="93"/>
    </row>
    <row r="24" spans="2:5" ht="15.75">
      <c r="B24" s="310"/>
      <c r="C24" s="93"/>
      <c r="D24" s="93"/>
      <c r="E24" s="93"/>
    </row>
    <row r="25" spans="2:5" ht="15.75">
      <c r="B25" s="310"/>
      <c r="C25" s="93"/>
      <c r="D25" s="93"/>
      <c r="E25" s="93"/>
    </row>
    <row r="26" spans="2:5" ht="15.75">
      <c r="B26" s="299" t="s">
        <v>911</v>
      </c>
      <c r="C26" s="93"/>
      <c r="D26" s="319"/>
      <c r="E26" s="319"/>
    </row>
    <row r="27" spans="2:5" ht="15.75">
      <c r="B27" s="299" t="s">
        <v>452</v>
      </c>
      <c r="C27" s="453">
        <f>IF(C28*0.1&lt;C26,"Exceed 10% Rule","")</f>
      </c>
      <c r="D27" s="300">
        <f>IF(D28*0.1&lt;D26,"Exceed 10% Rule","")</f>
      </c>
      <c r="E27" s="300">
        <f>IF(E28*0.1&lt;E26,"Exceed 10% Rule","")</f>
      </c>
    </row>
    <row r="28" spans="2:5" ht="15.75">
      <c r="B28" s="301" t="s">
        <v>686</v>
      </c>
      <c r="C28" s="347">
        <f>SUM(C17:C26)</f>
        <v>0</v>
      </c>
      <c r="D28" s="347">
        <f>SUM(D17:D26)</f>
        <v>0</v>
      </c>
      <c r="E28" s="347">
        <f>SUM(E17:E26)</f>
        <v>13316</v>
      </c>
    </row>
    <row r="29" spans="2:5" ht="15.75">
      <c r="B29" s="152" t="s">
        <v>790</v>
      </c>
      <c r="C29" s="97">
        <f>C15-C28</f>
        <v>13316</v>
      </c>
      <c r="D29" s="97">
        <f>D15-D28</f>
        <v>13316</v>
      </c>
      <c r="E29" s="97">
        <f>E15-E28</f>
        <v>0</v>
      </c>
    </row>
    <row r="30" spans="2:5" ht="15.75">
      <c r="B30" s="280" t="str">
        <f>CONCATENATE("",$E$1-2,"/",$E$1-1," Budget Authority Amount:")</f>
        <v>2013/2014 Budget Authority Amount:</v>
      </c>
      <c r="C30" s="272">
        <v>13316</v>
      </c>
      <c r="D30" s="272">
        <v>13316</v>
      </c>
      <c r="E30" s="471">
        <f>IF($E$29&lt;0,"See Tab E","")</f>
      </c>
    </row>
    <row r="31" spans="2:5" ht="15.75">
      <c r="B31" s="280"/>
      <c r="C31" s="314">
        <f>IF(C28&gt;C30,"See Tab A","")</f>
      </c>
      <c r="D31" s="314">
        <f>IF(D28&gt;D30,"See Tab C","")</f>
      </c>
      <c r="E31" s="126"/>
    </row>
    <row r="32" spans="2:5" ht="15.75">
      <c r="B32" s="280"/>
      <c r="C32" s="314">
        <f>IF(C29&lt;0,"See Tab B","")</f>
      </c>
      <c r="D32" s="314">
        <f>IF(D29&lt;0,"See Tab D","")</f>
      </c>
      <c r="E32" s="126"/>
    </row>
    <row r="33" spans="2:5" ht="15.75">
      <c r="B33" s="66"/>
      <c r="C33" s="126"/>
      <c r="D33" s="126"/>
      <c r="E33" s="126"/>
    </row>
    <row r="34" spans="2:5" ht="15.75">
      <c r="B34" s="65"/>
      <c r="C34" s="144"/>
      <c r="D34" s="144"/>
      <c r="E34" s="144"/>
    </row>
    <row r="35" spans="2:5" ht="15.75">
      <c r="B35" s="65" t="s">
        <v>672</v>
      </c>
      <c r="C35" s="334" t="str">
        <f aca="true" t="shared" si="0" ref="C35:E36">C4</f>
        <v>Prior Year </v>
      </c>
      <c r="D35" s="148" t="str">
        <f t="shared" si="0"/>
        <v>Current Year </v>
      </c>
      <c r="E35" s="148" t="str">
        <f t="shared" si="0"/>
        <v>Proposed Budget </v>
      </c>
    </row>
    <row r="36" spans="2:5" ht="15.75">
      <c r="B36" s="460" t="s">
        <v>188</v>
      </c>
      <c r="C36" s="305" t="str">
        <f t="shared" si="0"/>
        <v>Actual for 2013</v>
      </c>
      <c r="D36" s="305" t="str">
        <f t="shared" si="0"/>
        <v>Estimate for 2014</v>
      </c>
      <c r="E36" s="305" t="str">
        <f t="shared" si="0"/>
        <v>Year for 2015</v>
      </c>
    </row>
    <row r="37" spans="2:5" ht="15.75">
      <c r="B37" s="152" t="s">
        <v>789</v>
      </c>
      <c r="C37" s="93">
        <v>88956</v>
      </c>
      <c r="D37" s="258">
        <f>C60</f>
        <v>108341</v>
      </c>
      <c r="E37" s="258">
        <f>D60</f>
        <v>68641</v>
      </c>
    </row>
    <row r="38" spans="2:5" ht="15.75">
      <c r="B38" s="152" t="s">
        <v>791</v>
      </c>
      <c r="C38" s="162"/>
      <c r="D38" s="162"/>
      <c r="E38" s="162"/>
    </row>
    <row r="39" spans="2:5" ht="15.75">
      <c r="B39" s="310" t="s">
        <v>218</v>
      </c>
      <c r="C39" s="93">
        <v>236609</v>
      </c>
      <c r="D39" s="93">
        <v>240000</v>
      </c>
      <c r="E39" s="93">
        <v>240000</v>
      </c>
    </row>
    <row r="40" spans="2:5" ht="15.75">
      <c r="B40" s="310" t="s">
        <v>219</v>
      </c>
      <c r="C40" s="93">
        <v>92</v>
      </c>
      <c r="D40" s="93"/>
      <c r="E40" s="93">
        <v>0</v>
      </c>
    </row>
    <row r="41" spans="2:5" ht="15.75">
      <c r="B41" s="310"/>
      <c r="C41" s="93"/>
      <c r="D41" s="93"/>
      <c r="E41" s="93"/>
    </row>
    <row r="42" spans="2:5" ht="15.75">
      <c r="B42" s="298" t="s">
        <v>680</v>
      </c>
      <c r="C42" s="93"/>
      <c r="D42" s="93"/>
      <c r="E42" s="93"/>
    </row>
    <row r="43" spans="2:5" ht="15.75">
      <c r="B43" s="299" t="s">
        <v>911</v>
      </c>
      <c r="C43" s="93"/>
      <c r="D43" s="319"/>
      <c r="E43" s="319"/>
    </row>
    <row r="44" spans="2:5" ht="15.75">
      <c r="B44" s="299" t="s">
        <v>451</v>
      </c>
      <c r="C44" s="453">
        <f>IF(C45*0.1&lt;C43,"Exceed 10% Rule","")</f>
      </c>
      <c r="D44" s="300">
        <f>IF(D45*0.1&lt;D43,"Exceed 10% Rule","")</f>
      </c>
      <c r="E44" s="300">
        <f>IF(E45*0.1&lt;E43,"Exceed 10% Rule","")</f>
      </c>
    </row>
    <row r="45" spans="2:5" ht="15.75">
      <c r="B45" s="301" t="s">
        <v>681</v>
      </c>
      <c r="C45" s="347">
        <f>SUM(C39:C43)</f>
        <v>236701</v>
      </c>
      <c r="D45" s="347">
        <f>SUM(D39:D43)</f>
        <v>240000</v>
      </c>
      <c r="E45" s="347">
        <f>SUM(E39:E43)</f>
        <v>240000</v>
      </c>
    </row>
    <row r="46" spans="2:5" ht="15.75">
      <c r="B46" s="301" t="s">
        <v>682</v>
      </c>
      <c r="C46" s="347">
        <f>C37+C45</f>
        <v>325657</v>
      </c>
      <c r="D46" s="347">
        <f>D37+D45</f>
        <v>348341</v>
      </c>
      <c r="E46" s="347">
        <f>E37+E45</f>
        <v>308641</v>
      </c>
    </row>
    <row r="47" spans="2:5" ht="15.75">
      <c r="B47" s="152" t="s">
        <v>685</v>
      </c>
      <c r="C47" s="258"/>
      <c r="D47" s="258"/>
      <c r="E47" s="258"/>
    </row>
    <row r="48" spans="2:5" ht="15.75">
      <c r="B48" s="310" t="s">
        <v>167</v>
      </c>
      <c r="C48" s="93">
        <v>200620</v>
      </c>
      <c r="D48" s="93">
        <v>262600</v>
      </c>
      <c r="E48" s="93">
        <v>291541</v>
      </c>
    </row>
    <row r="49" spans="2:5" ht="15.75">
      <c r="B49" s="310" t="s">
        <v>168</v>
      </c>
      <c r="C49" s="93">
        <v>639</v>
      </c>
      <c r="D49" s="93">
        <v>1000</v>
      </c>
      <c r="E49" s="93">
        <v>1000</v>
      </c>
    </row>
    <row r="50" spans="2:5" ht="15.75">
      <c r="B50" s="310" t="s">
        <v>169</v>
      </c>
      <c r="C50" s="93">
        <v>16057</v>
      </c>
      <c r="D50" s="93">
        <v>16100</v>
      </c>
      <c r="E50" s="93">
        <v>16100</v>
      </c>
    </row>
    <row r="51" spans="2:5" ht="15.75">
      <c r="B51" s="310"/>
      <c r="C51" s="93"/>
      <c r="D51" s="93"/>
      <c r="E51" s="93"/>
    </row>
    <row r="52" spans="2:5" ht="15.75">
      <c r="B52" s="310"/>
      <c r="C52" s="93"/>
      <c r="D52" s="93"/>
      <c r="E52" s="93"/>
    </row>
    <row r="53" spans="2:5" ht="15.75">
      <c r="B53" s="310"/>
      <c r="C53" s="93"/>
      <c r="D53" s="93"/>
      <c r="E53" s="93"/>
    </row>
    <row r="54" spans="2:5" ht="15.75">
      <c r="B54" s="310"/>
      <c r="C54" s="93"/>
      <c r="D54" s="93"/>
      <c r="E54" s="93"/>
    </row>
    <row r="55" spans="2:5" ht="15.75">
      <c r="B55" s="310"/>
      <c r="C55" s="93"/>
      <c r="D55" s="93"/>
      <c r="E55" s="93"/>
    </row>
    <row r="56" spans="2:5" ht="15.75">
      <c r="B56" s="310"/>
      <c r="C56" s="93"/>
      <c r="D56" s="93"/>
      <c r="E56" s="93"/>
    </row>
    <row r="57" spans="2:5" ht="15.75">
      <c r="B57" s="299" t="s">
        <v>911</v>
      </c>
      <c r="C57" s="93"/>
      <c r="D57" s="319"/>
      <c r="E57" s="319"/>
    </row>
    <row r="58" spans="2:5" ht="15.75">
      <c r="B58" s="299" t="s">
        <v>452</v>
      </c>
      <c r="C58" s="453">
        <f>IF(C59*0.1&lt;C57,"Exceed 10% Rule","")</f>
      </c>
      <c r="D58" s="300">
        <f>IF(D59*0.1&lt;D57,"Exceed 10% Rule","")</f>
      </c>
      <c r="E58" s="300">
        <f>IF(E59*0.1&lt;E57,"Exceed 10% Rule","")</f>
      </c>
    </row>
    <row r="59" spans="2:5" ht="15.75">
      <c r="B59" s="301" t="s">
        <v>686</v>
      </c>
      <c r="C59" s="347">
        <f>SUM(C48:C57)</f>
        <v>217316</v>
      </c>
      <c r="D59" s="347">
        <f>SUM(D48:D57)</f>
        <v>279700</v>
      </c>
      <c r="E59" s="347">
        <f>SUM(E48:E57)</f>
        <v>308641</v>
      </c>
    </row>
    <row r="60" spans="2:5" ht="15.75">
      <c r="B60" s="152" t="s">
        <v>790</v>
      </c>
      <c r="C60" s="97">
        <f>C46-C59</f>
        <v>108341</v>
      </c>
      <c r="D60" s="97">
        <f>D46-D59</f>
        <v>68641</v>
      </c>
      <c r="E60" s="97">
        <f>E46-E59</f>
        <v>0</v>
      </c>
    </row>
    <row r="61" spans="2:5" ht="15.75">
      <c r="B61" s="280" t="str">
        <f>CONCATENATE("",$E$1-2,"/",$E$1-1," Budget Authority Amount:")</f>
        <v>2013/2014 Budget Authority Amount:</v>
      </c>
      <c r="C61" s="272">
        <v>226000</v>
      </c>
      <c r="D61" s="272">
        <v>279700</v>
      </c>
      <c r="E61" s="461">
        <f>IF($E$60&lt;0,"See Tab E","")</f>
      </c>
    </row>
    <row r="62" spans="2:5" ht="15.75">
      <c r="B62" s="280"/>
      <c r="C62" s="314">
        <f>IF(C59&gt;C61,"See Tab A","")</f>
      </c>
      <c r="D62" s="314">
        <f>IF(D59&gt;D61,"See Tab C","")</f>
      </c>
      <c r="E62" s="66"/>
    </row>
    <row r="63" spans="2:5" ht="15.75">
      <c r="B63" s="280"/>
      <c r="C63" s="314">
        <f>IF(C60&lt;0,"See Tab B","")</f>
      </c>
      <c r="D63" s="314">
        <f>IF(D60&lt;0,"See Tab D","")</f>
      </c>
      <c r="E63" s="66"/>
    </row>
    <row r="64" spans="2:5" ht="15.75">
      <c r="B64" s="66"/>
      <c r="C64" s="66"/>
      <c r="D64" s="66"/>
      <c r="E64" s="66"/>
    </row>
    <row r="65" spans="2:5" ht="15.75">
      <c r="B65" s="315" t="s">
        <v>700</v>
      </c>
      <c r="C65" s="333">
        <v>21</v>
      </c>
      <c r="D65" s="66"/>
      <c r="E65" s="66"/>
    </row>
  </sheetData>
  <sheetProtection sheet="1" objects="1" scenarios="1"/>
  <conditionalFormatting sqref="C43">
    <cfRule type="cellIs" priority="19" dxfId="309" operator="greaterThan" stopIfTrue="1">
      <formula>$C$45*0.1</formula>
    </cfRule>
  </conditionalFormatting>
  <conditionalFormatting sqref="D43">
    <cfRule type="cellIs" priority="18" dxfId="309" operator="greaterThan" stopIfTrue="1">
      <formula>$D$45*0.1</formula>
    </cfRule>
  </conditionalFormatting>
  <conditionalFormatting sqref="E43">
    <cfRule type="cellIs" priority="17" dxfId="309" operator="greaterThan" stopIfTrue="1">
      <formula>$E$45*0.1</formula>
    </cfRule>
  </conditionalFormatting>
  <conditionalFormatting sqref="C57">
    <cfRule type="cellIs" priority="16" dxfId="309" operator="greaterThan" stopIfTrue="1">
      <formula>$C$59*0.1</formula>
    </cfRule>
  </conditionalFormatting>
  <conditionalFormatting sqref="D57">
    <cfRule type="cellIs" priority="15" dxfId="309" operator="greaterThan" stopIfTrue="1">
      <formula>$D$59*0.1</formula>
    </cfRule>
  </conditionalFormatting>
  <conditionalFormatting sqref="E57">
    <cfRule type="cellIs" priority="14" dxfId="309" operator="greaterThan" stopIfTrue="1">
      <formula>$E$59*0.1</formula>
    </cfRule>
  </conditionalFormatting>
  <conditionalFormatting sqref="C26">
    <cfRule type="cellIs" priority="13" dxfId="309" operator="greaterThan" stopIfTrue="1">
      <formula>$C$28*0.1</formula>
    </cfRule>
  </conditionalFormatting>
  <conditionalFormatting sqref="D26">
    <cfRule type="cellIs" priority="12" dxfId="309" operator="greaterThan" stopIfTrue="1">
      <formula>$D$28*0.1</formula>
    </cfRule>
  </conditionalFormatting>
  <conditionalFormatting sqref="E26">
    <cfRule type="cellIs" priority="11" dxfId="309" operator="greaterThan" stopIfTrue="1">
      <formula>$E$28*0.1</formula>
    </cfRule>
  </conditionalFormatting>
  <conditionalFormatting sqref="C12">
    <cfRule type="cellIs" priority="10" dxfId="309" operator="greaterThan" stopIfTrue="1">
      <formula>$C$14*0.1</formula>
    </cfRule>
  </conditionalFormatting>
  <conditionalFormatting sqref="D12">
    <cfRule type="cellIs" priority="9" dxfId="309" operator="greaterThan" stopIfTrue="1">
      <formula>$D$14*0.1</formula>
    </cfRule>
  </conditionalFormatting>
  <conditionalFormatting sqref="E12">
    <cfRule type="cellIs" priority="8" dxfId="309" operator="greaterThan" stopIfTrue="1">
      <formula>$E$14*0.1</formula>
    </cfRule>
  </conditionalFormatting>
  <conditionalFormatting sqref="E60 E29 C29 C60">
    <cfRule type="cellIs" priority="7" dxfId="2" operator="lessThan" stopIfTrue="1">
      <formula>0</formula>
    </cfRule>
  </conditionalFormatting>
  <conditionalFormatting sqref="C28">
    <cfRule type="cellIs" priority="6" dxfId="2" operator="greaterThan" stopIfTrue="1">
      <formula>$C$30</formula>
    </cfRule>
  </conditionalFormatting>
  <conditionalFormatting sqref="D28">
    <cfRule type="cellIs" priority="5" dxfId="2" operator="greaterThan" stopIfTrue="1">
      <formula>$D$30</formula>
    </cfRule>
  </conditionalFormatting>
  <conditionalFormatting sqref="D59">
    <cfRule type="cellIs" priority="4" dxfId="2" operator="greaterThan" stopIfTrue="1">
      <formula>$D$61</formula>
    </cfRule>
  </conditionalFormatting>
  <conditionalFormatting sqref="C59">
    <cfRule type="cellIs" priority="3" dxfId="2" operator="greaterThan" stopIfTrue="1">
      <formula>$C$61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5" sqref="C65"/>
    </sheetView>
  </sheetViews>
  <sheetFormatPr defaultColWidth="8.796875" defaultRowHeight="15"/>
  <cols>
    <col min="1" max="1" width="2.3984375" style="52" customWidth="1"/>
    <col min="2" max="2" width="31.09765625" style="52" customWidth="1"/>
    <col min="3" max="4" width="15.796875" style="52" customWidth="1"/>
    <col min="5" max="5" width="16.296875" style="52" customWidth="1"/>
    <col min="6" max="16384" width="8.8984375" style="52" customWidth="1"/>
  </cols>
  <sheetData>
    <row r="1" spans="2:5" ht="15.75">
      <c r="B1" s="199" t="str">
        <f>(inputPrYr!C3)</f>
        <v>Montgomery County</v>
      </c>
      <c r="C1" s="66"/>
      <c r="D1" s="66"/>
      <c r="E1" s="279">
        <f>inputPrYr!C5</f>
        <v>2015</v>
      </c>
    </row>
    <row r="2" spans="2:5" ht="15.75">
      <c r="B2" s="208"/>
      <c r="C2" s="316"/>
      <c r="D2" s="316"/>
      <c r="E2" s="317"/>
    </row>
    <row r="3" spans="2:5" ht="15.75">
      <c r="B3" s="208" t="s">
        <v>749</v>
      </c>
      <c r="C3" s="144"/>
      <c r="D3" s="144"/>
      <c r="E3" s="144"/>
    </row>
    <row r="4" spans="2:5" ht="15.75">
      <c r="B4" s="65" t="s">
        <v>672</v>
      </c>
      <c r="C4" s="624" t="s">
        <v>595</v>
      </c>
      <c r="D4" s="625" t="s">
        <v>596</v>
      </c>
      <c r="E4" s="148" t="s">
        <v>597</v>
      </c>
    </row>
    <row r="5" spans="2:5" ht="15.75">
      <c r="B5" s="460" t="s">
        <v>229</v>
      </c>
      <c r="C5" s="440" t="str">
        <f>CONCATENATE("Actual for ",E1-2,"")</f>
        <v>Actual for 2013</v>
      </c>
      <c r="D5" s="440" t="str">
        <f>CONCATENATE("Estimate for ",E1-1,"")</f>
        <v>Estimate for 2014</v>
      </c>
      <c r="E5" s="293" t="str">
        <f>CONCATENATE("Year for ",E1,"")</f>
        <v>Year for 2015</v>
      </c>
    </row>
    <row r="6" spans="2:5" ht="15.75">
      <c r="B6" s="152" t="s">
        <v>789</v>
      </c>
      <c r="C6" s="93">
        <v>2840</v>
      </c>
      <c r="D6" s="258">
        <f>C29</f>
        <v>2842</v>
      </c>
      <c r="E6" s="258">
        <f>D29</f>
        <v>3042</v>
      </c>
    </row>
    <row r="7" spans="2:5" ht="15.75">
      <c r="B7" s="174" t="s">
        <v>791</v>
      </c>
      <c r="C7" s="162"/>
      <c r="D7" s="162"/>
      <c r="E7" s="162"/>
    </row>
    <row r="8" spans="2:5" ht="15.75">
      <c r="B8" s="310"/>
      <c r="C8" s="93">
        <v>0</v>
      </c>
      <c r="D8" s="93">
        <v>200</v>
      </c>
      <c r="E8" s="93">
        <v>200</v>
      </c>
    </row>
    <row r="9" spans="2:5" ht="15.75">
      <c r="B9" s="310"/>
      <c r="C9" s="93"/>
      <c r="D9" s="93"/>
      <c r="E9" s="93"/>
    </row>
    <row r="10" spans="2:5" ht="15.75">
      <c r="B10" s="310"/>
      <c r="C10" s="93"/>
      <c r="D10" s="93"/>
      <c r="E10" s="93"/>
    </row>
    <row r="11" spans="2:5" ht="15.75">
      <c r="B11" s="298" t="s">
        <v>680</v>
      </c>
      <c r="C11" s="93">
        <v>2</v>
      </c>
      <c r="D11" s="93"/>
      <c r="E11" s="93"/>
    </row>
    <row r="12" spans="2:5" ht="15.75">
      <c r="B12" s="299" t="s">
        <v>911</v>
      </c>
      <c r="C12" s="93"/>
      <c r="D12" s="319"/>
      <c r="E12" s="319"/>
    </row>
    <row r="13" spans="2:5" ht="15.75">
      <c r="B13" s="299" t="s">
        <v>451</v>
      </c>
      <c r="C13" s="453">
        <f>IF(C14*0.1&lt;C12,"Exceed 10% Rule","")</f>
      </c>
      <c r="D13" s="300">
        <f>IF(D14*0.1&lt;D12,"Exceed 10% Rule","")</f>
      </c>
      <c r="E13" s="300">
        <f>IF(E14*0.1&lt;E12,"Exceed 10% Rule","")</f>
      </c>
    </row>
    <row r="14" spans="2:5" ht="15.75">
      <c r="B14" s="301" t="s">
        <v>681</v>
      </c>
      <c r="C14" s="347">
        <f>SUM(C8:C12)</f>
        <v>2</v>
      </c>
      <c r="D14" s="347">
        <f>SUM(D8:D12)</f>
        <v>200</v>
      </c>
      <c r="E14" s="347">
        <f>SUM(E8:E12)</f>
        <v>200</v>
      </c>
    </row>
    <row r="15" spans="2:5" ht="15.75">
      <c r="B15" s="301" t="s">
        <v>682</v>
      </c>
      <c r="C15" s="347">
        <f>C14+C6</f>
        <v>2842</v>
      </c>
      <c r="D15" s="347">
        <f>D14+D6</f>
        <v>3042</v>
      </c>
      <c r="E15" s="347">
        <f>E14+E6</f>
        <v>3242</v>
      </c>
    </row>
    <row r="16" spans="2:5" ht="15.75">
      <c r="B16" s="152" t="s">
        <v>685</v>
      </c>
      <c r="C16" s="258"/>
      <c r="D16" s="258"/>
      <c r="E16" s="258"/>
    </row>
    <row r="17" spans="2:5" ht="15.75">
      <c r="B17" s="310" t="s">
        <v>167</v>
      </c>
      <c r="C17" s="93">
        <v>0</v>
      </c>
      <c r="D17" s="93">
        <v>0</v>
      </c>
      <c r="E17" s="93">
        <v>3242</v>
      </c>
    </row>
    <row r="18" spans="2:5" ht="15.75">
      <c r="B18" s="310"/>
      <c r="C18" s="93"/>
      <c r="D18" s="93"/>
      <c r="E18" s="93"/>
    </row>
    <row r="19" spans="2:5" ht="15.75">
      <c r="B19" s="310"/>
      <c r="C19" s="93"/>
      <c r="D19" s="93"/>
      <c r="E19" s="93"/>
    </row>
    <row r="20" spans="2:5" ht="15.75">
      <c r="B20" s="310"/>
      <c r="C20" s="93"/>
      <c r="D20" s="93"/>
      <c r="E20" s="93"/>
    </row>
    <row r="21" spans="2:5" ht="15.75">
      <c r="B21" s="310"/>
      <c r="C21" s="93"/>
      <c r="D21" s="93"/>
      <c r="E21" s="93"/>
    </row>
    <row r="22" spans="2:5" ht="15.75">
      <c r="B22" s="310"/>
      <c r="C22" s="93"/>
      <c r="D22" s="93"/>
      <c r="E22" s="93"/>
    </row>
    <row r="23" spans="2:5" ht="15.75">
      <c r="B23" s="310"/>
      <c r="C23" s="93"/>
      <c r="D23" s="93"/>
      <c r="E23" s="93"/>
    </row>
    <row r="24" spans="2:5" ht="15.75">
      <c r="B24" s="310"/>
      <c r="C24" s="93"/>
      <c r="D24" s="93"/>
      <c r="E24" s="93"/>
    </row>
    <row r="25" spans="2:5" ht="15.75">
      <c r="B25" s="310"/>
      <c r="C25" s="93"/>
      <c r="D25" s="93"/>
      <c r="E25" s="93"/>
    </row>
    <row r="26" spans="2:5" ht="15.75">
      <c r="B26" s="299" t="s">
        <v>911</v>
      </c>
      <c r="C26" s="93"/>
      <c r="D26" s="319"/>
      <c r="E26" s="319"/>
    </row>
    <row r="27" spans="2:5" ht="15.75">
      <c r="B27" s="299" t="s">
        <v>452</v>
      </c>
      <c r="C27" s="453">
        <f>IF(C28*0.1&lt;C26,"Exceed 10% Rule","")</f>
      </c>
      <c r="D27" s="300">
        <f>IF(D28*0.1&lt;D26,"Exceed 10% Rule","")</f>
      </c>
      <c r="E27" s="300">
        <f>IF(E28*0.1&lt;E26,"Exceed 10% Rule","")</f>
      </c>
    </row>
    <row r="28" spans="2:5" ht="15.75">
      <c r="B28" s="301" t="s">
        <v>686</v>
      </c>
      <c r="C28" s="347">
        <f>SUM(C17:C26)</f>
        <v>0</v>
      </c>
      <c r="D28" s="347">
        <f>SUM(D17:D26)</f>
        <v>0</v>
      </c>
      <c r="E28" s="347">
        <f>SUM(E17:E26)</f>
        <v>3242</v>
      </c>
    </row>
    <row r="29" spans="2:5" ht="15.75">
      <c r="B29" s="152" t="s">
        <v>790</v>
      </c>
      <c r="C29" s="97">
        <f>C15-C28</f>
        <v>2842</v>
      </c>
      <c r="D29" s="97">
        <f>D15-D28</f>
        <v>3042</v>
      </c>
      <c r="E29" s="97">
        <f>E15-E28</f>
        <v>0</v>
      </c>
    </row>
    <row r="30" spans="2:5" ht="15.75">
      <c r="B30" s="280" t="str">
        <f>CONCATENATE("",$E$1-2,"/",$E$1-1," Budget Authority Amount:")</f>
        <v>2013/2014 Budget Authority Amount:</v>
      </c>
      <c r="C30" s="272">
        <f>inputOth!B62</f>
        <v>119379</v>
      </c>
      <c r="D30" s="272">
        <f>inputPrYr!D52</f>
        <v>119379</v>
      </c>
      <c r="E30" s="471">
        <f>IF($E$29&lt;0,"See Tab E","")</f>
      </c>
    </row>
    <row r="31" spans="2:5" ht="15.75">
      <c r="B31" s="280"/>
      <c r="C31" s="314">
        <f>IF(C28&gt;C30,"See Tab A","")</f>
      </c>
      <c r="D31" s="314">
        <f>IF(D28&gt;D30,"See Tab C","")</f>
      </c>
      <c r="E31" s="126"/>
    </row>
    <row r="32" spans="2:5" ht="15.75">
      <c r="B32" s="280"/>
      <c r="C32" s="314">
        <f>IF(C29&lt;0,"See Tab B","")</f>
      </c>
      <c r="D32" s="314">
        <f>IF(D29&lt;0,"See Tab D","")</f>
      </c>
      <c r="E32" s="126"/>
    </row>
    <row r="33" spans="2:5" ht="15.75">
      <c r="B33" s="66"/>
      <c r="C33" s="126"/>
      <c r="D33" s="126"/>
      <c r="E33" s="126"/>
    </row>
    <row r="34" spans="2:5" ht="15.75">
      <c r="B34" s="65"/>
      <c r="C34" s="144"/>
      <c r="D34" s="144"/>
      <c r="E34" s="144"/>
    </row>
    <row r="35" spans="2:5" ht="15.75">
      <c r="B35" s="65" t="s">
        <v>672</v>
      </c>
      <c r="C35" s="334" t="str">
        <f aca="true" t="shared" si="0" ref="C35:E36">C4</f>
        <v>Prior Year </v>
      </c>
      <c r="D35" s="148" t="str">
        <f t="shared" si="0"/>
        <v>Current Year </v>
      </c>
      <c r="E35" s="148" t="str">
        <f t="shared" si="0"/>
        <v>Proposed Budget </v>
      </c>
    </row>
    <row r="36" spans="2:5" ht="15.75">
      <c r="B36" s="460" t="s">
        <v>230</v>
      </c>
      <c r="C36" s="305" t="str">
        <f t="shared" si="0"/>
        <v>Actual for 2013</v>
      </c>
      <c r="D36" s="305" t="str">
        <f t="shared" si="0"/>
        <v>Estimate for 2014</v>
      </c>
      <c r="E36" s="305" t="str">
        <f t="shared" si="0"/>
        <v>Year for 2015</v>
      </c>
    </row>
    <row r="37" spans="2:5" ht="15.75">
      <c r="B37" s="152" t="s">
        <v>789</v>
      </c>
      <c r="C37" s="93">
        <v>202</v>
      </c>
      <c r="D37" s="258">
        <f>C60</f>
        <v>0</v>
      </c>
      <c r="E37" s="258">
        <f>D60</f>
        <v>0</v>
      </c>
    </row>
    <row r="38" spans="2:5" ht="15.75">
      <c r="B38" s="152" t="s">
        <v>791</v>
      </c>
      <c r="C38" s="162"/>
      <c r="D38" s="162"/>
      <c r="E38" s="162"/>
    </row>
    <row r="39" spans="2:5" ht="15.75">
      <c r="B39" s="310" t="s">
        <v>231</v>
      </c>
      <c r="C39" s="93">
        <v>315</v>
      </c>
      <c r="D39" s="93">
        <v>1000</v>
      </c>
      <c r="E39" s="93">
        <v>1000</v>
      </c>
    </row>
    <row r="40" spans="2:5" ht="15.75">
      <c r="B40" s="310" t="s">
        <v>701</v>
      </c>
      <c r="C40" s="93" t="s">
        <v>701</v>
      </c>
      <c r="D40" s="93"/>
      <c r="E40" s="93">
        <v>0</v>
      </c>
    </row>
    <row r="41" spans="2:5" ht="15.75">
      <c r="B41" s="310"/>
      <c r="C41" s="93"/>
      <c r="D41" s="93"/>
      <c r="E41" s="93"/>
    </row>
    <row r="42" spans="2:5" ht="15.75">
      <c r="B42" s="298" t="s">
        <v>680</v>
      </c>
      <c r="C42" s="93"/>
      <c r="D42" s="93"/>
      <c r="E42" s="93"/>
    </row>
    <row r="43" spans="2:5" ht="15.75">
      <c r="B43" s="299" t="s">
        <v>911</v>
      </c>
      <c r="C43" s="93"/>
      <c r="D43" s="319"/>
      <c r="E43" s="319"/>
    </row>
    <row r="44" spans="2:5" ht="15.75">
      <c r="B44" s="299" t="s">
        <v>451</v>
      </c>
      <c r="C44" s="453">
        <f>IF(C45*0.1&lt;C43,"Exceed 10% Rule","")</f>
      </c>
      <c r="D44" s="300">
        <f>IF(D45*0.1&lt;D43,"Exceed 10% Rule","")</f>
      </c>
      <c r="E44" s="300">
        <f>IF(E45*0.1&lt;E43,"Exceed 10% Rule","")</f>
      </c>
    </row>
    <row r="45" spans="2:5" ht="15.75">
      <c r="B45" s="301" t="s">
        <v>681</v>
      </c>
      <c r="C45" s="347">
        <f>SUM(C39:C43)</f>
        <v>315</v>
      </c>
      <c r="D45" s="347">
        <f>SUM(D39:D43)</f>
        <v>1000</v>
      </c>
      <c r="E45" s="347">
        <f>SUM(E39:E43)</f>
        <v>1000</v>
      </c>
    </row>
    <row r="46" spans="2:5" ht="15.75">
      <c r="B46" s="301" t="s">
        <v>682</v>
      </c>
      <c r="C46" s="347">
        <f>C37+C45</f>
        <v>517</v>
      </c>
      <c r="D46" s="347">
        <f>D37+D45</f>
        <v>1000</v>
      </c>
      <c r="E46" s="347">
        <f>E37+E45</f>
        <v>1000</v>
      </c>
    </row>
    <row r="47" spans="2:5" ht="15.75">
      <c r="B47" s="152" t="s">
        <v>685</v>
      </c>
      <c r="C47" s="258"/>
      <c r="D47" s="258"/>
      <c r="E47" s="258"/>
    </row>
    <row r="48" spans="2:5" ht="15.75">
      <c r="B48" s="310" t="s">
        <v>232</v>
      </c>
      <c r="C48" s="93">
        <v>517</v>
      </c>
      <c r="D48" s="93">
        <v>1000</v>
      </c>
      <c r="E48" s="93">
        <v>1000</v>
      </c>
    </row>
    <row r="49" spans="2:5" ht="15.75">
      <c r="B49" s="310"/>
      <c r="C49" s="93"/>
      <c r="D49" s="93"/>
      <c r="E49" s="93"/>
    </row>
    <row r="50" spans="2:5" ht="15.75">
      <c r="B50" s="310"/>
      <c r="C50" s="93"/>
      <c r="D50" s="93"/>
      <c r="E50" s="93"/>
    </row>
    <row r="51" spans="2:5" ht="15.75">
      <c r="B51" s="310"/>
      <c r="C51" s="93"/>
      <c r="D51" s="93"/>
      <c r="E51" s="93"/>
    </row>
    <row r="52" spans="2:5" ht="15.75">
      <c r="B52" s="310"/>
      <c r="C52" s="93"/>
      <c r="D52" s="93"/>
      <c r="E52" s="93"/>
    </row>
    <row r="53" spans="2:5" ht="15.75">
      <c r="B53" s="310"/>
      <c r="C53" s="93"/>
      <c r="D53" s="93"/>
      <c r="E53" s="93"/>
    </row>
    <row r="54" spans="2:5" ht="15.75">
      <c r="B54" s="310"/>
      <c r="C54" s="93"/>
      <c r="D54" s="93"/>
      <c r="E54" s="93"/>
    </row>
    <row r="55" spans="2:5" ht="15.75">
      <c r="B55" s="310"/>
      <c r="C55" s="93"/>
      <c r="D55" s="93"/>
      <c r="E55" s="93"/>
    </row>
    <row r="56" spans="2:5" ht="15.75">
      <c r="B56" s="310"/>
      <c r="C56" s="93"/>
      <c r="D56" s="93"/>
      <c r="E56" s="93"/>
    </row>
    <row r="57" spans="2:5" ht="15.75">
      <c r="B57" s="299" t="s">
        <v>911</v>
      </c>
      <c r="C57" s="93"/>
      <c r="D57" s="319"/>
      <c r="E57" s="319"/>
    </row>
    <row r="58" spans="2:5" ht="15.75">
      <c r="B58" s="299" t="s">
        <v>452</v>
      </c>
      <c r="C58" s="453">
        <f>IF(C59*0.1&lt;C57,"Exceed 10% Rule","")</f>
      </c>
      <c r="D58" s="300">
        <f>IF(D59*0.1&lt;D57,"Exceed 10% Rule","")</f>
      </c>
      <c r="E58" s="300">
        <f>IF(E59*0.1&lt;E57,"Exceed 10% Rule","")</f>
      </c>
    </row>
    <row r="59" spans="2:5" ht="15.75">
      <c r="B59" s="301" t="s">
        <v>686</v>
      </c>
      <c r="C59" s="347">
        <f>SUM(C48:C57)</f>
        <v>517</v>
      </c>
      <c r="D59" s="347">
        <f>SUM(D48:D57)</f>
        <v>1000</v>
      </c>
      <c r="E59" s="347">
        <f>SUM(E48:E57)</f>
        <v>1000</v>
      </c>
    </row>
    <row r="60" spans="2:5" ht="15.75">
      <c r="B60" s="152" t="s">
        <v>790</v>
      </c>
      <c r="C60" s="97">
        <f>C46-C59</f>
        <v>0</v>
      </c>
      <c r="D60" s="97">
        <f>D46-D59</f>
        <v>0</v>
      </c>
      <c r="E60" s="97">
        <f>E46-E59</f>
        <v>0</v>
      </c>
    </row>
    <row r="61" spans="2:5" ht="15.75">
      <c r="B61" s="280" t="str">
        <f>CONCATENATE("",$E$1-2,"/",$E$1-1," Budget Authority Amount:")</f>
        <v>2013/2014 Budget Authority Amount:</v>
      </c>
      <c r="C61" s="272">
        <v>500</v>
      </c>
      <c r="D61" s="272">
        <v>1702</v>
      </c>
      <c r="E61" s="461">
        <f>IF($E$60&lt;0,"See Tab E","")</f>
      </c>
    </row>
    <row r="62" spans="2:5" ht="15.75">
      <c r="B62" s="280"/>
      <c r="C62" s="314" t="str">
        <f>IF(C59&gt;C61,"See Tab A","")</f>
        <v>See Tab A</v>
      </c>
      <c r="D62" s="314">
        <f>IF(D59&gt;D61,"See Tab C","")</f>
      </c>
      <c r="E62" s="66"/>
    </row>
    <row r="63" spans="2:5" ht="15.75">
      <c r="B63" s="280"/>
      <c r="C63" s="314">
        <f>IF(C60&lt;0,"See Tab B","")</f>
      </c>
      <c r="D63" s="314">
        <f>IF(D60&lt;0,"See Tab D","")</f>
      </c>
      <c r="E63" s="66"/>
    </row>
    <row r="64" spans="2:5" ht="15.75">
      <c r="B64" s="66"/>
      <c r="C64" s="66"/>
      <c r="D64" s="66"/>
      <c r="E64" s="66"/>
    </row>
    <row r="65" spans="2:5" ht="15.75">
      <c r="B65" s="315" t="s">
        <v>700</v>
      </c>
      <c r="C65" s="333">
        <v>22</v>
      </c>
      <c r="D65" s="66"/>
      <c r="E65" s="66"/>
    </row>
  </sheetData>
  <sheetProtection sheet="1" objects="1" scenarios="1"/>
  <conditionalFormatting sqref="C43">
    <cfRule type="cellIs" priority="19" dxfId="309" operator="greaterThan" stopIfTrue="1">
      <formula>$C$45*0.1</formula>
    </cfRule>
  </conditionalFormatting>
  <conditionalFormatting sqref="D43">
    <cfRule type="cellIs" priority="18" dxfId="309" operator="greaterThan" stopIfTrue="1">
      <formula>$D$45*0.1</formula>
    </cfRule>
  </conditionalFormatting>
  <conditionalFormatting sqref="E43">
    <cfRule type="cellIs" priority="17" dxfId="309" operator="greaterThan" stopIfTrue="1">
      <formula>$E$45*0.1</formula>
    </cfRule>
  </conditionalFormatting>
  <conditionalFormatting sqref="C57">
    <cfRule type="cellIs" priority="16" dxfId="309" operator="greaterThan" stopIfTrue="1">
      <formula>$C$59*0.1</formula>
    </cfRule>
  </conditionalFormatting>
  <conditionalFormatting sqref="D57">
    <cfRule type="cellIs" priority="15" dxfId="309" operator="greaterThan" stopIfTrue="1">
      <formula>$D$59*0.1</formula>
    </cfRule>
  </conditionalFormatting>
  <conditionalFormatting sqref="E57">
    <cfRule type="cellIs" priority="14" dxfId="309" operator="greaterThan" stopIfTrue="1">
      <formula>$E$59*0.1</formula>
    </cfRule>
  </conditionalFormatting>
  <conditionalFormatting sqref="C26">
    <cfRule type="cellIs" priority="13" dxfId="309" operator="greaterThan" stopIfTrue="1">
      <formula>$C$28*0.1</formula>
    </cfRule>
  </conditionalFormatting>
  <conditionalFormatting sqref="D26">
    <cfRule type="cellIs" priority="12" dxfId="309" operator="greaterThan" stopIfTrue="1">
      <formula>$D$28*0.1</formula>
    </cfRule>
  </conditionalFormatting>
  <conditionalFormatting sqref="E26">
    <cfRule type="cellIs" priority="11" dxfId="309" operator="greaterThan" stopIfTrue="1">
      <formula>$E$28*0.1</formula>
    </cfRule>
  </conditionalFormatting>
  <conditionalFormatting sqref="C12">
    <cfRule type="cellIs" priority="10" dxfId="309" operator="greaterThan" stopIfTrue="1">
      <formula>$C$14*0.1</formula>
    </cfRule>
  </conditionalFormatting>
  <conditionalFormatting sqref="D12">
    <cfRule type="cellIs" priority="9" dxfId="309" operator="greaterThan" stopIfTrue="1">
      <formula>$D$14*0.1</formula>
    </cfRule>
  </conditionalFormatting>
  <conditionalFormatting sqref="E12">
    <cfRule type="cellIs" priority="8" dxfId="309" operator="greaterThan" stopIfTrue="1">
      <formula>$E$14*0.1</formula>
    </cfRule>
  </conditionalFormatting>
  <conditionalFormatting sqref="E60 E29 C29 C60">
    <cfRule type="cellIs" priority="7" dxfId="2" operator="lessThan" stopIfTrue="1">
      <formula>0</formula>
    </cfRule>
  </conditionalFormatting>
  <conditionalFormatting sqref="C28">
    <cfRule type="cellIs" priority="6" dxfId="2" operator="greaterThan" stopIfTrue="1">
      <formula>$C$30</formula>
    </cfRule>
  </conditionalFormatting>
  <conditionalFormatting sqref="D28">
    <cfRule type="cellIs" priority="5" dxfId="2" operator="greaterThan" stopIfTrue="1">
      <formula>$D$30</formula>
    </cfRule>
  </conditionalFormatting>
  <conditionalFormatting sqref="D59">
    <cfRule type="cellIs" priority="4" dxfId="2" operator="greaterThan" stopIfTrue="1">
      <formula>$D$61</formula>
    </cfRule>
  </conditionalFormatting>
  <conditionalFormatting sqref="C59">
    <cfRule type="cellIs" priority="3" dxfId="2" operator="greaterThan" stopIfTrue="1">
      <formula>$C$61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
    </sheetView>
  </sheetViews>
  <sheetFormatPr defaultColWidth="8.796875" defaultRowHeight="15" customHeight="1"/>
  <cols>
    <col min="1" max="1" width="11.59765625" style="52" customWidth="1"/>
    <col min="2" max="2" width="7.3984375" style="52" customWidth="1"/>
    <col min="3" max="3" width="11.59765625" style="52" customWidth="1"/>
    <col min="4" max="4" width="7.3984375" style="52" customWidth="1"/>
    <col min="5" max="5" width="11.59765625" style="52" customWidth="1"/>
    <col min="6" max="6" width="7.3984375" style="52" customWidth="1"/>
    <col min="7" max="7" width="11.59765625" style="52" customWidth="1"/>
    <col min="8" max="8" width="7.3984375" style="52" customWidth="1"/>
    <col min="9" max="9" width="11.59765625" style="52" customWidth="1"/>
    <col min="10" max="16384" width="8.8984375" style="52" customWidth="1"/>
  </cols>
  <sheetData>
    <row r="1" spans="1:11" ht="15" customHeight="1">
      <c r="A1" s="124" t="str">
        <f>inputPrYr!$C$3</f>
        <v>Montgomery County</v>
      </c>
      <c r="B1" s="227"/>
      <c r="C1" s="107"/>
      <c r="D1" s="107"/>
      <c r="E1" s="107"/>
      <c r="F1" s="350" t="s">
        <v>892</v>
      </c>
      <c r="G1" s="107"/>
      <c r="H1" s="107"/>
      <c r="I1" s="107"/>
      <c r="J1" s="107"/>
      <c r="K1" s="107">
        <f>inputPrYr!$C$5</f>
        <v>2015</v>
      </c>
    </row>
    <row r="2" spans="1:11" ht="15" customHeight="1">
      <c r="A2" s="107"/>
      <c r="B2" s="107"/>
      <c r="C2" s="107"/>
      <c r="D2" s="107"/>
      <c r="E2" s="107"/>
      <c r="F2" s="351" t="str">
        <f>CONCATENATE("(Only the actual budget year for ",K1-2," is to be shown)")</f>
        <v>(Only the actual budget year for 2013 is to be shown)</v>
      </c>
      <c r="G2" s="107"/>
      <c r="H2" s="107"/>
      <c r="I2" s="107"/>
      <c r="J2" s="107"/>
      <c r="K2" s="107"/>
    </row>
    <row r="3" spans="1:11" ht="15" customHeight="1">
      <c r="A3" s="107" t="s">
        <v>870</v>
      </c>
      <c r="B3" s="107"/>
      <c r="C3" s="107"/>
      <c r="D3" s="107"/>
      <c r="E3" s="107"/>
      <c r="F3" s="227"/>
      <c r="G3" s="107"/>
      <c r="H3" s="107"/>
      <c r="I3" s="107"/>
      <c r="J3" s="107"/>
      <c r="K3" s="107"/>
    </row>
    <row r="4" spans="1:11" ht="15" customHeight="1">
      <c r="A4" s="107" t="s">
        <v>863</v>
      </c>
      <c r="B4" s="107"/>
      <c r="C4" s="107" t="s">
        <v>864</v>
      </c>
      <c r="D4" s="107"/>
      <c r="E4" s="107" t="s">
        <v>865</v>
      </c>
      <c r="F4" s="227"/>
      <c r="G4" s="107" t="s">
        <v>866</v>
      </c>
      <c r="H4" s="107"/>
      <c r="I4" s="107" t="s">
        <v>867</v>
      </c>
      <c r="J4" s="107"/>
      <c r="K4" s="107"/>
    </row>
    <row r="5" spans="1:11" ht="15" customHeight="1">
      <c r="A5" s="760" t="str">
        <f>inputPrYr!B57</f>
        <v>Special Hwy Improvement</v>
      </c>
      <c r="B5" s="761"/>
      <c r="C5" s="760" t="str">
        <f>inputPrYr!B58</f>
        <v>Special Machinery</v>
      </c>
      <c r="D5" s="761"/>
      <c r="E5" s="760" t="str">
        <f>inputPrYr!B59</f>
        <v>Community Corrections</v>
      </c>
      <c r="F5" s="761"/>
      <c r="G5" s="760" t="str">
        <f>inputPrYr!B60</f>
        <v>GIS Tech Fund</v>
      </c>
      <c r="H5" s="761"/>
      <c r="I5" s="760" t="str">
        <f>inputPrYr!B61</f>
        <v>Tech Fund-Reg. of Deeds</v>
      </c>
      <c r="J5" s="761"/>
      <c r="K5" s="353"/>
    </row>
    <row r="6" spans="1:11" ht="15" customHeight="1">
      <c r="A6" s="354" t="s">
        <v>868</v>
      </c>
      <c r="B6" s="355"/>
      <c r="C6" s="356" t="s">
        <v>868</v>
      </c>
      <c r="D6" s="357"/>
      <c r="E6" s="356" t="s">
        <v>868</v>
      </c>
      <c r="F6" s="352"/>
      <c r="G6" s="356" t="s">
        <v>868</v>
      </c>
      <c r="H6" s="358"/>
      <c r="I6" s="356" t="s">
        <v>868</v>
      </c>
      <c r="J6" s="107"/>
      <c r="K6" s="359" t="s">
        <v>644</v>
      </c>
    </row>
    <row r="7" spans="1:11" ht="15" customHeight="1">
      <c r="A7" s="360" t="s">
        <v>950</v>
      </c>
      <c r="B7" s="361">
        <v>237817</v>
      </c>
      <c r="C7" s="362"/>
      <c r="D7" s="361">
        <v>435899</v>
      </c>
      <c r="E7" s="362"/>
      <c r="F7" s="361">
        <v>15040</v>
      </c>
      <c r="G7" s="362"/>
      <c r="H7" s="361">
        <v>0</v>
      </c>
      <c r="I7" s="362"/>
      <c r="J7" s="361">
        <v>61616</v>
      </c>
      <c r="K7" s="363">
        <f>SUM(B7+D7+F7+H7+J7)</f>
        <v>750372</v>
      </c>
    </row>
    <row r="8" spans="1:11" ht="15" customHeight="1">
      <c r="A8" s="364" t="s">
        <v>791</v>
      </c>
      <c r="B8" s="365"/>
      <c r="C8" s="364"/>
      <c r="D8" s="366"/>
      <c r="E8" s="364"/>
      <c r="F8" s="227"/>
      <c r="G8" s="364"/>
      <c r="H8" s="107"/>
      <c r="I8" s="364"/>
      <c r="J8" s="107"/>
      <c r="K8" s="227"/>
    </row>
    <row r="9" spans="1:11" ht="15" customHeight="1">
      <c r="A9" s="367" t="s">
        <v>701</v>
      </c>
      <c r="B9" s="361">
        <v>0</v>
      </c>
      <c r="C9" s="367"/>
      <c r="D9" s="361">
        <v>0</v>
      </c>
      <c r="E9" s="367" t="s">
        <v>225</v>
      </c>
      <c r="F9" s="361">
        <v>340389</v>
      </c>
      <c r="G9" s="367"/>
      <c r="H9" s="361">
        <v>0</v>
      </c>
      <c r="I9" s="367" t="s">
        <v>213</v>
      </c>
      <c r="J9" s="361">
        <v>37796</v>
      </c>
      <c r="K9" s="227"/>
    </row>
    <row r="10" spans="1:11" ht="15" customHeight="1">
      <c r="A10" s="367"/>
      <c r="B10" s="361"/>
      <c r="C10" s="367"/>
      <c r="D10" s="361"/>
      <c r="E10" s="367" t="s">
        <v>226</v>
      </c>
      <c r="F10" s="361">
        <v>8405</v>
      </c>
      <c r="G10" s="367"/>
      <c r="H10" s="361"/>
      <c r="I10" s="367" t="s">
        <v>732</v>
      </c>
      <c r="J10" s="361">
        <v>31</v>
      </c>
      <c r="K10" s="227"/>
    </row>
    <row r="11" spans="1:11" ht="15" customHeight="1">
      <c r="A11" s="367"/>
      <c r="B11" s="361"/>
      <c r="C11" s="368"/>
      <c r="D11" s="361"/>
      <c r="E11" s="368"/>
      <c r="F11" s="361"/>
      <c r="G11" s="368"/>
      <c r="H11" s="361"/>
      <c r="I11" s="369"/>
      <c r="J11" s="361"/>
      <c r="K11" s="227"/>
    </row>
    <row r="12" spans="1:11" ht="15" customHeight="1">
      <c r="A12" s="367"/>
      <c r="B12" s="361"/>
      <c r="C12" s="367"/>
      <c r="D12" s="361"/>
      <c r="E12" s="370"/>
      <c r="F12" s="361"/>
      <c r="G12" s="370"/>
      <c r="H12" s="361"/>
      <c r="I12" s="370"/>
      <c r="J12" s="361"/>
      <c r="K12" s="227"/>
    </row>
    <row r="13" spans="1:11" ht="15" customHeight="1">
      <c r="A13" s="371"/>
      <c r="B13" s="361"/>
      <c r="C13" s="372"/>
      <c r="D13" s="361"/>
      <c r="E13" s="372"/>
      <c r="F13" s="361"/>
      <c r="G13" s="372"/>
      <c r="H13" s="361"/>
      <c r="I13" s="369"/>
      <c r="J13" s="361"/>
      <c r="K13" s="227"/>
    </row>
    <row r="14" spans="1:11" ht="15" customHeight="1">
      <c r="A14" s="367"/>
      <c r="B14" s="361"/>
      <c r="C14" s="370"/>
      <c r="D14" s="361"/>
      <c r="E14" s="370"/>
      <c r="F14" s="361"/>
      <c r="G14" s="370"/>
      <c r="H14" s="361"/>
      <c r="I14" s="370"/>
      <c r="J14" s="361"/>
      <c r="K14" s="227"/>
    </row>
    <row r="15" spans="1:11" ht="15" customHeight="1">
      <c r="A15" s="367"/>
      <c r="B15" s="361"/>
      <c r="C15" s="370"/>
      <c r="D15" s="361"/>
      <c r="E15" s="370"/>
      <c r="F15" s="361"/>
      <c r="G15" s="370"/>
      <c r="H15" s="361"/>
      <c r="I15" s="370"/>
      <c r="J15" s="361"/>
      <c r="K15" s="227"/>
    </row>
    <row r="16" spans="1:11" ht="15" customHeight="1">
      <c r="A16" s="367"/>
      <c r="B16" s="361"/>
      <c r="C16" s="367"/>
      <c r="D16" s="361"/>
      <c r="E16" s="367"/>
      <c r="F16" s="361"/>
      <c r="G16" s="370"/>
      <c r="H16" s="361"/>
      <c r="I16" s="367"/>
      <c r="J16" s="361"/>
      <c r="K16" s="227"/>
    </row>
    <row r="17" spans="1:11" ht="15" customHeight="1">
      <c r="A17" s="364" t="s">
        <v>681</v>
      </c>
      <c r="B17" s="363">
        <v>0</v>
      </c>
      <c r="C17" s="364"/>
      <c r="D17" s="363">
        <v>0</v>
      </c>
      <c r="E17" s="364"/>
      <c r="F17" s="436">
        <v>348774</v>
      </c>
      <c r="G17" s="364"/>
      <c r="H17" s="363">
        <v>0</v>
      </c>
      <c r="I17" s="364"/>
      <c r="J17" s="363">
        <v>37827</v>
      </c>
      <c r="K17" s="363">
        <f>SUM(B17+D17+F17+H17+J17)</f>
        <v>386601</v>
      </c>
    </row>
    <row r="18" spans="1:11" ht="15" customHeight="1">
      <c r="A18" s="364" t="s">
        <v>682</v>
      </c>
      <c r="B18" s="363">
        <v>237817</v>
      </c>
      <c r="C18" s="364"/>
      <c r="D18" s="363">
        <v>435899</v>
      </c>
      <c r="E18" s="364"/>
      <c r="F18" s="363">
        <v>363834</v>
      </c>
      <c r="G18" s="364"/>
      <c r="H18" s="363">
        <v>0</v>
      </c>
      <c r="I18" s="364"/>
      <c r="J18" s="363">
        <v>99443</v>
      </c>
      <c r="K18" s="363">
        <f>SUM(B18+D18+F18+H18+J18)</f>
        <v>1136993</v>
      </c>
    </row>
    <row r="19" spans="1:11" ht="15" customHeight="1">
      <c r="A19" s="364" t="s">
        <v>685</v>
      </c>
      <c r="B19" s="365"/>
      <c r="C19" s="364"/>
      <c r="D19" s="366"/>
      <c r="E19" s="364"/>
      <c r="F19" s="227"/>
      <c r="G19" s="364"/>
      <c r="H19" s="107"/>
      <c r="I19" s="364"/>
      <c r="J19" s="107"/>
      <c r="K19" s="227"/>
    </row>
    <row r="20" spans="1:11" ht="15" customHeight="1">
      <c r="A20" s="367"/>
      <c r="B20" s="361">
        <v>0</v>
      </c>
      <c r="C20" s="370"/>
      <c r="D20" s="361">
        <v>0</v>
      </c>
      <c r="E20" s="370" t="s">
        <v>166</v>
      </c>
      <c r="F20" s="361">
        <v>158927</v>
      </c>
      <c r="G20" s="370"/>
      <c r="H20" s="361">
        <v>0</v>
      </c>
      <c r="I20" s="370" t="s">
        <v>167</v>
      </c>
      <c r="J20" s="361">
        <v>3120</v>
      </c>
      <c r="K20" s="227"/>
    </row>
    <row r="21" spans="1:11" ht="15" customHeight="1">
      <c r="A21" s="367"/>
      <c r="B21" s="361"/>
      <c r="C21" s="370"/>
      <c r="D21" s="361"/>
      <c r="E21" s="370" t="s">
        <v>167</v>
      </c>
      <c r="F21" s="361">
        <v>112671</v>
      </c>
      <c r="G21" s="370"/>
      <c r="H21" s="361"/>
      <c r="I21" s="370" t="s">
        <v>168</v>
      </c>
      <c r="J21" s="361">
        <v>5518</v>
      </c>
      <c r="K21" s="227"/>
    </row>
    <row r="22" spans="1:11" ht="15" customHeight="1">
      <c r="A22" s="367"/>
      <c r="B22" s="361"/>
      <c r="C22" s="372"/>
      <c r="D22" s="361"/>
      <c r="E22" s="372" t="s">
        <v>168</v>
      </c>
      <c r="F22" s="361">
        <v>4106</v>
      </c>
      <c r="G22" s="372"/>
      <c r="H22" s="361"/>
      <c r="I22" s="369" t="s">
        <v>227</v>
      </c>
      <c r="J22" s="361">
        <v>45000</v>
      </c>
      <c r="K22" s="227"/>
    </row>
    <row r="23" spans="1:11" ht="15" customHeight="1">
      <c r="A23" s="367"/>
      <c r="B23" s="361"/>
      <c r="C23" s="370"/>
      <c r="D23" s="361"/>
      <c r="E23" s="370" t="s">
        <v>169</v>
      </c>
      <c r="F23" s="361">
        <v>109</v>
      </c>
      <c r="G23" s="370"/>
      <c r="H23" s="361"/>
      <c r="I23" s="370"/>
      <c r="J23" s="361"/>
      <c r="K23" s="227"/>
    </row>
    <row r="24" spans="1:11" ht="15" customHeight="1">
      <c r="A24" s="367"/>
      <c r="B24" s="361"/>
      <c r="C24" s="372"/>
      <c r="D24" s="361"/>
      <c r="E24" s="372"/>
      <c r="F24" s="361"/>
      <c r="G24" s="372"/>
      <c r="H24" s="361"/>
      <c r="I24" s="369"/>
      <c r="J24" s="361"/>
      <c r="K24" s="227"/>
    </row>
    <row r="25" spans="1:11" ht="15" customHeight="1">
      <c r="A25" s="367"/>
      <c r="B25" s="361"/>
      <c r="C25" s="370"/>
      <c r="D25" s="361"/>
      <c r="E25" s="370"/>
      <c r="F25" s="361"/>
      <c r="G25" s="370"/>
      <c r="H25" s="361"/>
      <c r="I25" s="370"/>
      <c r="J25" s="361"/>
      <c r="K25" s="227"/>
    </row>
    <row r="26" spans="1:11" ht="15" customHeight="1">
      <c r="A26" s="367"/>
      <c r="B26" s="361"/>
      <c r="C26" s="370"/>
      <c r="D26" s="361"/>
      <c r="E26" s="370"/>
      <c r="F26" s="361"/>
      <c r="G26" s="370"/>
      <c r="H26" s="361"/>
      <c r="I26" s="370"/>
      <c r="J26" s="361"/>
      <c r="K26" s="227"/>
    </row>
    <row r="27" spans="1:11" ht="15" customHeight="1">
      <c r="A27" s="367"/>
      <c r="B27" s="361"/>
      <c r="C27" s="367"/>
      <c r="D27" s="361"/>
      <c r="E27" s="367"/>
      <c r="F27" s="361"/>
      <c r="G27" s="370"/>
      <c r="H27" s="361"/>
      <c r="I27" s="370"/>
      <c r="J27" s="361"/>
      <c r="K27" s="227"/>
    </row>
    <row r="28" spans="1:11" ht="15" customHeight="1">
      <c r="A28" s="364" t="s">
        <v>686</v>
      </c>
      <c r="B28" s="363">
        <v>0</v>
      </c>
      <c r="C28" s="364"/>
      <c r="D28" s="363">
        <v>0</v>
      </c>
      <c r="E28" s="364"/>
      <c r="F28" s="436">
        <v>275813</v>
      </c>
      <c r="G28" s="364"/>
      <c r="H28" s="436">
        <v>0</v>
      </c>
      <c r="I28" s="364"/>
      <c r="J28" s="363">
        <v>53638</v>
      </c>
      <c r="K28" s="363">
        <f>SUM(B28+D28+F28+H28+J28)</f>
        <v>329451</v>
      </c>
    </row>
    <row r="29" spans="1:12" ht="15" customHeight="1">
      <c r="A29" s="364" t="s">
        <v>869</v>
      </c>
      <c r="B29" s="363">
        <v>237817</v>
      </c>
      <c r="C29" s="364"/>
      <c r="D29" s="363">
        <v>435899</v>
      </c>
      <c r="E29" s="364"/>
      <c r="F29" s="363">
        <v>88021</v>
      </c>
      <c r="G29" s="364"/>
      <c r="H29" s="363">
        <v>0</v>
      </c>
      <c r="I29" s="364"/>
      <c r="J29" s="363">
        <v>45805</v>
      </c>
      <c r="K29" s="373">
        <f>SUM(B29+D29+F29+H29+J29)</f>
        <v>807542</v>
      </c>
      <c r="L29" s="52" t="s">
        <v>895</v>
      </c>
    </row>
    <row r="30" spans="1:12" ht="15" customHeight="1">
      <c r="A30" s="364"/>
      <c r="B30" s="374">
        <f>IF(B29&lt;0,"See Tab B","")</f>
      </c>
      <c r="C30" s="364"/>
      <c r="D30" s="374">
        <f>IF(D29&lt;0,"See Tab B","")</f>
      </c>
      <c r="E30" s="364"/>
      <c r="F30" s="374">
        <f>IF(F29&lt;0,"See Tab B","")</f>
      </c>
      <c r="G30" s="107"/>
      <c r="H30" s="374">
        <v>0</v>
      </c>
      <c r="I30" s="107"/>
      <c r="J30" s="374">
        <f>IF(J29&lt;0,"See Tab B","")</f>
      </c>
      <c r="K30" s="373">
        <v>807542</v>
      </c>
      <c r="L30" s="52" t="s">
        <v>895</v>
      </c>
    </row>
    <row r="31" spans="1:11" ht="15" customHeight="1">
      <c r="A31" s="107"/>
      <c r="B31" s="206"/>
      <c r="C31" s="107"/>
      <c r="D31" s="227"/>
      <c r="E31" s="107"/>
      <c r="F31" s="107"/>
      <c r="G31" s="61" t="s">
        <v>898</v>
      </c>
      <c r="H31" s="61"/>
      <c r="I31" s="61"/>
      <c r="J31" s="61"/>
      <c r="K31" s="107"/>
    </row>
    <row r="32" spans="1:11" ht="15" customHeight="1">
      <c r="A32" s="107"/>
      <c r="B32" s="206"/>
      <c r="C32" s="107"/>
      <c r="D32" s="107"/>
      <c r="E32" s="107"/>
      <c r="F32" s="107"/>
      <c r="G32" s="107"/>
      <c r="H32" s="107"/>
      <c r="I32" s="107"/>
      <c r="J32" s="107"/>
      <c r="K32" s="107"/>
    </row>
    <row r="33" spans="1:11" ht="15" customHeight="1">
      <c r="A33" s="107"/>
      <c r="B33" s="206"/>
      <c r="C33" s="107"/>
      <c r="D33" s="107"/>
      <c r="E33" s="315" t="s">
        <v>700</v>
      </c>
      <c r="F33" s="333">
        <v>23</v>
      </c>
      <c r="G33" s="107"/>
      <c r="H33" s="107"/>
      <c r="I33" s="107"/>
      <c r="J33" s="107"/>
      <c r="K33" s="107"/>
    </row>
    <row r="34" ht="15" customHeight="1">
      <c r="B34" s="375"/>
    </row>
    <row r="35" ht="15" customHeight="1">
      <c r="B35" s="375"/>
    </row>
    <row r="36" ht="15" customHeight="1">
      <c r="B36" s="375"/>
    </row>
    <row r="37" ht="15" customHeight="1">
      <c r="B37" s="375"/>
    </row>
    <row r="38" ht="15" customHeight="1">
      <c r="B38" s="375"/>
    </row>
    <row r="39" ht="15" customHeight="1">
      <c r="B39" s="375"/>
    </row>
    <row r="40" ht="15" customHeight="1">
      <c r="B40" s="375"/>
    </row>
    <row r="41" ht="15" customHeight="1">
      <c r="B41" s="37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County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M33" sqref="M33"/>
    </sheetView>
  </sheetViews>
  <sheetFormatPr defaultColWidth="8.796875" defaultRowHeight="15" customHeight="1"/>
  <cols>
    <col min="1" max="1" width="11.59765625" style="52" customWidth="1"/>
    <col min="2" max="2" width="7.3984375" style="52" customWidth="1"/>
    <col min="3" max="3" width="11.59765625" style="52" customWidth="1"/>
    <col min="4" max="4" width="7.3984375" style="52" customWidth="1"/>
    <col min="5" max="5" width="11.59765625" style="52" customWidth="1"/>
    <col min="6" max="6" width="7.3984375" style="52" customWidth="1"/>
    <col min="7" max="7" width="11.59765625" style="52" customWidth="1"/>
    <col min="8" max="8" width="7.3984375" style="52" customWidth="1"/>
    <col min="9" max="9" width="11.59765625" style="52" customWidth="1"/>
    <col min="10" max="16384" width="8.8984375" style="52" customWidth="1"/>
  </cols>
  <sheetData>
    <row r="1" spans="1:11" ht="15" customHeight="1">
      <c r="A1" s="124" t="str">
        <f>inputPrYr!$C$3</f>
        <v>Montgomery County</v>
      </c>
      <c r="B1" s="227"/>
      <c r="C1" s="107"/>
      <c r="D1" s="107"/>
      <c r="E1" s="107"/>
      <c r="F1" s="350" t="s">
        <v>892</v>
      </c>
      <c r="G1" s="107"/>
      <c r="H1" s="107"/>
      <c r="I1" s="107"/>
      <c r="J1" s="107"/>
      <c r="K1" s="107">
        <f>inputPrYr!$C$5</f>
        <v>2015</v>
      </c>
    </row>
    <row r="2" spans="1:11" ht="15" customHeight="1">
      <c r="A2" s="107"/>
      <c r="B2" s="107"/>
      <c r="C2" s="107"/>
      <c r="D2" s="107"/>
      <c r="E2" s="107"/>
      <c r="F2" s="351" t="str">
        <f>CONCATENATE("(Only the actual budget year for ",K1-2," is to be shown)")</f>
        <v>(Only the actual budget year for 2013 is to be shown)</v>
      </c>
      <c r="G2" s="107"/>
      <c r="H2" s="107"/>
      <c r="I2" s="107"/>
      <c r="J2" s="107"/>
      <c r="K2" s="107"/>
    </row>
    <row r="3" spans="1:11" ht="15" customHeight="1">
      <c r="A3" s="107" t="s">
        <v>870</v>
      </c>
      <c r="B3" s="107"/>
      <c r="C3" s="107"/>
      <c r="D3" s="107"/>
      <c r="E3" s="107"/>
      <c r="F3" s="227"/>
      <c r="G3" s="107"/>
      <c r="H3" s="107"/>
      <c r="I3" s="107"/>
      <c r="J3" s="107"/>
      <c r="K3" s="107"/>
    </row>
    <row r="4" spans="1:11" ht="15" customHeight="1">
      <c r="A4" s="107" t="s">
        <v>863</v>
      </c>
      <c r="B4" s="107"/>
      <c r="C4" s="107" t="s">
        <v>864</v>
      </c>
      <c r="D4" s="107"/>
      <c r="E4" s="107" t="s">
        <v>865</v>
      </c>
      <c r="F4" s="227"/>
      <c r="G4" s="107" t="s">
        <v>866</v>
      </c>
      <c r="H4" s="107"/>
      <c r="I4" s="107" t="s">
        <v>867</v>
      </c>
      <c r="J4" s="107"/>
      <c r="K4" s="107"/>
    </row>
    <row r="5" spans="1:11" ht="15" customHeight="1">
      <c r="A5" s="760" t="s">
        <v>233</v>
      </c>
      <c r="B5" s="761"/>
      <c r="C5" s="760" t="s">
        <v>234</v>
      </c>
      <c r="D5" s="761"/>
      <c r="E5" s="760" t="s">
        <v>701</v>
      </c>
      <c r="F5" s="761"/>
      <c r="G5" s="760" t="s">
        <v>701</v>
      </c>
      <c r="H5" s="761"/>
      <c r="I5" s="760" t="s">
        <v>701</v>
      </c>
      <c r="J5" s="761"/>
      <c r="K5" s="353"/>
    </row>
    <row r="6" spans="1:11" ht="15" customHeight="1">
      <c r="A6" s="354" t="s">
        <v>868</v>
      </c>
      <c r="B6" s="355"/>
      <c r="C6" s="356" t="s">
        <v>868</v>
      </c>
      <c r="D6" s="357"/>
      <c r="E6" s="356" t="s">
        <v>868</v>
      </c>
      <c r="F6" s="352"/>
      <c r="G6" s="356" t="s">
        <v>868</v>
      </c>
      <c r="H6" s="358"/>
      <c r="I6" s="356" t="s">
        <v>868</v>
      </c>
      <c r="J6" s="107"/>
      <c r="K6" s="359" t="s">
        <v>644</v>
      </c>
    </row>
    <row r="7" spans="1:11" ht="15" customHeight="1">
      <c r="A7" s="360" t="s">
        <v>950</v>
      </c>
      <c r="B7" s="361">
        <v>3899</v>
      </c>
      <c r="C7" s="362"/>
      <c r="D7" s="361">
        <v>10371</v>
      </c>
      <c r="E7" s="362"/>
      <c r="F7" s="361"/>
      <c r="G7" s="362"/>
      <c r="H7" s="361"/>
      <c r="I7" s="362"/>
      <c r="J7" s="361"/>
      <c r="K7" s="363">
        <f>SUM(B7+D7+F7+H7+J7)</f>
        <v>14270</v>
      </c>
    </row>
    <row r="8" spans="1:11" ht="15" customHeight="1">
      <c r="A8" s="364" t="s">
        <v>791</v>
      </c>
      <c r="B8" s="365"/>
      <c r="C8" s="364"/>
      <c r="D8" s="366"/>
      <c r="E8" s="364"/>
      <c r="F8" s="227"/>
      <c r="G8" s="364"/>
      <c r="H8" s="107"/>
      <c r="I8" s="364"/>
      <c r="J8" s="107"/>
      <c r="K8" s="227"/>
    </row>
    <row r="9" spans="1:11" ht="15" customHeight="1">
      <c r="A9" s="367" t="s">
        <v>213</v>
      </c>
      <c r="B9" s="361">
        <v>11743</v>
      </c>
      <c r="C9" s="367"/>
      <c r="D9" s="361">
        <v>0</v>
      </c>
      <c r="E9" s="367"/>
      <c r="F9" s="361"/>
      <c r="G9" s="367"/>
      <c r="H9" s="361"/>
      <c r="I9" s="367"/>
      <c r="J9" s="361"/>
      <c r="K9" s="227"/>
    </row>
    <row r="10" spans="1:11" ht="15" customHeight="1">
      <c r="A10" s="367"/>
      <c r="B10" s="361"/>
      <c r="C10" s="367"/>
      <c r="D10" s="361"/>
      <c r="E10" s="367"/>
      <c r="F10" s="361"/>
      <c r="G10" s="367"/>
      <c r="H10" s="361"/>
      <c r="I10" s="367"/>
      <c r="J10" s="361"/>
      <c r="K10" s="227"/>
    </row>
    <row r="11" spans="1:11" ht="15" customHeight="1">
      <c r="A11" s="367"/>
      <c r="B11" s="361"/>
      <c r="C11" s="368"/>
      <c r="D11" s="361"/>
      <c r="E11" s="368"/>
      <c r="F11" s="361"/>
      <c r="G11" s="368"/>
      <c r="H11" s="361"/>
      <c r="I11" s="369"/>
      <c r="J11" s="361"/>
      <c r="K11" s="227"/>
    </row>
    <row r="12" spans="1:11" ht="15" customHeight="1">
      <c r="A12" s="367"/>
      <c r="B12" s="361"/>
      <c r="C12" s="367"/>
      <c r="D12" s="361"/>
      <c r="E12" s="370"/>
      <c r="F12" s="361"/>
      <c r="G12" s="370"/>
      <c r="H12" s="361"/>
      <c r="I12" s="370"/>
      <c r="J12" s="361"/>
      <c r="K12" s="227"/>
    </row>
    <row r="13" spans="1:11" ht="15" customHeight="1">
      <c r="A13" s="371"/>
      <c r="B13" s="361"/>
      <c r="C13" s="372"/>
      <c r="D13" s="361"/>
      <c r="E13" s="372"/>
      <c r="F13" s="361"/>
      <c r="G13" s="372"/>
      <c r="H13" s="361"/>
      <c r="I13" s="369"/>
      <c r="J13" s="361"/>
      <c r="K13" s="227"/>
    </row>
    <row r="14" spans="1:11" ht="15" customHeight="1">
      <c r="A14" s="367"/>
      <c r="B14" s="361"/>
      <c r="C14" s="370"/>
      <c r="D14" s="361"/>
      <c r="E14" s="370"/>
      <c r="F14" s="361"/>
      <c r="G14" s="370"/>
      <c r="H14" s="361"/>
      <c r="I14" s="370"/>
      <c r="J14" s="361"/>
      <c r="K14" s="227"/>
    </row>
    <row r="15" spans="1:11" ht="15" customHeight="1">
      <c r="A15" s="367"/>
      <c r="B15" s="361"/>
      <c r="C15" s="370"/>
      <c r="D15" s="361"/>
      <c r="E15" s="370"/>
      <c r="F15" s="361"/>
      <c r="G15" s="370"/>
      <c r="H15" s="361"/>
      <c r="I15" s="370"/>
      <c r="J15" s="361"/>
      <c r="K15" s="227"/>
    </row>
    <row r="16" spans="1:11" ht="15" customHeight="1">
      <c r="A16" s="367"/>
      <c r="B16" s="361"/>
      <c r="C16" s="367"/>
      <c r="D16" s="361"/>
      <c r="E16" s="367"/>
      <c r="F16" s="361"/>
      <c r="G16" s="370"/>
      <c r="H16" s="361"/>
      <c r="I16" s="367"/>
      <c r="J16" s="361"/>
      <c r="K16" s="227"/>
    </row>
    <row r="17" spans="1:11" ht="15" customHeight="1">
      <c r="A17" s="364" t="s">
        <v>681</v>
      </c>
      <c r="B17" s="363">
        <v>11743</v>
      </c>
      <c r="C17" s="364"/>
      <c r="D17" s="363">
        <v>0</v>
      </c>
      <c r="E17" s="364"/>
      <c r="F17" s="436"/>
      <c r="G17" s="364"/>
      <c r="H17" s="363"/>
      <c r="I17" s="364"/>
      <c r="J17" s="363"/>
      <c r="K17" s="363">
        <f>SUM(B17+D17+F17+H17+J17)</f>
        <v>11743</v>
      </c>
    </row>
    <row r="18" spans="1:11" ht="15" customHeight="1">
      <c r="A18" s="364" t="s">
        <v>682</v>
      </c>
      <c r="B18" s="363">
        <v>15642</v>
      </c>
      <c r="C18" s="364"/>
      <c r="D18" s="363">
        <v>10371</v>
      </c>
      <c r="E18" s="364"/>
      <c r="F18" s="363"/>
      <c r="G18" s="364"/>
      <c r="H18" s="363"/>
      <c r="I18" s="364"/>
      <c r="J18" s="363"/>
      <c r="K18" s="363">
        <f>SUM(B18+D18+F18+H18+J18)</f>
        <v>26013</v>
      </c>
    </row>
    <row r="19" spans="1:11" ht="15" customHeight="1">
      <c r="A19" s="364" t="s">
        <v>685</v>
      </c>
      <c r="B19" s="365"/>
      <c r="C19" s="364"/>
      <c r="D19" s="366"/>
      <c r="E19" s="364"/>
      <c r="F19" s="227"/>
      <c r="G19" s="364"/>
      <c r="H19" s="107"/>
      <c r="I19" s="364"/>
      <c r="J19" s="107"/>
      <c r="K19" s="227"/>
    </row>
    <row r="20" spans="1:11" ht="15" customHeight="1">
      <c r="A20" s="367" t="s">
        <v>169</v>
      </c>
      <c r="B20" s="361">
        <v>9848</v>
      </c>
      <c r="C20" s="370"/>
      <c r="D20" s="361">
        <v>0</v>
      </c>
      <c r="E20" s="370"/>
      <c r="F20" s="361"/>
      <c r="G20" s="370"/>
      <c r="H20" s="361"/>
      <c r="I20" s="370"/>
      <c r="J20" s="361"/>
      <c r="K20" s="227"/>
    </row>
    <row r="21" spans="1:11" ht="15" customHeight="1">
      <c r="A21" s="367"/>
      <c r="B21" s="361"/>
      <c r="C21" s="370"/>
      <c r="D21" s="361"/>
      <c r="E21" s="370"/>
      <c r="F21" s="361"/>
      <c r="G21" s="370"/>
      <c r="H21" s="361"/>
      <c r="I21" s="370"/>
      <c r="J21" s="361"/>
      <c r="K21" s="227"/>
    </row>
    <row r="22" spans="1:11" ht="15" customHeight="1">
      <c r="A22" s="367"/>
      <c r="B22" s="361"/>
      <c r="C22" s="372"/>
      <c r="D22" s="361"/>
      <c r="E22" s="372"/>
      <c r="F22" s="361"/>
      <c r="G22" s="372"/>
      <c r="H22" s="361"/>
      <c r="I22" s="369"/>
      <c r="J22" s="361"/>
      <c r="K22" s="227"/>
    </row>
    <row r="23" spans="1:11" ht="15" customHeight="1">
      <c r="A23" s="367"/>
      <c r="B23" s="361"/>
      <c r="C23" s="370"/>
      <c r="D23" s="361"/>
      <c r="E23" s="370"/>
      <c r="F23" s="361"/>
      <c r="G23" s="370"/>
      <c r="H23" s="361"/>
      <c r="I23" s="370"/>
      <c r="J23" s="361"/>
      <c r="K23" s="227"/>
    </row>
    <row r="24" spans="1:11" ht="15" customHeight="1">
      <c r="A24" s="367"/>
      <c r="B24" s="361"/>
      <c r="C24" s="372"/>
      <c r="D24" s="361"/>
      <c r="E24" s="372"/>
      <c r="F24" s="361"/>
      <c r="G24" s="372"/>
      <c r="H24" s="361"/>
      <c r="I24" s="369"/>
      <c r="J24" s="361"/>
      <c r="K24" s="227"/>
    </row>
    <row r="25" spans="1:11" ht="15" customHeight="1">
      <c r="A25" s="367"/>
      <c r="B25" s="361"/>
      <c r="C25" s="370"/>
      <c r="D25" s="361"/>
      <c r="E25" s="370"/>
      <c r="F25" s="361"/>
      <c r="G25" s="370"/>
      <c r="H25" s="361"/>
      <c r="I25" s="370"/>
      <c r="J25" s="361"/>
      <c r="K25" s="227"/>
    </row>
    <row r="26" spans="1:11" ht="15" customHeight="1">
      <c r="A26" s="367"/>
      <c r="B26" s="361"/>
      <c r="C26" s="370"/>
      <c r="D26" s="361"/>
      <c r="E26" s="370"/>
      <c r="F26" s="361"/>
      <c r="G26" s="370"/>
      <c r="H26" s="361"/>
      <c r="I26" s="370"/>
      <c r="J26" s="361"/>
      <c r="K26" s="227"/>
    </row>
    <row r="27" spans="1:11" ht="15" customHeight="1">
      <c r="A27" s="367"/>
      <c r="B27" s="361"/>
      <c r="C27" s="367"/>
      <c r="D27" s="361"/>
      <c r="E27" s="367"/>
      <c r="F27" s="361"/>
      <c r="G27" s="370"/>
      <c r="H27" s="361"/>
      <c r="I27" s="370"/>
      <c r="J27" s="361"/>
      <c r="K27" s="227"/>
    </row>
    <row r="28" spans="1:11" ht="15" customHeight="1">
      <c r="A28" s="364" t="s">
        <v>686</v>
      </c>
      <c r="B28" s="363">
        <v>9848</v>
      </c>
      <c r="C28" s="364"/>
      <c r="D28" s="363">
        <v>0</v>
      </c>
      <c r="E28" s="364"/>
      <c r="F28" s="436"/>
      <c r="G28" s="364"/>
      <c r="H28" s="436"/>
      <c r="I28" s="364"/>
      <c r="J28" s="363"/>
      <c r="K28" s="363">
        <f>SUM(B28+D28+F28+H28+J28)</f>
        <v>9848</v>
      </c>
    </row>
    <row r="29" spans="1:12" ht="15" customHeight="1">
      <c r="A29" s="364" t="s">
        <v>869</v>
      </c>
      <c r="B29" s="363">
        <v>5794</v>
      </c>
      <c r="C29" s="364"/>
      <c r="D29" s="363">
        <v>10371</v>
      </c>
      <c r="E29" s="364"/>
      <c r="F29" s="363"/>
      <c r="G29" s="364"/>
      <c r="H29" s="363"/>
      <c r="I29" s="364"/>
      <c r="J29" s="363"/>
      <c r="K29" s="373">
        <f>SUM(B29+D29+F29+H29+J29)</f>
        <v>16165</v>
      </c>
      <c r="L29" s="52" t="s">
        <v>895</v>
      </c>
    </row>
    <row r="30" spans="1:12" ht="15" customHeight="1">
      <c r="A30" s="364"/>
      <c r="B30" s="374">
        <f>IF(B29&lt;0,"See Tab B","")</f>
      </c>
      <c r="C30" s="364"/>
      <c r="D30" s="374">
        <f>IF(D29&lt;0,"See Tab B","")</f>
      </c>
      <c r="E30" s="364"/>
      <c r="F30" s="374">
        <f>IF(F29&lt;0,"See Tab B","")</f>
      </c>
      <c r="G30" s="107"/>
      <c r="H30" s="374">
        <f>IF(H29&lt;0,"See Tab B","")</f>
      </c>
      <c r="I30" s="107"/>
      <c r="J30" s="374">
        <f>IF(J29&lt;0,"See Tab B","")</f>
      </c>
      <c r="K30" s="373">
        <f>SUM(K7+K17-K28)</f>
        <v>16165</v>
      </c>
      <c r="L30" s="52" t="s">
        <v>895</v>
      </c>
    </row>
    <row r="31" spans="1:11" ht="15" customHeight="1">
      <c r="A31" s="107"/>
      <c r="B31" s="206"/>
      <c r="C31" s="107"/>
      <c r="D31" s="227"/>
      <c r="E31" s="107"/>
      <c r="F31" s="107"/>
      <c r="G31" s="61" t="s">
        <v>898</v>
      </c>
      <c r="H31" s="61"/>
      <c r="I31" s="61"/>
      <c r="J31" s="61"/>
      <c r="K31" s="107"/>
    </row>
    <row r="32" spans="1:11" ht="15" customHeight="1">
      <c r="A32" s="107"/>
      <c r="B32" s="206"/>
      <c r="C32" s="107"/>
      <c r="D32" s="107"/>
      <c r="E32" s="107"/>
      <c r="F32" s="107"/>
      <c r="G32" s="107"/>
      <c r="H32" s="107"/>
      <c r="I32" s="107"/>
      <c r="J32" s="107"/>
      <c r="K32" s="107"/>
    </row>
    <row r="33" spans="1:11" ht="15" customHeight="1">
      <c r="A33" s="107"/>
      <c r="B33" s="206"/>
      <c r="C33" s="107"/>
      <c r="D33" s="107"/>
      <c r="E33" s="315" t="s">
        <v>700</v>
      </c>
      <c r="F33" s="333">
        <v>24</v>
      </c>
      <c r="G33" s="107"/>
      <c r="H33" s="107"/>
      <c r="I33" s="107"/>
      <c r="J33" s="107"/>
      <c r="K33" s="107"/>
    </row>
    <row r="34" ht="15" customHeight="1">
      <c r="B34" s="375"/>
    </row>
    <row r="35" ht="15" customHeight="1">
      <c r="B35" s="375"/>
    </row>
    <row r="36" ht="15" customHeight="1">
      <c r="B36" s="375"/>
    </row>
    <row r="37" ht="15" customHeight="1">
      <c r="B37" s="375"/>
    </row>
    <row r="38" ht="15" customHeight="1">
      <c r="B38" s="375"/>
    </row>
    <row r="39" ht="15" customHeight="1">
      <c r="B39" s="375"/>
    </row>
    <row r="40" ht="15" customHeight="1">
      <c r="B40" s="375"/>
    </row>
    <row r="41" ht="15" customHeight="1">
      <c r="B41" s="37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County</oddHeader>
  </headerFooter>
</worksheet>
</file>

<file path=xl/worksheets/sheet34.xml><?xml version="1.0" encoding="utf-8"?>
<worksheet xmlns="http://schemas.openxmlformats.org/spreadsheetml/2006/main" xmlns:r="http://schemas.openxmlformats.org/officeDocument/2006/relationships">
  <dimension ref="A1:A48"/>
  <sheetViews>
    <sheetView zoomScalePageLayoutView="0" workbookViewId="0" topLeftCell="A25">
      <selection activeCell="A1" sqref="A1:L39"/>
    </sheetView>
  </sheetViews>
  <sheetFormatPr defaultColWidth="8.796875" defaultRowHeight="15"/>
  <cols>
    <col min="1" max="1" width="62.3984375" style="47" customWidth="1"/>
    <col min="2" max="16384" width="8.8984375" style="47" customWidth="1"/>
  </cols>
  <sheetData>
    <row r="1" ht="18.75">
      <c r="A1" s="48" t="s">
        <v>987</v>
      </c>
    </row>
    <row r="2" ht="15.75">
      <c r="A2" s="52"/>
    </row>
    <row r="3" ht="54.75" customHeight="1">
      <c r="A3" s="400" t="s">
        <v>988</v>
      </c>
    </row>
    <row r="4" ht="15.75">
      <c r="A4" s="401"/>
    </row>
    <row r="5" ht="51" customHeight="1">
      <c r="A5" s="400" t="s">
        <v>989</v>
      </c>
    </row>
    <row r="6" ht="15.75">
      <c r="A6" s="52"/>
    </row>
    <row r="7" ht="51.75" customHeight="1">
      <c r="A7" s="400" t="s">
        <v>990</v>
      </c>
    </row>
    <row r="8" ht="13.5" customHeight="1">
      <c r="A8" s="400"/>
    </row>
    <row r="9" ht="51.75" customHeight="1">
      <c r="A9" s="406" t="s">
        <v>458</v>
      </c>
    </row>
    <row r="10" ht="15.75">
      <c r="A10" s="401"/>
    </row>
    <row r="11" ht="36" customHeight="1">
      <c r="A11" s="400" t="s">
        <v>991</v>
      </c>
    </row>
    <row r="12" ht="15.75">
      <c r="A12" s="52"/>
    </row>
    <row r="13" ht="51.75" customHeight="1">
      <c r="A13" s="400" t="s">
        <v>992</v>
      </c>
    </row>
    <row r="14" ht="15.75">
      <c r="A14" s="401"/>
    </row>
    <row r="15" ht="33" customHeight="1">
      <c r="A15" s="400" t="s">
        <v>993</v>
      </c>
    </row>
    <row r="16" ht="15.75">
      <c r="A16" s="401"/>
    </row>
    <row r="17" ht="32.25" customHeight="1">
      <c r="A17" s="400" t="s">
        <v>994</v>
      </c>
    </row>
    <row r="18" ht="15.75">
      <c r="A18" s="401"/>
    </row>
    <row r="19" ht="53.25" customHeight="1">
      <c r="A19" s="400" t="s">
        <v>995</v>
      </c>
    </row>
    <row r="20" ht="15.75">
      <c r="A20" s="52"/>
    </row>
    <row r="21" ht="50.25" customHeight="1">
      <c r="A21" s="400" t="s">
        <v>996</v>
      </c>
    </row>
    <row r="22" ht="15.75">
      <c r="A22" s="52"/>
    </row>
    <row r="23" ht="15.75">
      <c r="A23" s="52"/>
    </row>
    <row r="24" ht="96" customHeight="1">
      <c r="A24" s="400" t="s">
        <v>997</v>
      </c>
    </row>
    <row r="25" ht="15.75">
      <c r="A25" s="52"/>
    </row>
    <row r="26" ht="30.75" customHeight="1">
      <c r="A26" s="54" t="s">
        <v>998</v>
      </c>
    </row>
    <row r="27" ht="15.75">
      <c r="A27" s="52"/>
    </row>
    <row r="28" ht="95.25" customHeight="1">
      <c r="A28" s="405" t="s">
        <v>459</v>
      </c>
    </row>
    <row r="29" ht="15.75">
      <c r="A29" s="52"/>
    </row>
    <row r="30" ht="34.5" customHeight="1">
      <c r="A30" s="400" t="s">
        <v>999</v>
      </c>
    </row>
    <row r="31" ht="15.75">
      <c r="A31" s="52"/>
    </row>
    <row r="32" ht="66" customHeight="1">
      <c r="A32" s="400" t="s">
        <v>1000</v>
      </c>
    </row>
    <row r="33" ht="15.75">
      <c r="A33" s="401"/>
    </row>
    <row r="34" ht="57" customHeight="1">
      <c r="A34" s="400" t="s">
        <v>1001</v>
      </c>
    </row>
    <row r="35" ht="15.75">
      <c r="A35" s="52"/>
    </row>
    <row r="36" ht="49.5" customHeight="1">
      <c r="A36" s="400" t="s">
        <v>1002</v>
      </c>
    </row>
    <row r="37" ht="15.75">
      <c r="A37" s="52"/>
    </row>
    <row r="38" ht="74.25" customHeight="1">
      <c r="A38" s="405" t="s">
        <v>460</v>
      </c>
    </row>
    <row r="39" ht="15.75">
      <c r="A39" s="52"/>
    </row>
    <row r="40" ht="55.5" customHeight="1">
      <c r="A40" s="400" t="s">
        <v>1003</v>
      </c>
    </row>
    <row r="41" ht="15.75">
      <c r="A41" s="52"/>
    </row>
    <row r="42" ht="53.25" customHeight="1">
      <c r="A42" s="400" t="s">
        <v>1004</v>
      </c>
    </row>
    <row r="43" ht="15.75">
      <c r="A43" s="401"/>
    </row>
    <row r="44" ht="47.25" customHeight="1">
      <c r="A44" s="400" t="s">
        <v>1005</v>
      </c>
    </row>
    <row r="45" ht="15.75">
      <c r="A45" s="401"/>
    </row>
    <row r="46" ht="49.5" customHeight="1">
      <c r="A46" s="400" t="s">
        <v>1006</v>
      </c>
    </row>
    <row r="47" ht="15.75">
      <c r="A47" s="401"/>
    </row>
    <row r="48" ht="36" customHeight="1">
      <c r="A48" s="400" t="s">
        <v>1007</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M69"/>
  <sheetViews>
    <sheetView zoomScalePageLayoutView="0" workbookViewId="0" topLeftCell="A22">
      <selection activeCell="C32" sqref="C32"/>
    </sheetView>
  </sheetViews>
  <sheetFormatPr defaultColWidth="8.796875" defaultRowHeight="15"/>
  <cols>
    <col min="1" max="1" width="15.796875" style="52" customWidth="1"/>
    <col min="2" max="2" width="15.69921875" style="52" customWidth="1"/>
    <col min="3" max="3" width="9.3984375" style="52" customWidth="1"/>
    <col min="4" max="4" width="16.796875" style="52" customWidth="1"/>
    <col min="5" max="5" width="9.796875" style="52" customWidth="1"/>
    <col min="6" max="6" width="15.796875" style="52" customWidth="1"/>
    <col min="7" max="7" width="13.69921875" style="52" customWidth="1"/>
    <col min="8" max="8" width="9.796875" style="52" customWidth="1"/>
    <col min="9" max="9" width="8.8984375" style="52" customWidth="1"/>
    <col min="10" max="10" width="12.3984375" style="52" customWidth="1"/>
    <col min="11" max="11" width="12.296875" style="52" customWidth="1"/>
    <col min="12" max="12" width="10.59765625" style="52" customWidth="1"/>
    <col min="13" max="13" width="12.09765625" style="52" customWidth="1"/>
    <col min="14" max="16384" width="8.8984375" style="52" customWidth="1"/>
  </cols>
  <sheetData>
    <row r="1" spans="1:8" ht="15.75">
      <c r="A1" s="66"/>
      <c r="B1" s="66"/>
      <c r="C1" s="66"/>
      <c r="D1" s="66"/>
      <c r="E1" s="66"/>
      <c r="F1" s="66"/>
      <c r="G1" s="66"/>
      <c r="H1" s="279">
        <f>inputPrYr!C5</f>
        <v>2015</v>
      </c>
    </row>
    <row r="2" spans="1:9" ht="15.75">
      <c r="A2" s="720" t="s">
        <v>743</v>
      </c>
      <c r="B2" s="720"/>
      <c r="C2" s="720"/>
      <c r="D2" s="720"/>
      <c r="E2" s="720"/>
      <c r="F2" s="720"/>
      <c r="G2" s="720"/>
      <c r="H2" s="720"/>
      <c r="I2" s="376"/>
    </row>
    <row r="3" spans="1:8" ht="15.75">
      <c r="A3" s="66"/>
      <c r="B3" s="66"/>
      <c r="C3" s="66"/>
      <c r="D3" s="66"/>
      <c r="E3" s="66"/>
      <c r="F3" s="66"/>
      <c r="G3" s="66"/>
      <c r="H3" s="66"/>
    </row>
    <row r="4" spans="1:8" ht="15.75">
      <c r="A4" s="723" t="s">
        <v>773</v>
      </c>
      <c r="B4" s="723"/>
      <c r="C4" s="723"/>
      <c r="D4" s="723"/>
      <c r="E4" s="723"/>
      <c r="F4" s="723"/>
      <c r="G4" s="723"/>
      <c r="H4" s="723"/>
    </row>
    <row r="5" spans="1:8" ht="15.75">
      <c r="A5" s="705" t="str">
        <f>inputPrYr!C3</f>
        <v>Montgomery County</v>
      </c>
      <c r="B5" s="705"/>
      <c r="C5" s="705"/>
      <c r="D5" s="705"/>
      <c r="E5" s="705"/>
      <c r="F5" s="705"/>
      <c r="G5" s="705"/>
      <c r="H5" s="705"/>
    </row>
    <row r="6" spans="1:8" ht="15.75">
      <c r="A6" s="723" t="str">
        <f>CONCATENATE("will meet on ",inputBudSum!B5," at ",inputBudSum!B7," at ",inputBudSum!B9," for the purpose of hearing and")</f>
        <v>will meet on August 11, 2014 at 9:30 AM at Montgomery County Commission Meeting Room for the purpose of hearing and</v>
      </c>
      <c r="B6" s="723"/>
      <c r="C6" s="723"/>
      <c r="D6" s="723"/>
      <c r="E6" s="723"/>
      <c r="F6" s="723"/>
      <c r="G6" s="723"/>
      <c r="H6" s="723"/>
    </row>
    <row r="7" spans="1:8" ht="15.75">
      <c r="A7" s="723" t="s">
        <v>426</v>
      </c>
      <c r="B7" s="723"/>
      <c r="C7" s="723"/>
      <c r="D7" s="723"/>
      <c r="E7" s="723"/>
      <c r="F7" s="723"/>
      <c r="G7" s="723"/>
      <c r="H7" s="723"/>
    </row>
    <row r="8" spans="1:8" ht="15.75">
      <c r="A8" s="723" t="str">
        <f>CONCATENATE("Detailed budget information is available at ",inputBudSum!B12," and will be available at this hearing.")</f>
        <v>Detailed budget information is available at Montgomery County Clerk's Office and will be available at this hearing.</v>
      </c>
      <c r="B8" s="723"/>
      <c r="C8" s="723"/>
      <c r="D8" s="723"/>
      <c r="E8" s="723"/>
      <c r="F8" s="723"/>
      <c r="G8" s="723"/>
      <c r="H8" s="723"/>
    </row>
    <row r="9" spans="1:8" ht="15.75">
      <c r="A9" s="73" t="s">
        <v>744</v>
      </c>
      <c r="B9" s="74"/>
      <c r="C9" s="74"/>
      <c r="D9" s="143"/>
      <c r="E9" s="74"/>
      <c r="F9" s="74"/>
      <c r="G9" s="74"/>
      <c r="H9" s="74"/>
    </row>
    <row r="10" spans="1:8" ht="15.75">
      <c r="A10" s="723" t="str">
        <f>CONCATENATE("Proposed Budget ",H1," Expenditures and Amount of ",H1-1," Ad Valorem Tax establish the maximum limits of the ",H1," budget.")</f>
        <v>Proposed Budget 2015 Expenditures and Amount of 2014 Ad Valorem Tax establish the maximum limits of the 2015 budget.</v>
      </c>
      <c r="B10" s="723"/>
      <c r="C10" s="723"/>
      <c r="D10" s="723"/>
      <c r="E10" s="723"/>
      <c r="F10" s="723"/>
      <c r="G10" s="723"/>
      <c r="H10" s="723"/>
    </row>
    <row r="11" spans="1:8" ht="15.75">
      <c r="A11" s="723" t="s">
        <v>797</v>
      </c>
      <c r="B11" s="723"/>
      <c r="C11" s="723"/>
      <c r="D11" s="723"/>
      <c r="E11" s="723"/>
      <c r="F11" s="723"/>
      <c r="G11" s="723"/>
      <c r="H11" s="723"/>
    </row>
    <row r="12" spans="1:9" ht="15.75">
      <c r="A12" s="66"/>
      <c r="B12" s="66"/>
      <c r="C12" s="66"/>
      <c r="D12" s="66"/>
      <c r="E12" s="66"/>
      <c r="F12" s="66"/>
      <c r="G12" s="66"/>
      <c r="H12" s="66"/>
      <c r="I12" s="123"/>
    </row>
    <row r="13" spans="1:8" ht="15.75">
      <c r="A13" s="66"/>
      <c r="B13" s="377" t="str">
        <f>CONCATENATE("Prior Year Actual for ",H1-2,"")</f>
        <v>Prior Year Actual for 2013</v>
      </c>
      <c r="C13" s="147"/>
      <c r="D13" s="378" t="str">
        <f>CONCATENATE("Current Year Estimate for ",H1-1,"")</f>
        <v>Current Year Estimate for 2014</v>
      </c>
      <c r="E13" s="147"/>
      <c r="F13" s="145" t="str">
        <f>CONCATENATE("Proposed Budget for ",H1,"")</f>
        <v>Proposed Budget for 2015</v>
      </c>
      <c r="G13" s="146"/>
      <c r="H13" s="147"/>
    </row>
    <row r="14" spans="1:8" ht="18.75" customHeight="1">
      <c r="A14" s="65"/>
      <c r="B14" s="334"/>
      <c r="C14" s="148" t="s">
        <v>702</v>
      </c>
      <c r="D14" s="148"/>
      <c r="E14" s="148" t="s">
        <v>702</v>
      </c>
      <c r="F14" s="479" t="s">
        <v>445</v>
      </c>
      <c r="G14" s="148" t="str">
        <f>CONCATENATE("Amount of ",H1-1,"")</f>
        <v>Amount of 2014</v>
      </c>
      <c r="H14" s="148" t="s">
        <v>703</v>
      </c>
    </row>
    <row r="15" spans="1:8" ht="15.75">
      <c r="A15" s="94" t="s">
        <v>704</v>
      </c>
      <c r="B15" s="256" t="s">
        <v>653</v>
      </c>
      <c r="C15" s="256" t="s">
        <v>705</v>
      </c>
      <c r="D15" s="256" t="s">
        <v>834</v>
      </c>
      <c r="E15" s="256" t="s">
        <v>705</v>
      </c>
      <c r="F15" s="480" t="s">
        <v>446</v>
      </c>
      <c r="G15" s="379" t="s">
        <v>673</v>
      </c>
      <c r="H15" s="256" t="s">
        <v>705</v>
      </c>
    </row>
    <row r="16" spans="1:8" ht="15.75">
      <c r="A16" s="109" t="str">
        <f>inputPrYr!B16</f>
        <v>General</v>
      </c>
      <c r="B16" s="109">
        <f>IF(general!$C$115&lt;&gt;0,general!$C$115,"  ")</f>
        <v>7354551</v>
      </c>
      <c r="C16" s="380">
        <f>IF(inputPrYr!D68&lt;&gt;0,inputPrYr!D68,"  ")</f>
        <v>16.247</v>
      </c>
      <c r="D16" s="109">
        <f>IF(general!$D$115&lt;&gt;0,general!$D$115,"  ")</f>
        <v>10258853</v>
      </c>
      <c r="E16" s="380">
        <f>IF(inputPrYr!F16&lt;&gt;0,inputPrYr!F16,"  ")</f>
        <v>18.176</v>
      </c>
      <c r="F16" s="109">
        <f>IF(general!$E$115&lt;&gt;0,general!$E$115,"  ")</f>
        <v>8618878</v>
      </c>
      <c r="G16" s="109">
        <f>IF(general!$E$122&lt;&gt;0,general!$E$122,"  ")</f>
        <v>5551741.01</v>
      </c>
      <c r="H16" s="380">
        <f>IF(general!E122&lt;&gt;0,ROUND(G16/$F$56*1000,3),"  ")</f>
        <v>19.344</v>
      </c>
    </row>
    <row r="17" spans="1:8" ht="15.75">
      <c r="A17" s="109" t="str">
        <f>inputPrYr!B17</f>
        <v>Debt Service</v>
      </c>
      <c r="B17" s="109" t="str">
        <f>IF(DebtService!$C$50&lt;&gt;0,DebtService!$C$50,"  ")</f>
        <v>  </v>
      </c>
      <c r="C17" s="380" t="str">
        <f>IF(inputPrYr!D69&lt;&gt;0,inputPrYr!D69,"  ")</f>
        <v>  </v>
      </c>
      <c r="D17" s="109" t="str">
        <f>IF(DebtService!$D$50&lt;&gt;0,DebtService!$D$50,"  ")</f>
        <v>  </v>
      </c>
      <c r="E17" s="380" t="str">
        <f>IF(inputPrYr!F17&lt;&gt;0,inputPrYr!F17,"  ")</f>
        <v>  </v>
      </c>
      <c r="F17" s="109" t="str">
        <f>IF(DebtService!$E$50&lt;&gt;0,DebtService!$E$50,"  ")</f>
        <v>  </v>
      </c>
      <c r="G17" s="109" t="str">
        <f>IF(DebtService!$E$57&lt;&gt;0,DebtService!$E$57,"  ")</f>
        <v>  </v>
      </c>
      <c r="H17" s="380" t="str">
        <f>IF(DebtService!E57&lt;&gt;0,ROUND(G17/$F$56*1000,3),"  ")</f>
        <v>  </v>
      </c>
    </row>
    <row r="18" spans="1:8" ht="15.75">
      <c r="A18" s="109" t="str">
        <f>IF((inputPrYr!$B18&gt;" "),(inputPrYr!$B18),"  ")</f>
        <v>Road &amp; Bridge</v>
      </c>
      <c r="B18" s="109">
        <f>IF(road!$C$111&lt;&gt;0,road!$C$111,"  ")</f>
        <v>4982709</v>
      </c>
      <c r="C18" s="380">
        <f>IF(inputPrYr!D70&lt;&gt;0,inputPrYr!D70,"  ")</f>
        <v>11.577</v>
      </c>
      <c r="D18" s="109">
        <f>IF(road!$D$111&lt;&gt;0,road!$D$111,"  ")</f>
        <v>6569378</v>
      </c>
      <c r="E18" s="380">
        <f>IF(inputPrYr!F18&lt;&gt;0,inputPrYr!F18,"  ")</f>
        <v>9.185</v>
      </c>
      <c r="F18" s="109">
        <f>IF(road!$E$111&lt;&gt;0,road!$E$111,"  ")</f>
        <v>5422976</v>
      </c>
      <c r="G18" s="109">
        <f>IF(road!$E$118&lt;&gt;0,road!$E$118,"  ")</f>
        <v>2973371.64</v>
      </c>
      <c r="H18" s="380">
        <f>IF(road!E118&lt;&gt;0,ROUND(G18/$F$56*1000,3),"  ")</f>
        <v>10.36</v>
      </c>
    </row>
    <row r="19" spans="1:8" ht="15.75">
      <c r="A19" s="109" t="str">
        <f>IF((inputPrYr!$B19&gt;" "),(inputPrYr!$B19),"  ")</f>
        <v>County Health</v>
      </c>
      <c r="B19" s="109">
        <f>IF('levy page10'!$C$33&lt;&gt;0,'levy page10'!$C$33,"  ")</f>
        <v>470258</v>
      </c>
      <c r="C19" s="380">
        <f>IF(inputPrYr!D71&lt;&gt;0,inputPrYr!D71,"  ")</f>
        <v>0.635</v>
      </c>
      <c r="D19" s="109">
        <f>IF('levy page10'!$D$33&lt;&gt;0,'levy page10'!$D$33,"  ")</f>
        <v>634554</v>
      </c>
      <c r="E19" s="380" t="str">
        <f>IF(inputPrYr!F19&lt;&gt;0,inputPrYr!F19,"  ")</f>
        <v>  </v>
      </c>
      <c r="F19" s="109">
        <f>IF('levy page10'!$E$33&lt;&gt;0,'levy page10'!$E$33,"  ")</f>
        <v>507761</v>
      </c>
      <c r="G19" s="109" t="str">
        <f>IF('levy page10'!$E$40&lt;&gt;0,'levy page10'!$E$40,"  ")</f>
        <v>  </v>
      </c>
      <c r="H19" s="380" t="str">
        <f>IF('levy page10'!E40&lt;&gt;0,ROUND(G19/$F$56*1000,3),"  ")</f>
        <v>  </v>
      </c>
    </row>
    <row r="20" spans="1:8" ht="15.75">
      <c r="A20" s="109" t="str">
        <f>IF((inputPrYr!$B20&gt;" "),(inputPrYr!$B20),"  ")</f>
        <v>Special Bridge</v>
      </c>
      <c r="B20" s="109">
        <f>IF('levy page10'!$C$73&lt;&gt;0,'levy page10'!$C$73,"  ")</f>
        <v>612209</v>
      </c>
      <c r="C20" s="380">
        <f>IF(inputPrYr!D72&lt;&gt;0,inputPrYr!D72,"  ")</f>
        <v>1.145</v>
      </c>
      <c r="D20" s="109">
        <f>IF('levy page10'!$D$73&lt;&gt;0,'levy page10'!$D$73,"  ")</f>
        <v>948725</v>
      </c>
      <c r="E20" s="380">
        <f>IF(inputPrYr!F20&lt;&gt;0,inputPrYr!F20,"  ")</f>
        <v>1.647</v>
      </c>
      <c r="F20" s="109">
        <f>IF('levy page10'!$E$73&lt;&gt;0,'levy page10'!$E$73,"  ")</f>
        <v>886867</v>
      </c>
      <c r="G20" s="109" t="str">
        <f>IF('levy page10'!$E$80&lt;&gt;0,'levy page10'!$E$80,"  ")</f>
        <v>  </v>
      </c>
      <c r="H20" s="380" t="str">
        <f>IF('levy page10'!E80&lt;&gt;0,ROUND(G20/$F$56*1000,3),"  ")</f>
        <v>  </v>
      </c>
    </row>
    <row r="21" spans="1:8" ht="15.75">
      <c r="A21" s="109" t="str">
        <f>IF((inputPrYr!$B21&gt;" "),(inputPrYr!$B21),"  ")</f>
        <v>Mental Health</v>
      </c>
      <c r="B21" s="109">
        <f>IF('levy page11'!$C$33&lt;&gt;0,'levy page11'!$C$33,"  ")</f>
        <v>264133</v>
      </c>
      <c r="C21" s="380">
        <f>IF(inputPrYr!D73&lt;&gt;0,inputPrYr!D73,"  ")</f>
        <v>0.713</v>
      </c>
      <c r="D21" s="109">
        <f>IF('levy page11'!$D$33&lt;&gt;0,'levy page11'!$D$33,"  ")</f>
        <v>238291</v>
      </c>
      <c r="E21" s="380">
        <f>IF(inputPrYr!F21&lt;&gt;0,inputPrYr!F21,"  ")</f>
        <v>0.192</v>
      </c>
      <c r="F21" s="109">
        <f>IF('levy page11'!$E$33&lt;&gt;0,'levy page11'!$E$33,"  ")</f>
        <v>157813</v>
      </c>
      <c r="G21" s="109">
        <f>IF('levy page11'!$E$40&lt;&gt;0,'levy page11'!$E$40,"  ")</f>
        <v>89218</v>
      </c>
      <c r="H21" s="380">
        <f>IF('levy page11'!E40&lt;&gt;0,ROUND(G21/$F$56*1000,3),"  ")</f>
        <v>0.311</v>
      </c>
    </row>
    <row r="22" spans="1:8" ht="15.75">
      <c r="A22" s="109" t="str">
        <f>IF((inputPrYr!$B22&gt;" "),(inputPrYr!$B22),"  ")</f>
        <v>Mental Retardation</v>
      </c>
      <c r="B22" s="109">
        <f>IF('levy page11'!$C$73&lt;&gt;0,'levy page11'!$C$73,"  ")</f>
        <v>151080</v>
      </c>
      <c r="C22" s="380">
        <f>IF(inputPrYr!D74&lt;&gt;0,inputPrYr!D74,"  ")</f>
        <v>0.422</v>
      </c>
      <c r="D22" s="109">
        <f>IF('levy page11'!$D$73&lt;&gt;0,'levy page11'!$D$73,"  ")</f>
        <v>144563</v>
      </c>
      <c r="E22" s="380">
        <f>IF(inputPrYr!F22&lt;&gt;0,inputPrYr!F22,"  ")</f>
        <v>0.094</v>
      </c>
      <c r="F22" s="109">
        <f>IF('levy page11'!$E$73&lt;&gt;0,'levy page11'!$E$73,"  ")</f>
        <v>87776</v>
      </c>
      <c r="G22" s="109">
        <f>IF('levy page11'!$E$80&lt;&gt;0,'levy page11'!$E$80,"  ")</f>
        <v>50849</v>
      </c>
      <c r="H22" s="380">
        <f>IF('levy page11'!$E$80&lt;&gt;0,ROUND(G22/$F$56*1000,3),"  ")</f>
        <v>0.177</v>
      </c>
    </row>
    <row r="23" spans="1:8" ht="15.75">
      <c r="A23" s="109" t="str">
        <f>IF((inputPrYr!$B23&gt;" "),(inputPrYr!$B23),"  ")</f>
        <v>Council on Aging</v>
      </c>
      <c r="B23" s="109">
        <f>IF('levy page12'!$C$33&lt;&gt;0,'levy page12'!$C$33,"  ")</f>
        <v>150816</v>
      </c>
      <c r="C23" s="380">
        <f>IF(inputPrYr!D75&lt;&gt;0,inputPrYr!D75,"  ")</f>
        <v>0.503</v>
      </c>
      <c r="D23" s="109">
        <f>IF('levy page12'!$D$33&lt;&gt;0,'levy page12'!$D$33,"  ")</f>
        <v>298525</v>
      </c>
      <c r="E23" s="380">
        <f>IF(inputPrYr!F23&lt;&gt;0,inputPrYr!F23,"  ")</f>
        <v>0.5</v>
      </c>
      <c r="F23" s="109">
        <f>IF('levy page12'!$E$33&lt;&gt;0,'levy page12'!$E$33,"  ")</f>
        <v>262097</v>
      </c>
      <c r="G23" s="109">
        <f>IF('levy page12'!$E$40&lt;&gt;0,'levy page12'!$E$40,"  ")</f>
        <v>143503</v>
      </c>
      <c r="H23" s="380">
        <f>IF('levy page12'!$E$40&lt;&gt;0,ROUND(G23/$F$56*1000,3),"  ")</f>
        <v>0.5</v>
      </c>
    </row>
    <row r="24" spans="1:8" ht="15.75">
      <c r="A24" s="109" t="str">
        <f>IF((inputPrYr!$B24&gt;" "),(inputPrYr!$B24),"  ")</f>
        <v>Employee Benefits</v>
      </c>
      <c r="B24" s="109">
        <f>IF('levy page12'!$C$73&lt;&gt;0,'levy page12'!$C$73,"  ")</f>
        <v>4006330</v>
      </c>
      <c r="C24" s="380">
        <f>IF(inputPrYr!D76&lt;&gt;0,inputPrYr!D76,"  ")</f>
        <v>7.149</v>
      </c>
      <c r="D24" s="109">
        <f>IF('levy page12'!$D$73&lt;&gt;0,'levy page12'!$D$73,"  ")</f>
        <v>4912560</v>
      </c>
      <c r="E24" s="380">
        <f>IF(inputPrYr!F24&lt;&gt;0,inputPrYr!F24,"  ")</f>
        <v>8.893</v>
      </c>
      <c r="F24" s="109">
        <f>IF('levy page12'!$E$73&lt;&gt;0,'levy page12'!$E$73,"  ")</f>
        <v>4774508</v>
      </c>
      <c r="G24" s="109">
        <f>IF('levy page12'!$E$80&lt;&gt;0,'levy page12'!$E$80,"  ")</f>
        <v>2704954</v>
      </c>
      <c r="H24" s="380">
        <f>IF('levy page12'!$E$80&lt;&gt;0,ROUND(G24/$F$56*1000,3),"  ")</f>
        <v>9.425</v>
      </c>
    </row>
    <row r="25" spans="1:8" ht="15.75">
      <c r="A25" s="109" t="str">
        <f>IF((inputPrYr!$B25&gt;" "),(inputPrYr!$B25),"  ")</f>
        <v>Noxious Weed</v>
      </c>
      <c r="B25" s="109">
        <f>IF('levy page13'!$C$33&lt;&gt;0,'levy page13'!$C$33,"  ")</f>
        <v>234600</v>
      </c>
      <c r="C25" s="380">
        <f>IF(inputPrYr!D77&lt;&gt;0,inputPrYr!D77,"  ")</f>
        <v>0.43</v>
      </c>
      <c r="D25" s="109">
        <f>IF('levy page13'!$D$33&lt;&gt;0,'levy page13'!$D$33,"  ")</f>
        <v>284354</v>
      </c>
      <c r="E25" s="380">
        <f>IF(inputPrYr!F25&lt;&gt;0,inputPrYr!F25,"  ")</f>
        <v>0.299</v>
      </c>
      <c r="F25" s="109">
        <f>IF('levy page13'!$E$33&lt;&gt;0,'levy page13'!$E$33,"  ")</f>
        <v>227339</v>
      </c>
      <c r="G25" s="109">
        <f>IF('levy page13'!$E$40&lt;&gt;0,'levy page13'!$E$40,"  ")</f>
        <v>87302</v>
      </c>
      <c r="H25" s="380">
        <f>IF('levy page13'!$E$40&lt;&gt;0,ROUND(G25/$F$56*1000,3),"  ")</f>
        <v>0.304</v>
      </c>
    </row>
    <row r="26" spans="1:8" ht="15.75">
      <c r="A26" s="109" t="str">
        <f>IF((inputPrYr!$B26&gt;" "),(inputPrYr!$B26),"  ")</f>
        <v>.Ambulance Services</v>
      </c>
      <c r="B26" s="109">
        <f>IF('levy page13'!$C$73&lt;&gt;0,'levy page13'!$C$73,"  ")</f>
        <v>541437</v>
      </c>
      <c r="C26" s="380">
        <f>IF(inputPrYr!D78&lt;&gt;0,inputPrYr!D78,"  ")</f>
        <v>1.523</v>
      </c>
      <c r="D26" s="109">
        <f>IF('levy page13'!$D$73&lt;&gt;0,'levy page13'!$D$73,"  ")</f>
        <v>738418</v>
      </c>
      <c r="E26" s="380">
        <f>IF(inputPrYr!F26&lt;&gt;0,inputPrYr!F26,"  ")</f>
        <v>1.352</v>
      </c>
      <c r="F26" s="109">
        <f>IF('levy page13'!$E$73&lt;&gt;0,'levy page13'!$E$73,"  ")</f>
        <v>601527</v>
      </c>
      <c r="G26" s="109">
        <f>IF('levy page13'!$E$80&lt;&gt;0,'levy page13'!$E$80,"  ")</f>
        <v>438577</v>
      </c>
      <c r="H26" s="380">
        <f>IF('levy page13'!$E$80&lt;&gt;0,ROUND(G26/$F$56*1000,3),"  ")</f>
        <v>1.528</v>
      </c>
    </row>
    <row r="27" spans="1:8" ht="15.75">
      <c r="A27" s="109" t="str">
        <f>IF((inputPrYr!$B27&gt;" "),(inputPrYr!$B27),"  ")</f>
        <v>Economic Development</v>
      </c>
      <c r="B27" s="109">
        <f>IF('levy page14'!$C$33&lt;&gt;0,'levy page14'!$C$33,"  ")</f>
        <v>102043</v>
      </c>
      <c r="C27" s="380">
        <f>IF(inputPrYr!D79&lt;&gt;0,inputPrYr!D79,"  ")</f>
        <v>0.283</v>
      </c>
      <c r="D27" s="109">
        <f>IF('levy page14'!$D$33&lt;&gt;0,'levy page14'!$D$33,"  ")</f>
        <v>140247</v>
      </c>
      <c r="E27" s="380">
        <f>IF(inputPrYr!F27&lt;&gt;0,inputPrYr!F27,"  ")</f>
        <v>0.247</v>
      </c>
      <c r="F27" s="109">
        <f>IF('levy page14'!$E$33&lt;&gt;0,'levy page14'!$E$33,"  ")</f>
        <v>124265</v>
      </c>
      <c r="G27" s="109">
        <f>IF('levy page14'!$E$40&lt;&gt;0,'levy page14'!$E$40,"  ")</f>
        <v>74554</v>
      </c>
      <c r="H27" s="380">
        <f>IF('levy page14'!$E$40&lt;&gt;0,ROUND(G27/$F$56*1000,3),"  ")</f>
        <v>0.26</v>
      </c>
    </row>
    <row r="28" spans="1:8" ht="15.75">
      <c r="A28" s="109" t="str">
        <f>IF((inputPrYr!$B28&gt;" "),(inputPrYr!$B28),"  ")</f>
        <v>Special Liability</v>
      </c>
      <c r="B28" s="109">
        <f>IF('levy page14'!$C$73&lt;&gt;0,'levy page14'!$C$73,"  ")</f>
        <v>18079</v>
      </c>
      <c r="C28" s="380">
        <f>IF(inputPrYr!D80&lt;&gt;0,inputPrYr!D80,"  ")</f>
        <v>0.07</v>
      </c>
      <c r="D28" s="109">
        <f>IF('levy page14'!$D$73&lt;&gt;0,'levy page14'!$D$73,"  ")</f>
        <v>24500</v>
      </c>
      <c r="E28" s="380">
        <f>IF(inputPrYr!F28&lt;&gt;0,inputPrYr!F28,"  ")</f>
        <v>0.059</v>
      </c>
      <c r="F28" s="109">
        <f>IF('levy page14'!$E$73&lt;&gt;0,'levy page14'!$E$73,"  ")</f>
        <v>24504</v>
      </c>
      <c r="G28" s="109">
        <f>IF('levy page14'!$E$80&lt;&gt;0,'levy page14'!$E$80,"  ")</f>
        <v>17055</v>
      </c>
      <c r="H28" s="380">
        <f>IF('levy page14'!$E$80&lt;&gt;0,ROUND(G28/$F$56*1000,3),"  ")</f>
        <v>0.059</v>
      </c>
    </row>
    <row r="29" spans="1:8" ht="15.75">
      <c r="A29" s="109" t="str">
        <f>IF((inputPrYr!$B29&gt;" "),(inputPrYr!$B29),"  ")</f>
        <v>No Fund Warr-B&amp;I</v>
      </c>
      <c r="B29" s="109">
        <f>IF('levy page15'!$C$33&lt;&gt;0,'levy page15'!$C$33,"  ")</f>
        <v>176548</v>
      </c>
      <c r="C29" s="380" t="str">
        <f>IF(inputPrYr!D81&lt;&gt;0,inputPrYr!D81,"  ")</f>
        <v>  </v>
      </c>
      <c r="D29" s="109">
        <f>IF('levy page15'!$D$33&lt;&gt;0,'levy page15'!$D$33,"  ")</f>
        <v>6000</v>
      </c>
      <c r="E29" s="380" t="str">
        <f>IF(inputPrYr!F29&lt;&gt;0,inputPrYr!F29,"  ")</f>
        <v>  </v>
      </c>
      <c r="F29" s="109">
        <f>IF('levy page15'!$E$33&lt;&gt;0,'levy page15'!$E$33,"  ")</f>
        <v>16469</v>
      </c>
      <c r="G29" s="109" t="str">
        <f>IF('levy page15'!$E$40&lt;&gt;0,'levy page15'!$E$40,"  ")</f>
        <v>  </v>
      </c>
      <c r="H29" s="380" t="str">
        <f>IF('levy page15'!$E$40&lt;&gt;0,ROUND(G29/$F$56*1000,3),"  ")</f>
        <v>  </v>
      </c>
    </row>
    <row r="30" spans="1:8" ht="15.75">
      <c r="A30" s="109" t="str">
        <f>IF((inputPrYr!$B30&gt;" "),(inputPrYr!$B30),"  ")</f>
        <v>  </v>
      </c>
      <c r="B30" s="109" t="str">
        <f>IF('levy page15'!$C$73&lt;&gt;0,'levy page15'!$C$73,"  ")</f>
        <v>  </v>
      </c>
      <c r="C30" s="380" t="str">
        <f>IF(inputPrYr!D82&lt;&gt;0,inputPrYr!D82,"  ")</f>
        <v>  </v>
      </c>
      <c r="D30" s="109" t="str">
        <f>IF('levy page15'!$D$73&lt;&gt;0,'levy page15'!$D$73,"  ")</f>
        <v>  </v>
      </c>
      <c r="E30" s="380" t="str">
        <f>IF(inputPrYr!F30&lt;&gt;0,inputPrYr!F30,"  ")</f>
        <v>  </v>
      </c>
      <c r="F30" s="109" t="str">
        <f>IF('levy page15'!$E$73&lt;&gt;0,'levy page15'!$E$73,"  ")</f>
        <v>  </v>
      </c>
      <c r="G30" s="109" t="str">
        <f>IF('levy page15'!$E$80&lt;&gt;0,'levy page15'!$E$80,"  ")</f>
        <v>  </v>
      </c>
      <c r="H30" s="380" t="str">
        <f>IF('levy page15'!$E$80&lt;&gt;0,ROUND(G30/$F$56*1000,3),"  ")</f>
        <v>  </v>
      </c>
    </row>
    <row r="31" spans="1:8" ht="15.75">
      <c r="A31" s="109"/>
      <c r="B31" s="109"/>
      <c r="C31" s="380"/>
      <c r="D31" s="109"/>
      <c r="E31" s="380"/>
      <c r="F31" s="109"/>
      <c r="G31" s="109"/>
      <c r="H31" s="380"/>
    </row>
    <row r="32" spans="1:8" ht="15.75">
      <c r="A32" s="109"/>
      <c r="B32" s="109"/>
      <c r="C32" s="380"/>
      <c r="D32" s="109"/>
      <c r="E32" s="380"/>
      <c r="F32" s="109"/>
      <c r="G32" s="109"/>
      <c r="H32" s="380"/>
    </row>
    <row r="33" spans="1:8" ht="15.75">
      <c r="A33" s="109"/>
      <c r="B33" s="109"/>
      <c r="C33" s="380"/>
      <c r="D33" s="109"/>
      <c r="E33" s="380"/>
      <c r="F33" s="109"/>
      <c r="G33" s="109"/>
      <c r="H33" s="380"/>
    </row>
    <row r="34" spans="1:8" ht="15.75">
      <c r="A34" s="109"/>
      <c r="B34" s="109"/>
      <c r="C34" s="380"/>
      <c r="D34" s="109"/>
      <c r="E34" s="380"/>
      <c r="F34" s="109"/>
      <c r="G34" s="109"/>
      <c r="H34" s="380"/>
    </row>
    <row r="35" spans="1:8" ht="15.75">
      <c r="A35" s="109"/>
      <c r="B35" s="109"/>
      <c r="C35" s="380"/>
      <c r="D35" s="109"/>
      <c r="E35" s="380"/>
      <c r="F35" s="109"/>
      <c r="G35" s="109"/>
      <c r="H35" s="380"/>
    </row>
    <row r="36" spans="1:8" ht="15.75">
      <c r="A36" s="109"/>
      <c r="B36" s="109"/>
      <c r="C36" s="380"/>
      <c r="D36" s="109"/>
      <c r="E36" s="380"/>
      <c r="F36" s="109"/>
      <c r="G36" s="109"/>
      <c r="H36" s="380"/>
    </row>
    <row r="37" spans="1:8" ht="15.75">
      <c r="A37" s="109"/>
      <c r="B37" s="109"/>
      <c r="C37" s="380"/>
      <c r="D37" s="109"/>
      <c r="E37" s="380"/>
      <c r="F37" s="109"/>
      <c r="G37" s="109"/>
      <c r="H37" s="380"/>
    </row>
    <row r="38" spans="1:8" ht="15.75">
      <c r="A38" s="109"/>
      <c r="B38" s="109"/>
      <c r="C38" s="380"/>
      <c r="D38" s="109"/>
      <c r="E38" s="380"/>
      <c r="F38" s="109"/>
      <c r="G38" s="109"/>
      <c r="H38" s="380"/>
    </row>
    <row r="39" spans="1:8" ht="15.75">
      <c r="A39" s="109"/>
      <c r="B39" s="109"/>
      <c r="C39" s="380"/>
      <c r="D39" s="109"/>
      <c r="E39" s="380"/>
      <c r="F39" s="109"/>
      <c r="G39" s="109"/>
      <c r="H39" s="380"/>
    </row>
    <row r="40" spans="1:8" ht="15.75">
      <c r="A40" s="109"/>
      <c r="B40" s="109"/>
      <c r="C40" s="380"/>
      <c r="D40" s="109"/>
      <c r="E40" s="380"/>
      <c r="F40" s="109"/>
      <c r="G40" s="109"/>
      <c r="H40" s="380"/>
    </row>
    <row r="41" spans="1:13" ht="15.75">
      <c r="A41" s="109" t="str">
        <f>IF((inputPrYr!$B44&gt;" "),(inputPrYr!$B44),"  ")</f>
        <v>Waste Disposal</v>
      </c>
      <c r="B41" s="109">
        <f>IF('no levy page 16'!$C$28&lt;&gt;0,'no levy page 16'!$C$28,"  ")</f>
        <v>3607</v>
      </c>
      <c r="C41" s="162"/>
      <c r="D41" s="109" t="str">
        <f>IF('no levy page 16'!$D$28&lt;&gt;0,'no levy page 16'!$D$28,"  ")</f>
        <v>  </v>
      </c>
      <c r="E41" s="162"/>
      <c r="F41" s="109">
        <f>IF('no levy page 16'!$E$28&lt;&gt;0,'no levy page 16'!$E$28,"  ")</f>
        <v>56479</v>
      </c>
      <c r="G41" s="109"/>
      <c r="H41" s="86"/>
      <c r="J41" s="762" t="str">
        <f>CONCATENATE("Estimated Value Of One Mill For ",H1,"")</f>
        <v>Estimated Value Of One Mill For 2015</v>
      </c>
      <c r="K41" s="767"/>
      <c r="L41" s="767"/>
      <c r="M41" s="768"/>
    </row>
    <row r="42" spans="1:13" ht="15.75">
      <c r="A42" s="109" t="str">
        <f>IF((inputPrYr!$B45&gt;" "),(inputPrYr!$B45),"  ")</f>
        <v>Tourism &amp; Convention</v>
      </c>
      <c r="B42" s="109">
        <f>IF('no levy page 16'!$C$59&lt;&gt;0,'no levy page 16'!$C$59,"  ")</f>
        <v>309439</v>
      </c>
      <c r="C42" s="162"/>
      <c r="D42" s="109">
        <f>IF('no levy page 16'!$D$59&lt;&gt;0,'no levy page 16'!$D$59,"  ")</f>
        <v>325000</v>
      </c>
      <c r="E42" s="162"/>
      <c r="F42" s="109">
        <f>IF('no levy page 16'!$E$59&lt;&gt;0,'no levy page 16'!$E$59,"  ")</f>
        <v>375000</v>
      </c>
      <c r="G42" s="109"/>
      <c r="H42" s="86"/>
      <c r="J42" s="509"/>
      <c r="K42" s="510"/>
      <c r="L42" s="510"/>
      <c r="M42" s="511"/>
    </row>
    <row r="43" spans="1:13" ht="15.75">
      <c r="A43" s="109" t="str">
        <f>IF((inputPrYr!$B46&gt;" "),(inputPrYr!$B46),"  ")</f>
        <v>Sp Law Enforcement</v>
      </c>
      <c r="B43" s="109">
        <f>IF('no levy page17'!$C$28&lt;&gt;0,'no levy page17'!$C$28,"  ")</f>
        <v>40101</v>
      </c>
      <c r="C43" s="162"/>
      <c r="D43" s="109">
        <f>IF('no levy page17'!$D$28&lt;&gt;0,'no levy page17'!$D$28,"  ")</f>
        <v>80061</v>
      </c>
      <c r="E43" s="162"/>
      <c r="F43" s="109">
        <f>IF('no levy page17'!$E$28&lt;&gt;0,'no levy page17'!$E$28,"  ")</f>
        <v>96363</v>
      </c>
      <c r="G43" s="109"/>
      <c r="H43" s="86"/>
      <c r="J43" s="512" t="s">
        <v>570</v>
      </c>
      <c r="K43" s="513"/>
      <c r="L43" s="513"/>
      <c r="M43" s="514">
        <f>ROUND(F56/1000,0)</f>
        <v>287000</v>
      </c>
    </row>
    <row r="44" spans="1:8" ht="15.75">
      <c r="A44" s="109" t="str">
        <f>IF((inputPrYr!$B47&gt;" "),(inputPrYr!$B47),"  ")</f>
        <v>Sp Parks &amp; Rec</v>
      </c>
      <c r="B44" s="109">
        <f>IF('no levy page17'!$C$59&lt;&gt;0,'no levy page17'!$C$59,"  ")</f>
        <v>25734</v>
      </c>
      <c r="C44" s="162"/>
      <c r="D44" s="109">
        <f>IF('no levy page17'!$D$59&lt;&gt;0,'no levy page17'!$D$59,"  ")</f>
        <v>20418</v>
      </c>
      <c r="E44" s="162"/>
      <c r="F44" s="109">
        <f>IF('no levy page17'!$E$59&lt;&gt;0,'no levy page17'!$E$59,"  ")</f>
        <v>20000</v>
      </c>
      <c r="G44" s="109"/>
      <c r="H44" s="86"/>
    </row>
    <row r="45" spans="1:13" ht="15.75">
      <c r="A45" s="109" t="str">
        <f>IF((inputPrYr!$B48&gt;" "),(inputPrYr!$B48),"  ")</f>
        <v>Sp Alcohol Program</v>
      </c>
      <c r="B45" s="109">
        <f>IF('no levy page18'!$C$28&lt;&gt;0,'no levy page18'!$C$28,"  ")</f>
        <v>30098</v>
      </c>
      <c r="C45" s="162"/>
      <c r="D45" s="109">
        <f>IF('no levy page18'!$D$28&lt;&gt;0,'no levy page18'!$D$28,"  ")</f>
        <v>30000</v>
      </c>
      <c r="E45" s="162"/>
      <c r="F45" s="109">
        <f>IF('no levy page18'!$E$28&lt;&gt;0,'no levy page18'!$E$28,"  ")</f>
        <v>30000</v>
      </c>
      <c r="G45" s="109"/>
      <c r="H45" s="86"/>
      <c r="J45" s="762" t="str">
        <f>CONCATENATE("Want The Mill Rate The Same As For ",H1-1,"?")</f>
        <v>Want The Mill Rate The Same As For 2014?</v>
      </c>
      <c r="K45" s="767"/>
      <c r="L45" s="767"/>
      <c r="M45" s="768"/>
    </row>
    <row r="46" spans="1:13" ht="15.75">
      <c r="A46" s="109" t="str">
        <f>IF((inputPrYr!$B49&gt;" "),(inputPrYr!$B49),"  ")</f>
        <v>Sp Assmts-Co Wide</v>
      </c>
      <c r="B46" s="109" t="str">
        <f>IF('no levy page18'!$C$59&lt;&gt;0,'no levy page18'!$C$59,"  ")</f>
        <v>  </v>
      </c>
      <c r="C46" s="162"/>
      <c r="D46" s="109">
        <f>IF('no levy page18'!$D$59&lt;&gt;0,'no levy page18'!$D$59,"  ")</f>
        <v>20431</v>
      </c>
      <c r="E46" s="162"/>
      <c r="F46" s="109" t="str">
        <f>IF('no levy page18'!$E$59&lt;&gt;0,'no levy page18'!$E$59,"  ")</f>
        <v>  </v>
      </c>
      <c r="G46" s="109"/>
      <c r="H46" s="86"/>
      <c r="J46" s="516"/>
      <c r="K46" s="510"/>
      <c r="L46" s="510"/>
      <c r="M46" s="517"/>
    </row>
    <row r="47" spans="1:13" ht="15.75">
      <c r="A47" s="109" t="str">
        <f>IF((inputPrYr!$B50&gt;" "),(inputPrYr!$B50),"  ")</f>
        <v>Emergency 911</v>
      </c>
      <c r="B47" s="109">
        <f>IF('no levy page19'!$C$28&lt;&gt;0,'no levy page19'!$C$28,"  ")</f>
        <v>508</v>
      </c>
      <c r="C47" s="162"/>
      <c r="D47" s="109">
        <f>IF('no levy page19'!$D$28&lt;&gt;0,'no levy page19'!$D$28,"  ")</f>
        <v>2568</v>
      </c>
      <c r="E47" s="162"/>
      <c r="F47" s="109">
        <f>IF('no levy page19'!$E$28&lt;&gt;0,'no levy page19'!$E$28,"  ")</f>
        <v>3000</v>
      </c>
      <c r="G47" s="109"/>
      <c r="H47" s="86"/>
      <c r="J47" s="516" t="str">
        <f>CONCATENATE("",H1-1," Mill Rate Was:")</f>
        <v>2014 Mill Rate Was:</v>
      </c>
      <c r="K47" s="510"/>
      <c r="L47" s="510"/>
      <c r="M47" s="518">
        <f>E52</f>
        <v>40.64399999999999</v>
      </c>
    </row>
    <row r="48" spans="1:13" ht="15.75">
      <c r="A48" s="109" t="str">
        <f>IF((inputPrYr!$B51&gt;" "),(inputPrYr!$B51),"  ")</f>
        <v>VIN Fees</v>
      </c>
      <c r="B48" s="109">
        <f>IF('no levy page19'!$C$59&lt;&gt;0,'no levy page19'!$C$59,"  ")</f>
        <v>89066</v>
      </c>
      <c r="C48" s="162"/>
      <c r="D48" s="109">
        <f>IF('no levy page19'!$D$59&lt;&gt;0,'no levy page19'!$D$59,"  ")</f>
        <v>92503</v>
      </c>
      <c r="E48" s="162"/>
      <c r="F48" s="109">
        <f>IF('no levy page19'!$E$59&lt;&gt;0,'no levy page19'!$E$59,"  ")</f>
        <v>80000</v>
      </c>
      <c r="G48" s="109"/>
      <c r="H48" s="86"/>
      <c r="J48" s="519" t="str">
        <f>CONCATENATE("",H1," Tax Levy Fund Expenditures Must Be")</f>
        <v>2015 Tax Levy Fund Expenditures Must Be</v>
      </c>
      <c r="K48" s="520"/>
      <c r="L48" s="520"/>
      <c r="M48" s="517"/>
    </row>
    <row r="49" spans="1:13" ht="15.75">
      <c r="A49" s="109" t="str">
        <f>IF((inputPrYr!$B52&gt;" "),(inputPrYr!$B52),"  ")</f>
        <v>Noxious Weed Cap. Outlay</v>
      </c>
      <c r="B49" s="109" t="str">
        <f>IF('no levy page20'!$C$28&lt;&gt;0,'no levy page20'!$C$28,"  ")</f>
        <v>  </v>
      </c>
      <c r="C49" s="162"/>
      <c r="D49" s="109" t="str">
        <f>IF('no levy page20'!$D$28&lt;&gt;0,'no levy page20'!$D$28,"  ")</f>
        <v>  </v>
      </c>
      <c r="E49" s="162"/>
      <c r="F49" s="109">
        <f>IF('no levy page20'!$E$28&lt;&gt;0,'no levy page20'!$E$28,"  ")</f>
        <v>119379</v>
      </c>
      <c r="G49" s="109"/>
      <c r="H49" s="86"/>
      <c r="J49" s="519">
        <f>IF(M49&gt;0,"Increased By:","")</f>
      </c>
      <c r="K49" s="520"/>
      <c r="L49" s="520"/>
      <c r="M49" s="595">
        <f>IF(M56&lt;0,M56*-1,0)</f>
        <v>0</v>
      </c>
    </row>
    <row r="50" spans="1:13" ht="15.75">
      <c r="A50" s="109" t="str">
        <f>IF((inputPrYr!$B53&gt;" "),(inputPrYr!$B53),"  ")</f>
        <v>Risk Management Fund</v>
      </c>
      <c r="B50" s="109" t="str">
        <f>IF('no levy page20'!$C$59&lt;&gt;0,'no levy page20'!$C$59,"  ")</f>
        <v>  </v>
      </c>
      <c r="C50" s="162"/>
      <c r="D50" s="109" t="str">
        <f>IF('no levy page20'!$D$59&lt;&gt;0,'no levy page20'!$D$59,"  ")</f>
        <v>  </v>
      </c>
      <c r="E50" s="162"/>
      <c r="F50" s="109">
        <f>IF('no levy page20'!$E$59&lt;&gt;0,'no levy page20'!$E$59,"  ")</f>
        <v>199017</v>
      </c>
      <c r="G50" s="109"/>
      <c r="H50" s="86"/>
      <c r="J50" s="603" t="str">
        <f>IF(M50&lt;0,"Reduced By:","")</f>
        <v>Reduced By:</v>
      </c>
      <c r="K50" s="604"/>
      <c r="L50" s="604"/>
      <c r="M50" s="605">
        <f>IF(M56&gt;0,M56*-1,0)</f>
        <v>-466296.6500000004</v>
      </c>
    </row>
    <row r="51" spans="1:13" ht="16.5" thickBot="1">
      <c r="A51" s="109" t="str">
        <f>IF((inputPrYr!$B57&gt;"  "),(NonBud!$A3),"  ")</f>
        <v>Non-Budgeted Funds</v>
      </c>
      <c r="B51" s="598">
        <f>IF(NonBud!K28&gt;0,NonBud!K28,"")</f>
        <v>329451</v>
      </c>
      <c r="C51" s="599"/>
      <c r="D51" s="598"/>
      <c r="E51" s="599"/>
      <c r="F51" s="598"/>
      <c r="G51" s="598"/>
      <c r="H51" s="600"/>
      <c r="J51" s="523"/>
      <c r="K51" s="523"/>
      <c r="L51" s="523"/>
      <c r="M51" s="523"/>
    </row>
    <row r="52" spans="1:13" ht="15.75">
      <c r="A52" s="85" t="s">
        <v>671</v>
      </c>
      <c r="B52" s="596">
        <f>SUM(B16:B51)</f>
        <v>19892797</v>
      </c>
      <c r="C52" s="597">
        <f>SUM(C16:C40)</f>
        <v>40.697</v>
      </c>
      <c r="D52" s="596">
        <f>SUM(D16:D51)</f>
        <v>25769949</v>
      </c>
      <c r="E52" s="597">
        <f>SUM(E16:E40)</f>
        <v>40.64399999999999</v>
      </c>
      <c r="F52" s="596">
        <f>SUM(F16:F51)</f>
        <v>22692018</v>
      </c>
      <c r="G52" s="596">
        <f>SUM(G16:G40)</f>
        <v>12131124.65</v>
      </c>
      <c r="H52" s="597">
        <f>SUM(H16:H40)</f>
        <v>42.268</v>
      </c>
      <c r="J52" s="762" t="str">
        <f>CONCATENATE("Impact On Keeping The Same Mill Rate As For ",H1-1,"")</f>
        <v>Impact On Keeping The Same Mill Rate As For 2014</v>
      </c>
      <c r="K52" s="763"/>
      <c r="L52" s="763"/>
      <c r="M52" s="764"/>
    </row>
    <row r="53" spans="1:13" ht="15.75">
      <c r="A53" s="65" t="s">
        <v>706</v>
      </c>
      <c r="B53" s="381">
        <f>transfers!C29</f>
        <v>45000</v>
      </c>
      <c r="C53" s="382"/>
      <c r="D53" s="381">
        <f>transfers!D29</f>
        <v>20431</v>
      </c>
      <c r="E53" s="316"/>
      <c r="F53" s="381">
        <f>transfers!E29</f>
        <v>300000</v>
      </c>
      <c r="G53" s="66"/>
      <c r="J53" s="516"/>
      <c r="K53" s="510"/>
      <c r="L53" s="510"/>
      <c r="M53" s="517"/>
    </row>
    <row r="54" spans="1:13" ht="16.5" thickBot="1">
      <c r="A54" s="65" t="s">
        <v>707</v>
      </c>
      <c r="B54" s="172">
        <f>B52-B53</f>
        <v>19847797</v>
      </c>
      <c r="C54" s="66"/>
      <c r="D54" s="172">
        <f>D52-D53</f>
        <v>25749518</v>
      </c>
      <c r="E54" s="382"/>
      <c r="F54" s="172">
        <f>F52-F53</f>
        <v>22392018</v>
      </c>
      <c r="G54" s="66"/>
      <c r="J54" s="516" t="str">
        <f>CONCATENATE("",H1," Ad Valorem Tax Revenue:")</f>
        <v>2015 Ad Valorem Tax Revenue:</v>
      </c>
      <c r="K54" s="510"/>
      <c r="L54" s="510"/>
      <c r="M54" s="511">
        <f>G52</f>
        <v>12131124.65</v>
      </c>
    </row>
    <row r="55" spans="1:13" ht="16.5" thickTop="1">
      <c r="A55" s="65" t="s">
        <v>708</v>
      </c>
      <c r="B55" s="601">
        <f>inputPrYr!D95</f>
        <v>14970688</v>
      </c>
      <c r="C55" s="66"/>
      <c r="D55" s="601">
        <f>inputPrYr!E41</f>
        <v>11799021</v>
      </c>
      <c r="E55" s="66"/>
      <c r="F55" s="602" t="s">
        <v>903</v>
      </c>
      <c r="G55" s="66"/>
      <c r="J55" s="516" t="str">
        <f>CONCATENATE("",H1-1," Ad Valorem Tax Revenue:")</f>
        <v>2014 Ad Valorem Tax Revenue:</v>
      </c>
      <c r="K55" s="510"/>
      <c r="L55" s="510"/>
      <c r="M55" s="524">
        <f>ROUND(F56*M47/1000,0)</f>
        <v>11664828</v>
      </c>
    </row>
    <row r="56" spans="1:13" ht="15.75">
      <c r="A56" s="65" t="s">
        <v>709</v>
      </c>
      <c r="B56" s="109">
        <f>inputPrYr!D96</f>
        <v>367845695</v>
      </c>
      <c r="C56" s="66"/>
      <c r="D56" s="109">
        <f>inputPrYr!E64</f>
        <v>290300146</v>
      </c>
      <c r="E56" s="66"/>
      <c r="F56" s="109">
        <f>inputOth!E5</f>
        <v>287000000</v>
      </c>
      <c r="G56" s="66"/>
      <c r="J56" s="521" t="s">
        <v>571</v>
      </c>
      <c r="K56" s="522"/>
      <c r="L56" s="522"/>
      <c r="M56" s="514">
        <f>SUM(M54-M55)</f>
        <v>466296.6500000004</v>
      </c>
    </row>
    <row r="57" spans="1:13" ht="15.75">
      <c r="A57" s="65" t="s">
        <v>710</v>
      </c>
      <c r="B57" s="66"/>
      <c r="C57" s="66"/>
      <c r="D57" s="66"/>
      <c r="E57" s="66"/>
      <c r="F57" s="66"/>
      <c r="G57" s="66"/>
      <c r="H57" s="123"/>
      <c r="J57" s="515"/>
      <c r="K57" s="515"/>
      <c r="L57" s="515"/>
      <c r="M57" s="523"/>
    </row>
    <row r="58" spans="1:13" ht="15.75">
      <c r="A58" s="65" t="s">
        <v>711</v>
      </c>
      <c r="B58" s="383">
        <f>H1-3</f>
        <v>2012</v>
      </c>
      <c r="C58" s="66"/>
      <c r="D58" s="383">
        <f>H1-2</f>
        <v>2013</v>
      </c>
      <c r="E58" s="66"/>
      <c r="F58" s="383">
        <f>H1-1</f>
        <v>2014</v>
      </c>
      <c r="G58" s="66"/>
      <c r="H58" s="123"/>
      <c r="J58" s="762" t="s">
        <v>572</v>
      </c>
      <c r="K58" s="763"/>
      <c r="L58" s="763"/>
      <c r="M58" s="764"/>
    </row>
    <row r="59" spans="1:13" ht="15.75">
      <c r="A59" s="65" t="s">
        <v>712</v>
      </c>
      <c r="B59" s="109">
        <f>inputPrYr!D100</f>
        <v>12840</v>
      </c>
      <c r="C59" s="66"/>
      <c r="D59" s="109">
        <f>inputPrYr!E100</f>
        <v>0</v>
      </c>
      <c r="E59" s="66"/>
      <c r="F59" s="109">
        <f>debt!G22</f>
        <v>0</v>
      </c>
      <c r="G59" s="66"/>
      <c r="H59" s="123"/>
      <c r="J59" s="516"/>
      <c r="K59" s="510"/>
      <c r="L59" s="510"/>
      <c r="M59" s="517"/>
    </row>
    <row r="60" spans="1:13" ht="15.75">
      <c r="A60" s="65" t="s">
        <v>713</v>
      </c>
      <c r="B60" s="109">
        <f>inputPrYr!D101</f>
        <v>0</v>
      </c>
      <c r="C60" s="66"/>
      <c r="D60" s="109">
        <f>inputPrYr!E101</f>
        <v>0</v>
      </c>
      <c r="E60" s="66"/>
      <c r="F60" s="109">
        <f>debt!G35</f>
        <v>0</v>
      </c>
      <c r="G60" s="66"/>
      <c r="H60" s="123"/>
      <c r="J60" s="516" t="str">
        <f>CONCATENATE("Current ",H10," Estimated Mill Rate:")</f>
        <v>Current  Estimated Mill Rate:</v>
      </c>
      <c r="K60" s="510"/>
      <c r="L60" s="510"/>
      <c r="M60" s="518">
        <f>H52</f>
        <v>42.268</v>
      </c>
    </row>
    <row r="61" spans="1:13" ht="15.75">
      <c r="A61" s="65" t="s">
        <v>699</v>
      </c>
      <c r="B61" s="109">
        <f>inputPrYr!D102</f>
        <v>171525</v>
      </c>
      <c r="C61" s="66"/>
      <c r="D61" s="109">
        <f>inputPrYr!E102</f>
        <v>149016</v>
      </c>
      <c r="E61" s="66"/>
      <c r="F61" s="109">
        <f>debt!G46</f>
        <v>137431</v>
      </c>
      <c r="G61" s="66"/>
      <c r="H61" s="123"/>
      <c r="J61" s="516" t="str">
        <f>CONCATENATE("Desired ",H10," Mill Rate:")</f>
        <v>Desired  Mill Rate:</v>
      </c>
      <c r="K61" s="510"/>
      <c r="L61" s="510"/>
      <c r="M61" s="525">
        <v>215</v>
      </c>
    </row>
    <row r="62" spans="1:13" ht="15.75">
      <c r="A62" s="65" t="s">
        <v>798</v>
      </c>
      <c r="B62" s="109">
        <f>inputPrYr!D103</f>
        <v>476837</v>
      </c>
      <c r="C62" s="66"/>
      <c r="D62" s="109">
        <f>inputPrYr!E103</f>
        <v>428608</v>
      </c>
      <c r="E62" s="66"/>
      <c r="F62" s="109">
        <f>lpform!G37</f>
        <v>291342</v>
      </c>
      <c r="G62" s="66"/>
      <c r="H62" s="123"/>
      <c r="J62" s="516" t="str">
        <f>CONCATENATE("",H1," Ad Valorem Tax:")</f>
        <v>2015 Ad Valorem Tax:</v>
      </c>
      <c r="K62" s="510"/>
      <c r="L62" s="510"/>
      <c r="M62" s="524">
        <f>ROUND(F56*M61/1000,0)</f>
        <v>61705000</v>
      </c>
    </row>
    <row r="63" spans="1:13" ht="16.5" thickBot="1">
      <c r="A63" s="65" t="s">
        <v>714</v>
      </c>
      <c r="B63" s="172">
        <f>SUM(B59:B62)</f>
        <v>661202</v>
      </c>
      <c r="C63" s="66"/>
      <c r="D63" s="172">
        <f>SUM(D59:D62)</f>
        <v>577624</v>
      </c>
      <c r="E63" s="66"/>
      <c r="F63" s="172">
        <f>SUM(F59:F62)</f>
        <v>428773</v>
      </c>
      <c r="G63" s="66"/>
      <c r="H63" s="123"/>
      <c r="J63" s="521" t="str">
        <f>CONCATENATE("",H10," Tax Levy Fund Exp. Changed By:")</f>
        <v> Tax Levy Fund Exp. Changed By:</v>
      </c>
      <c r="K63" s="522"/>
      <c r="L63" s="522"/>
      <c r="M63" s="514">
        <f>IF(M61=0,0,(M62-G52))</f>
        <v>49573875.35</v>
      </c>
    </row>
    <row r="64" spans="1:8" ht="16.5" thickTop="1">
      <c r="A64" s="65" t="s">
        <v>715</v>
      </c>
      <c r="B64" s="66"/>
      <c r="C64" s="66"/>
      <c r="D64" s="66"/>
      <c r="E64" s="66"/>
      <c r="F64" s="66"/>
      <c r="G64" s="66"/>
      <c r="H64" s="123"/>
    </row>
    <row r="65" spans="1:8" ht="15.75">
      <c r="A65" s="66"/>
      <c r="B65" s="66"/>
      <c r="C65" s="66"/>
      <c r="D65" s="66"/>
      <c r="E65" s="66"/>
      <c r="F65" s="66"/>
      <c r="G65" s="66"/>
      <c r="H65" s="123"/>
    </row>
    <row r="66" spans="1:8" ht="15.75">
      <c r="A66" s="765" t="str">
        <f>inputBudSum!B3</f>
        <v>Charlotte Scott Schmidt</v>
      </c>
      <c r="B66" s="766"/>
      <c r="C66" s="66"/>
      <c r="D66" s="66"/>
      <c r="E66" s="66"/>
      <c r="F66" s="66"/>
      <c r="G66" s="66"/>
      <c r="H66" s="123"/>
    </row>
    <row r="67" spans="1:8" ht="15.75">
      <c r="A67" s="143" t="s">
        <v>716</v>
      </c>
      <c r="B67" s="74"/>
      <c r="C67" s="66"/>
      <c r="D67" s="66"/>
      <c r="E67" s="66"/>
      <c r="F67" s="66"/>
      <c r="G67" s="66"/>
      <c r="H67" s="123"/>
    </row>
    <row r="68" spans="1:8" ht="15.75">
      <c r="A68" s="66"/>
      <c r="B68" s="66"/>
      <c r="C68" s="66"/>
      <c r="D68" s="280" t="s">
        <v>683</v>
      </c>
      <c r="E68" s="333">
        <v>25</v>
      </c>
      <c r="F68" s="66"/>
      <c r="G68" s="66"/>
      <c r="H68" s="123"/>
    </row>
    <row r="69" spans="1:8" ht="15.75">
      <c r="A69" s="123"/>
      <c r="D69" s="123"/>
      <c r="E69" s="123"/>
      <c r="F69" s="123"/>
      <c r="G69" s="123"/>
      <c r="H69" s="123"/>
    </row>
  </sheetData>
  <sheetProtection sheet="1"/>
  <mergeCells count="13">
    <mergeCell ref="J52:M52"/>
    <mergeCell ref="J58:M58"/>
    <mergeCell ref="A66:B66"/>
    <mergeCell ref="A10:H10"/>
    <mergeCell ref="A11:H11"/>
    <mergeCell ref="J41:M41"/>
    <mergeCell ref="J45:M45"/>
    <mergeCell ref="A7:H7"/>
    <mergeCell ref="A8:H8"/>
    <mergeCell ref="A2:H2"/>
    <mergeCell ref="A4:H4"/>
    <mergeCell ref="A5:H5"/>
    <mergeCell ref="A6:H6"/>
  </mergeCells>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B1:K57"/>
  <sheetViews>
    <sheetView zoomScale="75" zoomScaleNormal="75" zoomScalePageLayoutView="0" workbookViewId="0" topLeftCell="A1">
      <selection activeCell="G25" sqref="G25"/>
    </sheetView>
  </sheetViews>
  <sheetFormatPr defaultColWidth="8.796875" defaultRowHeight="15"/>
  <cols>
    <col min="1" max="1" width="7.09765625" style="52" customWidth="1"/>
    <col min="2" max="2" width="20.796875" style="52" customWidth="1"/>
    <col min="3" max="3" width="12.796875" style="52" customWidth="1"/>
    <col min="4" max="4" width="9.796875" style="52" customWidth="1"/>
    <col min="5" max="5" width="12.796875" style="52" customWidth="1"/>
    <col min="6" max="6" width="9.796875" style="52" customWidth="1"/>
    <col min="7" max="7" width="15.19921875" style="52" customWidth="1"/>
    <col min="8" max="9" width="12.796875" style="52" customWidth="1"/>
    <col min="10" max="10" width="9.796875" style="52" customWidth="1"/>
    <col min="11" max="16384" width="8.8984375" style="52" customWidth="1"/>
  </cols>
  <sheetData>
    <row r="1" spans="2:10" ht="15.75">
      <c r="B1" s="199" t="str">
        <f>inputPrYr!C3</f>
        <v>Montgomery County</v>
      </c>
      <c r="C1" s="66"/>
      <c r="D1" s="66"/>
      <c r="E1" s="66"/>
      <c r="F1" s="66"/>
      <c r="G1" s="66"/>
      <c r="H1" s="66"/>
      <c r="I1" s="66"/>
      <c r="J1" s="279">
        <f>inputPrYr!C5</f>
        <v>2015</v>
      </c>
    </row>
    <row r="2" spans="2:10" ht="15.75">
      <c r="B2" s="66"/>
      <c r="C2" s="66"/>
      <c r="D2" s="66"/>
      <c r="E2" s="66"/>
      <c r="F2" s="66"/>
      <c r="G2" s="66"/>
      <c r="H2" s="66"/>
      <c r="I2" s="66"/>
      <c r="J2" s="106"/>
    </row>
    <row r="3" spans="2:11" ht="15.75">
      <c r="B3" s="73" t="s">
        <v>743</v>
      </c>
      <c r="C3" s="74"/>
      <c r="D3" s="74"/>
      <c r="E3" s="74"/>
      <c r="F3" s="74"/>
      <c r="G3" s="74"/>
      <c r="H3" s="74"/>
      <c r="I3" s="74"/>
      <c r="J3" s="317"/>
      <c r="K3" s="376"/>
    </row>
    <row r="4" spans="2:10" ht="15.75">
      <c r="B4" s="66"/>
      <c r="C4" s="144"/>
      <c r="D4" s="144"/>
      <c r="E4" s="144"/>
      <c r="F4" s="144"/>
      <c r="G4" s="144"/>
      <c r="H4" s="144"/>
      <c r="I4" s="144"/>
      <c r="J4" s="144"/>
    </row>
    <row r="5" spans="2:10" ht="15.75">
      <c r="B5" s="282"/>
      <c r="C5" s="377" t="str">
        <f>CONCATENATE("Prior Year Actual ",J1-2,"")</f>
        <v>Prior Year Actual 2013</v>
      </c>
      <c r="D5" s="147"/>
      <c r="E5" s="378" t="str">
        <f>CONCATENATE("Current Year Estimate ",J1-1,"")</f>
        <v>Current Year Estimate 2014</v>
      </c>
      <c r="F5" s="147"/>
      <c r="G5" s="145" t="str">
        <f>CONCATENATE("Proposed Budget ",J1,"")</f>
        <v>Proposed Budget 2015</v>
      </c>
      <c r="H5" s="146"/>
      <c r="I5" s="146"/>
      <c r="J5" s="147"/>
    </row>
    <row r="6" spans="2:10" ht="21" customHeight="1">
      <c r="B6" s="687"/>
      <c r="C6" s="148"/>
      <c r="D6" s="148" t="s">
        <v>702</v>
      </c>
      <c r="E6" s="148"/>
      <c r="F6" s="148" t="s">
        <v>702</v>
      </c>
      <c r="G6" s="479" t="s">
        <v>445</v>
      </c>
      <c r="H6" s="721" t="str">
        <f>CONCATENATE("Amount of ",J1-1," Ad Valorem Tax")</f>
        <v>Amount of 2014 Ad Valorem Tax</v>
      </c>
      <c r="I6" s="721" t="str">
        <f>CONCATENATE("July 1, ",J1-1," Est. Valuation")</f>
        <v>July 1, 2014 Est. Valuation</v>
      </c>
      <c r="J6" s="148" t="s">
        <v>703</v>
      </c>
    </row>
    <row r="7" spans="2:10" ht="15.75">
      <c r="B7" s="151" t="s">
        <v>717</v>
      </c>
      <c r="C7" s="256" t="s">
        <v>653</v>
      </c>
      <c r="D7" s="256" t="s">
        <v>705</v>
      </c>
      <c r="E7" s="256" t="s">
        <v>834</v>
      </c>
      <c r="F7" s="256" t="s">
        <v>705</v>
      </c>
      <c r="G7" s="480" t="s">
        <v>446</v>
      </c>
      <c r="H7" s="713"/>
      <c r="I7" s="713"/>
      <c r="J7" s="256" t="s">
        <v>705</v>
      </c>
    </row>
    <row r="8" spans="2:10" ht="15.75">
      <c r="B8" s="191" t="s">
        <v>132</v>
      </c>
      <c r="C8" s="128">
        <v>13316</v>
      </c>
      <c r="D8" s="91">
        <v>0</v>
      </c>
      <c r="E8" s="128">
        <v>13316</v>
      </c>
      <c r="F8" s="91">
        <v>0</v>
      </c>
      <c r="G8" s="128">
        <v>13316</v>
      </c>
      <c r="H8" s="128">
        <v>0</v>
      </c>
      <c r="I8" s="128"/>
      <c r="J8" s="380" t="str">
        <f>IF(I8&lt;&gt;0,ROUND(H8/I8*1000,3)," ")</f>
        <v> </v>
      </c>
    </row>
    <row r="9" spans="2:10" ht="15.75">
      <c r="B9" s="128" t="s">
        <v>133</v>
      </c>
      <c r="C9" s="128">
        <v>217316</v>
      </c>
      <c r="D9" s="91">
        <v>0</v>
      </c>
      <c r="E9" s="128">
        <v>279700</v>
      </c>
      <c r="F9" s="91">
        <v>0</v>
      </c>
      <c r="G9" s="128">
        <v>308641</v>
      </c>
      <c r="H9" s="128">
        <v>0</v>
      </c>
      <c r="I9" s="128"/>
      <c r="J9" s="380" t="str">
        <f aca="true" t="shared" si="0" ref="J9:J36">IF(I9&lt;&gt;0,ROUND(H9/I9*1000,3)," ")</f>
        <v> </v>
      </c>
    </row>
    <row r="10" spans="2:10" ht="15.75">
      <c r="B10" s="128" t="s">
        <v>134</v>
      </c>
      <c r="C10" s="128">
        <v>0</v>
      </c>
      <c r="D10" s="91">
        <v>0</v>
      </c>
      <c r="E10" s="128">
        <v>0</v>
      </c>
      <c r="F10" s="91">
        <v>0</v>
      </c>
      <c r="G10" s="128">
        <v>3242</v>
      </c>
      <c r="H10" s="128">
        <v>0</v>
      </c>
      <c r="I10" s="128"/>
      <c r="J10" s="380" t="str">
        <f t="shared" si="0"/>
        <v> </v>
      </c>
    </row>
    <row r="11" spans="2:10" ht="15.75">
      <c r="B11" s="128" t="s">
        <v>135</v>
      </c>
      <c r="C11" s="128">
        <v>517</v>
      </c>
      <c r="D11" s="91">
        <v>0</v>
      </c>
      <c r="E11" s="128">
        <v>1000</v>
      </c>
      <c r="F11" s="91">
        <v>0</v>
      </c>
      <c r="G11" s="128">
        <v>1000</v>
      </c>
      <c r="H11" s="128">
        <v>0</v>
      </c>
      <c r="I11" s="128"/>
      <c r="J11" s="380" t="str">
        <f t="shared" si="0"/>
        <v> </v>
      </c>
    </row>
    <row r="12" spans="2:10" ht="15.75">
      <c r="B12" s="128"/>
      <c r="C12" s="128"/>
      <c r="D12" s="91"/>
      <c r="E12" s="128"/>
      <c r="F12" s="91"/>
      <c r="G12" s="128"/>
      <c r="H12" s="128"/>
      <c r="I12" s="128"/>
      <c r="J12" s="380" t="str">
        <f t="shared" si="0"/>
        <v> </v>
      </c>
    </row>
    <row r="13" spans="2:10" ht="15.75">
      <c r="B13" s="128" t="s">
        <v>136</v>
      </c>
      <c r="C13" s="128"/>
      <c r="D13" s="91"/>
      <c r="E13" s="128"/>
      <c r="F13" s="91"/>
      <c r="G13" s="128"/>
      <c r="H13" s="128"/>
      <c r="I13" s="128"/>
      <c r="J13" s="380" t="str">
        <f t="shared" si="0"/>
        <v> </v>
      </c>
    </row>
    <row r="14" spans="2:10" ht="15.75">
      <c r="B14" s="128" t="s">
        <v>137</v>
      </c>
      <c r="C14" s="128">
        <v>229447</v>
      </c>
      <c r="D14" s="91">
        <v>2.088</v>
      </c>
      <c r="E14" s="128">
        <v>371355</v>
      </c>
      <c r="F14" s="91">
        <v>2.088</v>
      </c>
      <c r="G14" s="128">
        <v>371355</v>
      </c>
      <c r="H14" s="128">
        <v>271447</v>
      </c>
      <c r="I14" s="128"/>
      <c r="J14" s="380" t="str">
        <f t="shared" si="0"/>
        <v> </v>
      </c>
    </row>
    <row r="15" spans="2:10" ht="15.75">
      <c r="B15" s="128" t="s">
        <v>138</v>
      </c>
      <c r="C15" s="128">
        <v>9554</v>
      </c>
      <c r="D15" s="91">
        <v>0.147</v>
      </c>
      <c r="E15" s="128">
        <v>24200</v>
      </c>
      <c r="F15" s="91">
        <v>0.147</v>
      </c>
      <c r="G15" s="128">
        <v>30420</v>
      </c>
      <c r="H15" s="128">
        <v>0</v>
      </c>
      <c r="I15" s="128"/>
      <c r="J15" s="380" t="str">
        <f t="shared" si="0"/>
        <v> </v>
      </c>
    </row>
    <row r="16" spans="2:10" ht="15.75">
      <c r="B16" s="128" t="s">
        <v>139</v>
      </c>
      <c r="C16" s="128">
        <v>7205</v>
      </c>
      <c r="D16" s="91">
        <v>0</v>
      </c>
      <c r="E16" s="128">
        <v>47000</v>
      </c>
      <c r="F16" s="91">
        <v>0</v>
      </c>
      <c r="G16" s="128">
        <v>67048</v>
      </c>
      <c r="H16" s="128">
        <v>0</v>
      </c>
      <c r="I16" s="128"/>
      <c r="J16" s="380" t="str">
        <f t="shared" si="0"/>
        <v> </v>
      </c>
    </row>
    <row r="17" spans="2:10" ht="15.75">
      <c r="B17" s="128" t="s">
        <v>141</v>
      </c>
      <c r="C17" s="128"/>
      <c r="D17" s="91"/>
      <c r="E17" s="128"/>
      <c r="F17" s="91"/>
      <c r="G17" s="128"/>
      <c r="H17" s="128"/>
      <c r="I17" s="128"/>
      <c r="J17" s="380" t="str">
        <f t="shared" si="0"/>
        <v> </v>
      </c>
    </row>
    <row r="18" spans="2:10" ht="15.75">
      <c r="B18" s="128" t="s">
        <v>140</v>
      </c>
      <c r="C18" s="128"/>
      <c r="D18" s="91"/>
      <c r="E18" s="128"/>
      <c r="F18" s="91"/>
      <c r="G18" s="128"/>
      <c r="H18" s="128"/>
      <c r="I18" s="128"/>
      <c r="J18" s="380" t="str">
        <f t="shared" si="0"/>
        <v> </v>
      </c>
    </row>
    <row r="19" spans="2:10" ht="15.75">
      <c r="B19" s="128" t="s">
        <v>142</v>
      </c>
      <c r="C19" s="128"/>
      <c r="D19" s="91"/>
      <c r="E19" s="128"/>
      <c r="F19" s="91"/>
      <c r="G19" s="128"/>
      <c r="H19" s="128"/>
      <c r="I19" s="128"/>
      <c r="J19" s="380" t="str">
        <f t="shared" si="0"/>
        <v> </v>
      </c>
    </row>
    <row r="20" spans="2:10" ht="15.75">
      <c r="B20" s="128" t="s">
        <v>147</v>
      </c>
      <c r="C20" s="128">
        <v>7582</v>
      </c>
      <c r="D20" s="91">
        <v>0.0873</v>
      </c>
      <c r="E20" s="128">
        <v>11100</v>
      </c>
      <c r="F20" s="91">
        <v>1.279</v>
      </c>
      <c r="G20" s="192">
        <v>15500</v>
      </c>
      <c r="H20" s="192">
        <v>6763</v>
      </c>
      <c r="I20" s="128">
        <v>5088288</v>
      </c>
      <c r="J20" s="380">
        <f t="shared" si="0"/>
        <v>1.329</v>
      </c>
    </row>
    <row r="21" spans="2:10" ht="15.75">
      <c r="B21" s="128" t="s">
        <v>149</v>
      </c>
      <c r="C21" s="128">
        <v>6120</v>
      </c>
      <c r="D21" s="91">
        <v>0.463</v>
      </c>
      <c r="E21" s="128">
        <v>10030</v>
      </c>
      <c r="F21" s="91">
        <v>0.27</v>
      </c>
      <c r="G21" s="192">
        <v>10410</v>
      </c>
      <c r="H21" s="192">
        <v>3990</v>
      </c>
      <c r="I21" s="128">
        <v>14468342</v>
      </c>
      <c r="J21" s="380">
        <f t="shared" si="0"/>
        <v>0.276</v>
      </c>
    </row>
    <row r="22" spans="2:10" ht="15.75">
      <c r="B22" s="128" t="s">
        <v>150</v>
      </c>
      <c r="C22" s="128">
        <v>9792</v>
      </c>
      <c r="D22" s="91">
        <v>1.821</v>
      </c>
      <c r="E22" s="128">
        <v>10000</v>
      </c>
      <c r="F22" s="91">
        <v>0.982</v>
      </c>
      <c r="G22" s="192">
        <v>10000</v>
      </c>
      <c r="H22" s="192">
        <v>8705</v>
      </c>
      <c r="I22" s="128">
        <v>3740121</v>
      </c>
      <c r="J22" s="380">
        <f t="shared" si="0"/>
        <v>2.327</v>
      </c>
    </row>
    <row r="23" spans="2:10" ht="15.75">
      <c r="B23" s="128" t="s">
        <v>151</v>
      </c>
      <c r="C23" s="128">
        <v>3088</v>
      </c>
      <c r="D23" s="91">
        <v>2.616</v>
      </c>
      <c r="E23" s="128">
        <v>7000</v>
      </c>
      <c r="F23" s="91">
        <v>0.86</v>
      </c>
      <c r="G23" s="192">
        <v>11000</v>
      </c>
      <c r="H23" s="192">
        <v>1196</v>
      </c>
      <c r="I23" s="128">
        <v>3198974</v>
      </c>
      <c r="J23" s="380">
        <f t="shared" si="0"/>
        <v>0.374</v>
      </c>
    </row>
    <row r="24" spans="2:10" ht="15.75">
      <c r="B24" s="128" t="s">
        <v>152</v>
      </c>
      <c r="C24" s="128">
        <v>23279</v>
      </c>
      <c r="D24" s="91">
        <v>0.365</v>
      </c>
      <c r="E24" s="128">
        <v>15000</v>
      </c>
      <c r="F24" s="91">
        <v>0.355</v>
      </c>
      <c r="G24" s="192">
        <v>43000</v>
      </c>
      <c r="H24" s="192">
        <v>5111</v>
      </c>
      <c r="I24" s="128">
        <v>9319041</v>
      </c>
      <c r="J24" s="380">
        <f t="shared" si="0"/>
        <v>0.548</v>
      </c>
    </row>
    <row r="25" spans="2:10" ht="15.75">
      <c r="B25" s="128" t="s">
        <v>153</v>
      </c>
      <c r="C25" s="128">
        <v>4789</v>
      </c>
      <c r="D25" s="91">
        <v>1.198</v>
      </c>
      <c r="E25" s="128">
        <v>6500</v>
      </c>
      <c r="F25" s="91">
        <v>1.045</v>
      </c>
      <c r="G25" s="192">
        <v>8000</v>
      </c>
      <c r="H25" s="192">
        <v>4073</v>
      </c>
      <c r="I25" s="128">
        <v>3812585</v>
      </c>
      <c r="J25" s="380">
        <f t="shared" si="0"/>
        <v>1.068</v>
      </c>
    </row>
    <row r="26" spans="2:10" ht="15.75">
      <c r="B26" s="128" t="s">
        <v>154</v>
      </c>
      <c r="C26" s="128">
        <v>4334</v>
      </c>
      <c r="D26" s="91">
        <v>0.31</v>
      </c>
      <c r="E26" s="128">
        <v>7400</v>
      </c>
      <c r="F26" s="91">
        <v>0.451</v>
      </c>
      <c r="G26" s="192">
        <v>10750</v>
      </c>
      <c r="H26" s="390">
        <v>7373</v>
      </c>
      <c r="I26" s="128">
        <v>11365819</v>
      </c>
      <c r="J26" s="380">
        <f t="shared" si="0"/>
        <v>0.649</v>
      </c>
    </row>
    <row r="27" spans="2:10" ht="15.75">
      <c r="B27" s="128" t="s">
        <v>155</v>
      </c>
      <c r="C27" s="128">
        <v>30467</v>
      </c>
      <c r="D27" s="91">
        <v>1.335</v>
      </c>
      <c r="E27" s="128">
        <v>30000</v>
      </c>
      <c r="F27" s="91">
        <v>1.449</v>
      </c>
      <c r="G27" s="192">
        <v>34000</v>
      </c>
      <c r="H27" s="390">
        <v>13625</v>
      </c>
      <c r="I27" s="128">
        <v>7375495</v>
      </c>
      <c r="J27" s="380">
        <f t="shared" si="0"/>
        <v>1.847</v>
      </c>
    </row>
    <row r="28" spans="2:10" ht="15.75">
      <c r="B28" s="128" t="s">
        <v>156</v>
      </c>
      <c r="C28" s="128">
        <v>2600</v>
      </c>
      <c r="D28" s="91">
        <v>0.839</v>
      </c>
      <c r="E28" s="128">
        <v>4000</v>
      </c>
      <c r="F28" s="91">
        <v>1.129</v>
      </c>
      <c r="G28" s="192">
        <v>4275</v>
      </c>
      <c r="H28" s="390">
        <v>2668</v>
      </c>
      <c r="I28" s="128">
        <v>2198489</v>
      </c>
      <c r="J28" s="380">
        <f t="shared" si="0"/>
        <v>1.214</v>
      </c>
    </row>
    <row r="29" spans="2:10" ht="15.75">
      <c r="B29" s="128" t="s">
        <v>157</v>
      </c>
      <c r="C29" s="128">
        <v>8850</v>
      </c>
      <c r="D29" s="91">
        <v>0.689</v>
      </c>
      <c r="E29" s="128">
        <v>8800</v>
      </c>
      <c r="F29" s="91">
        <v>1.267</v>
      </c>
      <c r="G29" s="192">
        <v>9000</v>
      </c>
      <c r="H29" s="390">
        <v>6898</v>
      </c>
      <c r="I29" s="128">
        <v>7718623</v>
      </c>
      <c r="J29" s="380">
        <f t="shared" si="0"/>
        <v>0.894</v>
      </c>
    </row>
    <row r="30" spans="2:10" ht="15.75">
      <c r="B30" s="128" t="s">
        <v>158</v>
      </c>
      <c r="C30" s="128">
        <v>4325</v>
      </c>
      <c r="D30" s="91">
        <v>0.194</v>
      </c>
      <c r="E30" s="128">
        <v>5300</v>
      </c>
      <c r="F30" s="91">
        <v>0.237</v>
      </c>
      <c r="G30" s="192">
        <v>6000</v>
      </c>
      <c r="H30" s="390">
        <v>5902</v>
      </c>
      <c r="I30" s="128">
        <v>19666389</v>
      </c>
      <c r="J30" s="380">
        <f t="shared" si="0"/>
        <v>0.3</v>
      </c>
    </row>
    <row r="31" spans="2:10" ht="15.75">
      <c r="B31" s="128" t="s">
        <v>159</v>
      </c>
      <c r="C31" s="128">
        <v>5230</v>
      </c>
      <c r="D31" s="91">
        <v>1.038</v>
      </c>
      <c r="E31" s="128">
        <v>6550</v>
      </c>
      <c r="F31" s="91">
        <v>1.352</v>
      </c>
      <c r="G31" s="192">
        <v>5750</v>
      </c>
      <c r="H31" s="390">
        <v>4493</v>
      </c>
      <c r="I31" s="128">
        <v>4562858</v>
      </c>
      <c r="J31" s="380">
        <f t="shared" si="0"/>
        <v>0.985</v>
      </c>
    </row>
    <row r="32" spans="2:10" ht="15.75">
      <c r="B32" s="128" t="s">
        <v>160</v>
      </c>
      <c r="C32" s="128">
        <v>2808</v>
      </c>
      <c r="D32" s="91">
        <v>1.437</v>
      </c>
      <c r="E32" s="128">
        <v>4950</v>
      </c>
      <c r="F32" s="91">
        <v>0.492</v>
      </c>
      <c r="G32" s="192">
        <v>8000</v>
      </c>
      <c r="H32" s="390">
        <v>3533</v>
      </c>
      <c r="I32" s="128">
        <v>1623466</v>
      </c>
      <c r="J32" s="380">
        <f t="shared" si="0"/>
        <v>2.176</v>
      </c>
    </row>
    <row r="33" spans="2:10" ht="15.75">
      <c r="B33" s="128" t="s">
        <v>161</v>
      </c>
      <c r="C33" s="128">
        <v>3300</v>
      </c>
      <c r="D33" s="91">
        <v>0.829</v>
      </c>
      <c r="E33" s="128">
        <v>5500</v>
      </c>
      <c r="F33" s="91">
        <v>0.971</v>
      </c>
      <c r="G33" s="192">
        <v>5500</v>
      </c>
      <c r="H33" s="390">
        <v>2120</v>
      </c>
      <c r="I33" s="128">
        <v>3187056</v>
      </c>
      <c r="J33" s="380">
        <f t="shared" si="0"/>
        <v>0.665</v>
      </c>
    </row>
    <row r="34" spans="2:10" ht="15.75">
      <c r="B34" s="128" t="s">
        <v>162</v>
      </c>
      <c r="C34" s="128">
        <v>1800</v>
      </c>
      <c r="D34" s="91">
        <v>0.277</v>
      </c>
      <c r="E34" s="128">
        <v>3900</v>
      </c>
      <c r="F34" s="91">
        <v>0.245</v>
      </c>
      <c r="G34" s="192">
        <v>3900</v>
      </c>
      <c r="H34" s="390">
        <v>1560</v>
      </c>
      <c r="I34" s="128">
        <v>6495645</v>
      </c>
      <c r="J34" s="380">
        <f t="shared" si="0"/>
        <v>0.24</v>
      </c>
    </row>
    <row r="35" spans="2:10" ht="15.75">
      <c r="B35" s="128"/>
      <c r="C35" s="128"/>
      <c r="D35" s="91"/>
      <c r="E35" s="128"/>
      <c r="F35" s="91"/>
      <c r="G35" s="128"/>
      <c r="H35" s="128"/>
      <c r="I35" s="128"/>
      <c r="J35" s="380" t="str">
        <f t="shared" si="0"/>
        <v> </v>
      </c>
    </row>
    <row r="36" spans="2:10" ht="15.75">
      <c r="B36" s="128"/>
      <c r="C36" s="128"/>
      <c r="D36" s="91"/>
      <c r="E36" s="128"/>
      <c r="F36" s="91"/>
      <c r="G36" s="128"/>
      <c r="H36" s="128"/>
      <c r="I36" s="128"/>
      <c r="J36" s="380" t="str">
        <f t="shared" si="0"/>
        <v> </v>
      </c>
    </row>
    <row r="37" spans="2:10" ht="15.75">
      <c r="B37" s="85" t="s">
        <v>671</v>
      </c>
      <c r="C37" s="311">
        <f>SUM(C8:C36)</f>
        <v>595719</v>
      </c>
      <c r="D37" s="98">
        <f>SUM(D8:D24)</f>
        <v>7.587300000000001</v>
      </c>
      <c r="E37" s="311">
        <f>SUM(E8:E36)</f>
        <v>872601</v>
      </c>
      <c r="F37" s="98">
        <f>SUM(F8:F24)</f>
        <v>5.981</v>
      </c>
      <c r="G37" s="311">
        <f>SUM(G8:G36)</f>
        <v>980107</v>
      </c>
      <c r="H37" s="311">
        <f>SUM(H8:H36)</f>
        <v>349457</v>
      </c>
      <c r="I37" s="109"/>
      <c r="J37" s="98">
        <f>SUM(J8:J24)</f>
        <v>4.854</v>
      </c>
    </row>
    <row r="38" spans="2:10" ht="15.75">
      <c r="B38" s="66"/>
      <c r="C38" s="66"/>
      <c r="D38" s="66"/>
      <c r="E38" s="66"/>
      <c r="F38" s="66"/>
      <c r="G38" s="66"/>
      <c r="H38" s="66"/>
      <c r="I38" s="66"/>
      <c r="J38" s="66"/>
    </row>
    <row r="39" spans="2:10" ht="15.75">
      <c r="B39" s="65" t="s">
        <v>715</v>
      </c>
      <c r="C39" s="66"/>
      <c r="D39" s="66"/>
      <c r="E39" s="66"/>
      <c r="F39" s="66"/>
      <c r="G39" s="66"/>
      <c r="H39" s="66"/>
      <c r="I39" s="66"/>
      <c r="J39" s="66"/>
    </row>
    <row r="40" spans="2:10" ht="15.75">
      <c r="B40" s="66"/>
      <c r="C40" s="66"/>
      <c r="D40" s="66"/>
      <c r="E40" s="66"/>
      <c r="F40" s="66"/>
      <c r="G40" s="66"/>
      <c r="H40" s="66"/>
      <c r="I40" s="66"/>
      <c r="J40" s="66"/>
    </row>
    <row r="41" spans="2:10" ht="15.75">
      <c r="B41" s="474"/>
      <c r="C41" s="66"/>
      <c r="D41" s="66"/>
      <c r="E41" s="66"/>
      <c r="F41" s="66"/>
      <c r="G41" s="66"/>
      <c r="H41" s="66"/>
      <c r="I41" s="66"/>
      <c r="J41" s="66"/>
    </row>
    <row r="42" spans="2:10" ht="15.75">
      <c r="B42" s="143" t="s">
        <v>716</v>
      </c>
      <c r="C42" s="66"/>
      <c r="D42" s="66"/>
      <c r="E42" s="280" t="s">
        <v>683</v>
      </c>
      <c r="F42" s="333" t="s">
        <v>1087</v>
      </c>
      <c r="G42" s="66"/>
      <c r="H42" s="66"/>
      <c r="I42" s="66"/>
      <c r="J42" s="66"/>
    </row>
    <row r="44" spans="2:10" ht="15.75">
      <c r="B44" s="123"/>
      <c r="C44" s="123"/>
      <c r="D44" s="123"/>
      <c r="E44" s="123"/>
      <c r="F44" s="123"/>
      <c r="G44" s="123"/>
      <c r="H44" s="123"/>
      <c r="I44" s="123"/>
      <c r="J44" s="123"/>
    </row>
    <row r="45" spans="2:10" ht="15.75">
      <c r="B45" s="196"/>
      <c r="C45" s="123"/>
      <c r="D45" s="123"/>
      <c r="E45" s="123"/>
      <c r="F45" s="123"/>
      <c r="G45" s="123"/>
      <c r="H45" s="123"/>
      <c r="I45" s="123"/>
      <c r="J45" s="123"/>
    </row>
    <row r="46" spans="2:10" ht="15.75">
      <c r="B46" s="196"/>
      <c r="C46" s="186"/>
      <c r="D46" s="123"/>
      <c r="E46" s="186"/>
      <c r="F46" s="123"/>
      <c r="G46" s="186"/>
      <c r="H46" s="123"/>
      <c r="I46" s="123"/>
      <c r="J46" s="123"/>
    </row>
    <row r="47" spans="2:10" ht="15.75">
      <c r="B47" s="196"/>
      <c r="C47" s="196"/>
      <c r="D47" s="123"/>
      <c r="E47" s="196"/>
      <c r="F47" s="123"/>
      <c r="G47" s="196"/>
      <c r="H47" s="123"/>
      <c r="I47" s="123"/>
      <c r="J47" s="123"/>
    </row>
    <row r="48" spans="2:10" ht="15.75">
      <c r="B48" s="196"/>
      <c r="C48" s="196"/>
      <c r="D48" s="123"/>
      <c r="E48" s="196"/>
      <c r="F48" s="123"/>
      <c r="G48" s="196"/>
      <c r="H48" s="123"/>
      <c r="I48" s="123"/>
      <c r="J48" s="123"/>
    </row>
    <row r="49" spans="2:10" ht="15.75">
      <c r="B49" s="196"/>
      <c r="C49" s="196"/>
      <c r="D49" s="123"/>
      <c r="E49" s="196"/>
      <c r="F49" s="123"/>
      <c r="G49" s="196"/>
      <c r="H49" s="123"/>
      <c r="I49" s="123"/>
      <c r="J49" s="123"/>
    </row>
    <row r="50" spans="2:10" ht="15.75">
      <c r="B50" s="196"/>
      <c r="C50" s="196"/>
      <c r="D50" s="123"/>
      <c r="E50" s="196"/>
      <c r="F50" s="123"/>
      <c r="G50" s="196"/>
      <c r="H50" s="123"/>
      <c r="I50" s="123"/>
      <c r="J50" s="123"/>
    </row>
    <row r="51" spans="2:10" ht="15.75">
      <c r="B51" s="196"/>
      <c r="C51" s="196"/>
      <c r="D51" s="123"/>
      <c r="E51" s="196"/>
      <c r="F51" s="123"/>
      <c r="G51" s="196"/>
      <c r="H51" s="123"/>
      <c r="I51" s="123"/>
      <c r="J51" s="123"/>
    </row>
    <row r="52" spans="3:10" ht="15.75">
      <c r="C52" s="123"/>
      <c r="D52" s="123"/>
      <c r="E52" s="123"/>
      <c r="F52" s="123"/>
      <c r="G52" s="123"/>
      <c r="H52" s="123"/>
      <c r="I52" s="123"/>
      <c r="J52" s="123"/>
    </row>
    <row r="53" spans="3:10" ht="15.75">
      <c r="C53" s="123"/>
      <c r="D53" s="123"/>
      <c r="E53" s="123"/>
      <c r="F53" s="123"/>
      <c r="G53" s="123"/>
      <c r="H53" s="123"/>
      <c r="I53" s="123"/>
      <c r="J53" s="123"/>
    </row>
    <row r="54" spans="3:10" ht="15.75">
      <c r="C54" s="384"/>
      <c r="D54" s="123"/>
      <c r="E54" s="123"/>
      <c r="F54" s="123"/>
      <c r="G54" s="123"/>
      <c r="H54" s="123"/>
      <c r="I54" s="123"/>
      <c r="J54" s="123"/>
    </row>
    <row r="55" spans="3:10" ht="15.75">
      <c r="C55" s="385"/>
      <c r="D55" s="123"/>
      <c r="E55" s="123"/>
      <c r="F55" s="123"/>
      <c r="G55" s="123"/>
      <c r="H55" s="123"/>
      <c r="I55" s="123"/>
      <c r="J55" s="123"/>
    </row>
    <row r="56" spans="2:10" ht="15.75">
      <c r="B56" s="123"/>
      <c r="C56" s="123"/>
      <c r="D56" s="123"/>
      <c r="E56" s="123"/>
      <c r="F56" s="123"/>
      <c r="G56" s="123"/>
      <c r="H56" s="123"/>
      <c r="I56" s="123"/>
      <c r="J56" s="123"/>
    </row>
    <row r="57" spans="2:10" ht="15.75">
      <c r="B57" s="123"/>
      <c r="C57" s="123"/>
      <c r="D57" s="386"/>
      <c r="E57" s="123"/>
      <c r="F57" s="123"/>
      <c r="G57" s="123"/>
      <c r="H57" s="123"/>
      <c r="I57" s="123"/>
      <c r="J57" s="123"/>
    </row>
  </sheetData>
  <sheetProtection sheet="1"/>
  <mergeCells count="2">
    <mergeCell ref="H6:H7"/>
    <mergeCell ref="I6:I7"/>
  </mergeCells>
  <printOptions/>
  <pageMargins left="1.12" right="0.5" top="0.74" bottom="0.34" header="0.5" footer="0"/>
  <pageSetup blackAndWhite="1" fitToHeight="1" fitToWidth="1" horizontalDpi="120" verticalDpi="120" orientation="portrait" scale="55" r:id="rId1"/>
  <headerFooter alignWithMargins="0">
    <oddHeader>&amp;RState of Kansas
County
</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4">
      <selection activeCell="C20" sqref="C20"/>
    </sheetView>
  </sheetViews>
  <sheetFormatPr defaultColWidth="8.796875" defaultRowHeight="15"/>
  <cols>
    <col min="1" max="1" width="6.69921875" style="47" customWidth="1"/>
    <col min="2" max="2" width="21.19921875" style="47" customWidth="1"/>
    <col min="3" max="3" width="11.796875" style="47" customWidth="1"/>
    <col min="4" max="4" width="12.796875" style="47" customWidth="1"/>
    <col min="5" max="5" width="11.796875" style="47" customWidth="1"/>
    <col min="6" max="16384" width="8.8984375" style="47" customWidth="1"/>
  </cols>
  <sheetData>
    <row r="1" spans="1:6" ht="15.75">
      <c r="A1" s="199" t="str">
        <f>inputPrYr!C3</f>
        <v>Montgomery County</v>
      </c>
      <c r="B1" s="66"/>
      <c r="C1" s="66"/>
      <c r="D1" s="66"/>
      <c r="E1" s="66"/>
      <c r="F1" s="66">
        <f>inputPrYr!C5</f>
        <v>2015</v>
      </c>
    </row>
    <row r="2" spans="1:6" ht="15.75">
      <c r="A2" s="66"/>
      <c r="B2" s="66"/>
      <c r="C2" s="66"/>
      <c r="D2" s="66"/>
      <c r="E2" s="66"/>
      <c r="F2" s="66"/>
    </row>
    <row r="3" spans="1:6" ht="15.75">
      <c r="A3" s="66"/>
      <c r="B3" s="730" t="str">
        <f>CONCATENATE("",F1," Neighborhood Revitalization Rebate")</f>
        <v>2015 Neighborhood Revitalization Rebate</v>
      </c>
      <c r="C3" s="770"/>
      <c r="D3" s="770"/>
      <c r="E3" s="770"/>
      <c r="F3" s="66"/>
    </row>
    <row r="4" spans="1:6" ht="15.75">
      <c r="A4" s="66"/>
      <c r="B4" s="66"/>
      <c r="C4" s="66"/>
      <c r="D4" s="66"/>
      <c r="E4" s="66"/>
      <c r="F4" s="66"/>
    </row>
    <row r="5" spans="1:6" ht="51" customHeight="1">
      <c r="A5" s="66"/>
      <c r="B5" s="387" t="str">
        <f>CONCATENATE("Budgeted Funds                        for ",F1,"")</f>
        <v>Budgeted Funds                        for 2015</v>
      </c>
      <c r="C5" s="387" t="str">
        <f>CONCATENATE("",F1-1," Ad Valorem before Rebate**")</f>
        <v>2014 Ad Valorem before Rebate**</v>
      </c>
      <c r="D5" s="388" t="str">
        <f>CONCATENATE("",F1-1," Mil Rate before Rebate")</f>
        <v>2014 Mil Rate before Rebate</v>
      </c>
      <c r="E5" s="389" t="str">
        <f>CONCATENATE("Estimate ",F1," NR Rebate")</f>
        <v>Estimate 2015 NR Rebate</v>
      </c>
      <c r="F5" s="116"/>
    </row>
    <row r="6" spans="1:6" ht="15.75">
      <c r="A6" s="66"/>
      <c r="B6" s="85" t="str">
        <f>inputPrYr!B16</f>
        <v>General</v>
      </c>
      <c r="C6" s="390">
        <v>5514937</v>
      </c>
      <c r="D6" s="391">
        <f>IF(C6&gt;0,C6/$D$36,"")</f>
        <v>19.215808362369337</v>
      </c>
      <c r="E6" s="272">
        <f aca="true" t="shared" si="0" ref="E6:E30">IF(C6&gt;0,ROUND(D6*$D$40,0),"")</f>
        <v>1366</v>
      </c>
      <c r="F6" s="116"/>
    </row>
    <row r="7" spans="1:6" ht="15.75">
      <c r="A7" s="66"/>
      <c r="B7" s="85" t="str">
        <f>inputPrYr!B17</f>
        <v>Debt Service</v>
      </c>
      <c r="C7" s="390">
        <v>0</v>
      </c>
      <c r="D7" s="391">
        <f aca="true" t="shared" si="1" ref="D7:D30">IF(C7&gt;0,C7/$D$36,"")</f>
      </c>
      <c r="E7" s="272">
        <f t="shared" si="0"/>
      </c>
      <c r="F7" s="116"/>
    </row>
    <row r="8" spans="1:6" ht="15.75">
      <c r="A8" s="66"/>
      <c r="B8" s="85" t="str">
        <f>inputPrYr!B18</f>
        <v>Road &amp; Bridge</v>
      </c>
      <c r="C8" s="390">
        <v>2972584</v>
      </c>
      <c r="D8" s="391">
        <f t="shared" si="1"/>
        <v>10.357435540069686</v>
      </c>
      <c r="E8" s="272">
        <f t="shared" si="0"/>
        <v>736</v>
      </c>
      <c r="F8" s="116"/>
    </row>
    <row r="9" spans="1:6" ht="15.75">
      <c r="A9" s="66"/>
      <c r="B9" s="85" t="str">
        <f>inputPrYr!B19</f>
        <v>County Health</v>
      </c>
      <c r="C9" s="390">
        <v>0</v>
      </c>
      <c r="D9" s="391">
        <f t="shared" si="1"/>
      </c>
      <c r="E9" s="272">
        <f t="shared" si="0"/>
      </c>
      <c r="F9" s="116"/>
    </row>
    <row r="10" spans="1:6" ht="15.75">
      <c r="A10" s="66"/>
      <c r="B10" s="85" t="str">
        <f>inputPrYr!B20</f>
        <v>Special Bridge</v>
      </c>
      <c r="C10" s="390">
        <v>0</v>
      </c>
      <c r="D10" s="391">
        <f t="shared" si="1"/>
      </c>
      <c r="E10" s="272">
        <f t="shared" si="0"/>
      </c>
      <c r="F10" s="116"/>
    </row>
    <row r="11" spans="1:6" ht="15.75">
      <c r="A11" s="66"/>
      <c r="B11" s="85" t="str">
        <f>inputPrYr!B21</f>
        <v>Mental Health</v>
      </c>
      <c r="C11" s="390">
        <v>89194</v>
      </c>
      <c r="D11" s="391">
        <f t="shared" si="1"/>
        <v>0.31078048780487805</v>
      </c>
      <c r="E11" s="272">
        <f t="shared" si="0"/>
        <v>22</v>
      </c>
      <c r="F11" s="116"/>
    </row>
    <row r="12" spans="1:6" ht="15.75">
      <c r="A12" s="66"/>
      <c r="B12" s="85" t="str">
        <f>inputPrYr!B22</f>
        <v>Mental Retardation</v>
      </c>
      <c r="C12" s="392">
        <v>50835</v>
      </c>
      <c r="D12" s="391">
        <f t="shared" si="1"/>
        <v>0.17712543554006968</v>
      </c>
      <c r="E12" s="272">
        <f t="shared" si="0"/>
        <v>13</v>
      </c>
      <c r="F12" s="116"/>
    </row>
    <row r="13" spans="1:6" ht="15.75">
      <c r="A13" s="66"/>
      <c r="B13" s="85" t="str">
        <f>inputPrYr!B23</f>
        <v>Council on Aging</v>
      </c>
      <c r="C13" s="392">
        <v>143465</v>
      </c>
      <c r="D13" s="391">
        <f t="shared" si="1"/>
        <v>0.4998780487804878</v>
      </c>
      <c r="E13" s="272">
        <f t="shared" si="0"/>
        <v>36</v>
      </c>
      <c r="F13" s="116"/>
    </row>
    <row r="14" spans="1:6" ht="15.75">
      <c r="A14" s="66"/>
      <c r="B14" s="85" t="str">
        <f>inputPrYr!B24</f>
        <v>Employee Benefits</v>
      </c>
      <c r="C14" s="392">
        <v>2739570</v>
      </c>
      <c r="D14" s="391">
        <f t="shared" si="1"/>
        <v>9.54554006968641</v>
      </c>
      <c r="E14" s="272">
        <f t="shared" si="0"/>
        <v>678</v>
      </c>
      <c r="F14" s="116"/>
    </row>
    <row r="15" spans="1:6" ht="15.75">
      <c r="A15" s="66"/>
      <c r="B15" s="85" t="str">
        <f>inputPrYr!B25</f>
        <v>Noxious Weed</v>
      </c>
      <c r="C15" s="392">
        <v>87279</v>
      </c>
      <c r="D15" s="391">
        <f t="shared" si="1"/>
        <v>0.3041080139372822</v>
      </c>
      <c r="E15" s="272">
        <f t="shared" si="0"/>
        <v>22</v>
      </c>
      <c r="F15" s="116"/>
    </row>
    <row r="16" spans="1:6" ht="15.75">
      <c r="A16" s="66"/>
      <c r="B16" s="85" t="str">
        <f>inputPrYr!B26</f>
        <v>.Ambulance Services</v>
      </c>
      <c r="C16" s="392">
        <v>438460</v>
      </c>
      <c r="D16" s="391">
        <f t="shared" si="1"/>
        <v>1.5277351916376307</v>
      </c>
      <c r="E16" s="272">
        <f t="shared" si="0"/>
        <v>109</v>
      </c>
      <c r="F16" s="116"/>
    </row>
    <row r="17" spans="1:6" ht="15.75">
      <c r="A17" s="66"/>
      <c r="B17" s="85" t="str">
        <f>inputPrYr!B27</f>
        <v>Economic Development</v>
      </c>
      <c r="C17" s="392">
        <v>74535</v>
      </c>
      <c r="D17" s="391">
        <f t="shared" si="1"/>
        <v>0.2597038327526132</v>
      </c>
      <c r="E17" s="272">
        <f t="shared" si="0"/>
        <v>18</v>
      </c>
      <c r="F17" s="116"/>
    </row>
    <row r="18" spans="1:6" ht="15.75">
      <c r="A18" s="66"/>
      <c r="B18" s="85" t="str">
        <f>inputPrYr!B28</f>
        <v>Special Liability</v>
      </c>
      <c r="C18" s="392">
        <v>17050</v>
      </c>
      <c r="D18" s="391">
        <f t="shared" si="1"/>
        <v>0.059407665505226484</v>
      </c>
      <c r="E18" s="272">
        <f t="shared" si="0"/>
        <v>4</v>
      </c>
      <c r="F18" s="116"/>
    </row>
    <row r="19" spans="1:6" ht="15.75">
      <c r="A19" s="66"/>
      <c r="B19" s="85" t="str">
        <f>inputPrYr!B29</f>
        <v>No Fund Warr-B&amp;I</v>
      </c>
      <c r="C19" s="392">
        <v>0</v>
      </c>
      <c r="D19" s="391">
        <f t="shared" si="1"/>
      </c>
      <c r="E19" s="272">
        <f t="shared" si="0"/>
      </c>
      <c r="F19" s="116"/>
    </row>
    <row r="20" spans="1:6" ht="15.75">
      <c r="A20" s="66"/>
      <c r="B20" s="85">
        <f>inputPrYr!B30</f>
        <v>0</v>
      </c>
      <c r="C20" s="392"/>
      <c r="D20" s="391">
        <f t="shared" si="1"/>
      </c>
      <c r="E20" s="272">
        <f t="shared" si="0"/>
      </c>
      <c r="F20" s="116"/>
    </row>
    <row r="21" spans="1:6" ht="15.75">
      <c r="A21" s="66"/>
      <c r="B21" s="85">
        <f>inputPrYr!B31</f>
        <v>0</v>
      </c>
      <c r="C21" s="392"/>
      <c r="D21" s="391">
        <f t="shared" si="1"/>
      </c>
      <c r="E21" s="272">
        <f t="shared" si="0"/>
      </c>
      <c r="F21" s="116"/>
    </row>
    <row r="22" spans="1:6" ht="15.75">
      <c r="A22" s="66"/>
      <c r="B22" s="85">
        <f>inputPrYr!B32</f>
        <v>0</v>
      </c>
      <c r="C22" s="392"/>
      <c r="D22" s="391">
        <f t="shared" si="1"/>
      </c>
      <c r="E22" s="272">
        <f t="shared" si="0"/>
      </c>
      <c r="F22" s="116"/>
    </row>
    <row r="23" spans="1:6" ht="15.75">
      <c r="A23" s="66"/>
      <c r="B23" s="85">
        <f>inputPrYr!B33</f>
        <v>0</v>
      </c>
      <c r="C23" s="392"/>
      <c r="D23" s="391">
        <f t="shared" si="1"/>
      </c>
      <c r="E23" s="272">
        <f t="shared" si="0"/>
      </c>
      <c r="F23" s="116"/>
    </row>
    <row r="24" spans="1:6" ht="15.75">
      <c r="A24" s="66"/>
      <c r="B24" s="85">
        <f>inputPrYr!B34</f>
        <v>0</v>
      </c>
      <c r="C24" s="392"/>
      <c r="D24" s="391">
        <f t="shared" si="1"/>
      </c>
      <c r="E24" s="272">
        <f t="shared" si="0"/>
      </c>
      <c r="F24" s="116"/>
    </row>
    <row r="25" spans="1:6" ht="15.75">
      <c r="A25" s="66"/>
      <c r="B25" s="85">
        <f>inputPrYr!B35</f>
        <v>0</v>
      </c>
      <c r="C25" s="392"/>
      <c r="D25" s="391">
        <f t="shared" si="1"/>
      </c>
      <c r="E25" s="272">
        <f t="shared" si="0"/>
      </c>
      <c r="F25" s="116"/>
    </row>
    <row r="26" spans="1:6" ht="15.75">
      <c r="A26" s="66"/>
      <c r="B26" s="85">
        <f>inputPrYr!B36</f>
        <v>0</v>
      </c>
      <c r="C26" s="392"/>
      <c r="D26" s="391">
        <f t="shared" si="1"/>
      </c>
      <c r="E26" s="272">
        <f t="shared" si="0"/>
      </c>
      <c r="F26" s="116"/>
    </row>
    <row r="27" spans="1:6" ht="15.75">
      <c r="A27" s="66"/>
      <c r="B27" s="85">
        <f>inputPrYr!B37</f>
        <v>0</v>
      </c>
      <c r="C27" s="392"/>
      <c r="D27" s="391">
        <f t="shared" si="1"/>
      </c>
      <c r="E27" s="272">
        <f t="shared" si="0"/>
      </c>
      <c r="F27" s="116"/>
    </row>
    <row r="28" spans="1:6" ht="15.75">
      <c r="A28" s="66"/>
      <c r="B28" s="85">
        <f>inputPrYr!B38</f>
        <v>0</v>
      </c>
      <c r="C28" s="392"/>
      <c r="D28" s="391">
        <f t="shared" si="1"/>
      </c>
      <c r="E28" s="272">
        <f t="shared" si="0"/>
      </c>
      <c r="F28" s="116"/>
    </row>
    <row r="29" spans="1:6" ht="15.75">
      <c r="A29" s="66"/>
      <c r="B29" s="85">
        <f>inputPrYr!B39</f>
        <v>0</v>
      </c>
      <c r="C29" s="392"/>
      <c r="D29" s="391">
        <f t="shared" si="1"/>
      </c>
      <c r="E29" s="272">
        <f t="shared" si="0"/>
      </c>
      <c r="F29" s="116"/>
    </row>
    <row r="30" spans="1:6" ht="15.75">
      <c r="A30" s="66"/>
      <c r="B30" s="85">
        <f>inputPrYr!B40</f>
        <v>0</v>
      </c>
      <c r="C30" s="392"/>
      <c r="D30" s="391">
        <f t="shared" si="1"/>
      </c>
      <c r="E30" s="272">
        <f t="shared" si="0"/>
      </c>
      <c r="F30" s="116"/>
    </row>
    <row r="31" spans="1:6" ht="16.5" thickBot="1">
      <c r="A31" s="66"/>
      <c r="B31" s="162" t="s">
        <v>666</v>
      </c>
      <c r="C31" s="393">
        <f>SUM(C6:C30)</f>
        <v>12127909</v>
      </c>
      <c r="D31" s="394">
        <f>SUM(D6:D30)</f>
        <v>42.25752264808362</v>
      </c>
      <c r="E31" s="393">
        <f>SUM(E6:E30)</f>
        <v>3004</v>
      </c>
      <c r="F31" s="116"/>
    </row>
    <row r="32" spans="1:6" ht="16.5" thickTop="1">
      <c r="A32" s="66"/>
      <c r="B32" s="66"/>
      <c r="C32" s="66"/>
      <c r="D32" s="66"/>
      <c r="E32" s="66"/>
      <c r="F32" s="116"/>
    </row>
    <row r="33" spans="1:6" ht="15.75">
      <c r="A33" s="66"/>
      <c r="B33" s="66"/>
      <c r="C33" s="66"/>
      <c r="D33" s="66"/>
      <c r="E33" s="66"/>
      <c r="F33" s="116"/>
    </row>
    <row r="34" spans="1:6" ht="15.75">
      <c r="A34" s="771" t="str">
        <f>CONCATENATE("",F1-1," July 1 Valuation:")</f>
        <v>2014 July 1 Valuation:</v>
      </c>
      <c r="B34" s="744"/>
      <c r="C34" s="771"/>
      <c r="D34" s="231">
        <f>inputOth!E5</f>
        <v>287000000</v>
      </c>
      <c r="E34" s="66"/>
      <c r="F34" s="116"/>
    </row>
    <row r="35" spans="1:6" ht="15.75">
      <c r="A35" s="66"/>
      <c r="B35" s="66"/>
      <c r="C35" s="66"/>
      <c r="D35" s="66"/>
      <c r="E35" s="66"/>
      <c r="F35" s="116"/>
    </row>
    <row r="36" spans="1:6" ht="15.75">
      <c r="A36" s="66"/>
      <c r="B36" s="771" t="s">
        <v>1027</v>
      </c>
      <c r="C36" s="771"/>
      <c r="D36" s="395">
        <f>IF(D34&gt;0,(D34*0.001),"")</f>
        <v>287000</v>
      </c>
      <c r="E36" s="66"/>
      <c r="F36" s="116"/>
    </row>
    <row r="37" spans="1:6" ht="15.75">
      <c r="A37" s="66"/>
      <c r="B37" s="280"/>
      <c r="C37" s="280"/>
      <c r="D37" s="396"/>
      <c r="E37" s="66"/>
      <c r="F37" s="116"/>
    </row>
    <row r="38" spans="1:6" ht="15.75">
      <c r="A38" s="769" t="s">
        <v>1028</v>
      </c>
      <c r="B38" s="728"/>
      <c r="C38" s="728"/>
      <c r="D38" s="397">
        <f>inputOth!E11</f>
        <v>71066</v>
      </c>
      <c r="E38" s="125"/>
      <c r="F38" s="125"/>
    </row>
    <row r="39" spans="1:6" ht="15">
      <c r="A39" s="125"/>
      <c r="B39" s="125"/>
      <c r="C39" s="125"/>
      <c r="D39" s="234"/>
      <c r="E39" s="125"/>
      <c r="F39" s="125"/>
    </row>
    <row r="40" spans="1:6" ht="15.75">
      <c r="A40" s="125"/>
      <c r="B40" s="769" t="s">
        <v>1029</v>
      </c>
      <c r="C40" s="744"/>
      <c r="D40" s="398">
        <f>IF(D38&gt;0,(D38*0.001),"")</f>
        <v>71.066</v>
      </c>
      <c r="E40" s="125"/>
      <c r="F40" s="125"/>
    </row>
    <row r="41" spans="1:6" ht="15">
      <c r="A41" s="125"/>
      <c r="B41" s="125"/>
      <c r="C41" s="125"/>
      <c r="D41" s="125"/>
      <c r="E41" s="125"/>
      <c r="F41" s="125"/>
    </row>
    <row r="42" spans="1:6" ht="15">
      <c r="A42" s="125"/>
      <c r="B42" s="125"/>
      <c r="C42" s="125"/>
      <c r="D42" s="125"/>
      <c r="E42" s="125"/>
      <c r="F42" s="125"/>
    </row>
    <row r="43" spans="1:6" ht="15">
      <c r="A43" s="125"/>
      <c r="B43" s="125"/>
      <c r="C43" s="125"/>
      <c r="D43" s="125"/>
      <c r="E43" s="125"/>
      <c r="F43" s="125"/>
    </row>
    <row r="44" spans="1:6" ht="15.75">
      <c r="A44" s="431" t="str">
        <f>CONCATENATE("**This information comes from the ",F1," Budget Summary page.  See instructions tab #11 for completing")</f>
        <v>**This information comes from the 2015 Budget Summary page.  See instructions tab #11 for completing</v>
      </c>
      <c r="B44" s="125"/>
      <c r="C44" s="125"/>
      <c r="D44" s="125"/>
      <c r="E44" s="125"/>
      <c r="F44" s="125"/>
    </row>
    <row r="45" spans="1:6" ht="15.75">
      <c r="A45" s="431" t="s">
        <v>429</v>
      </c>
      <c r="B45" s="125"/>
      <c r="C45" s="125"/>
      <c r="D45" s="125"/>
      <c r="E45" s="125"/>
      <c r="F45" s="125"/>
    </row>
    <row r="46" spans="1:6" ht="15.75">
      <c r="A46" s="431"/>
      <c r="B46" s="125"/>
      <c r="C46" s="125"/>
      <c r="D46" s="125"/>
      <c r="E46" s="125"/>
      <c r="F46" s="125"/>
    </row>
    <row r="47" spans="1:6" ht="15.75">
      <c r="A47" s="431"/>
      <c r="B47" s="125"/>
      <c r="C47" s="125"/>
      <c r="D47" s="125"/>
      <c r="E47" s="125"/>
      <c r="F47" s="125"/>
    </row>
    <row r="48" spans="1:6" ht="15.75">
      <c r="A48" s="431"/>
      <c r="B48" s="125"/>
      <c r="C48" s="125"/>
      <c r="D48" s="125"/>
      <c r="E48" s="125"/>
      <c r="F48" s="125"/>
    </row>
    <row r="49" spans="1:6" ht="15.75">
      <c r="A49" s="431"/>
      <c r="B49" s="125"/>
      <c r="C49" s="125"/>
      <c r="D49" s="125"/>
      <c r="E49" s="125"/>
      <c r="F49" s="125"/>
    </row>
    <row r="50" spans="1:6" ht="15.75">
      <c r="A50" s="431"/>
      <c r="B50" s="125"/>
      <c r="C50" s="125"/>
      <c r="D50" s="125"/>
      <c r="E50" s="125"/>
      <c r="F50" s="125"/>
    </row>
    <row r="51" spans="1:6" ht="15">
      <c r="A51" s="125"/>
      <c r="B51" s="125"/>
      <c r="C51" s="125"/>
      <c r="D51" s="125"/>
      <c r="E51" s="125"/>
      <c r="F51" s="125"/>
    </row>
    <row r="52" spans="1:6" ht="15.75">
      <c r="A52" s="125"/>
      <c r="B52" s="315" t="s">
        <v>700</v>
      </c>
      <c r="C52" s="333">
        <v>26</v>
      </c>
      <c r="D52" s="125"/>
      <c r="E52" s="125"/>
      <c r="F52" s="125"/>
    </row>
    <row r="53" spans="1:6" ht="15.75">
      <c r="A53" s="116"/>
      <c r="B53" s="66"/>
      <c r="C53" s="66"/>
      <c r="D53" s="176"/>
      <c r="E53" s="116"/>
      <c r="F53" s="116"/>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75" r:id="rId1"/>
  <headerFooter alignWithMargins="0">
    <oddHeader>&amp;RState of Kansas
County</oddHeader>
  </headerFooter>
</worksheet>
</file>

<file path=xl/worksheets/sheet38.xml><?xml version="1.0" encoding="utf-8"?>
<worksheet xmlns="http://schemas.openxmlformats.org/spreadsheetml/2006/main" xmlns:r="http://schemas.openxmlformats.org/officeDocument/2006/relationships">
  <dimension ref="A1:H70"/>
  <sheetViews>
    <sheetView zoomScalePageLayoutView="0" workbookViewId="0" topLeftCell="A26">
      <selection activeCell="E56" sqref="E56"/>
    </sheetView>
  </sheetViews>
  <sheetFormatPr defaultColWidth="9.796875" defaultRowHeight="15"/>
  <cols>
    <col min="1" max="16384" width="9.796875" style="34" customWidth="1"/>
  </cols>
  <sheetData>
    <row r="1" spans="1:8" ht="11.25" customHeight="1">
      <c r="A1" s="18"/>
      <c r="B1" s="32"/>
      <c r="C1" s="32"/>
      <c r="D1" s="32"/>
      <c r="E1" s="32"/>
      <c r="F1" s="32"/>
      <c r="G1" s="19"/>
      <c r="H1" s="33"/>
    </row>
    <row r="2" spans="1:8" ht="15.75" customHeight="1">
      <c r="A2" s="772" t="s">
        <v>802</v>
      </c>
      <c r="B2" s="772"/>
      <c r="C2" s="772"/>
      <c r="D2" s="772"/>
      <c r="E2" s="772"/>
      <c r="F2" s="772"/>
      <c r="G2" s="772"/>
      <c r="H2" s="772"/>
    </row>
    <row r="3" spans="1:8" ht="9" customHeight="1">
      <c r="A3" s="18"/>
      <c r="B3" s="23"/>
      <c r="C3" s="23"/>
      <c r="D3" s="23"/>
      <c r="E3" s="23"/>
      <c r="F3" s="23"/>
      <c r="G3" s="20"/>
      <c r="H3" s="35"/>
    </row>
    <row r="4" spans="1:8" ht="15.75" customHeight="1">
      <c r="A4" s="773" t="s">
        <v>799</v>
      </c>
      <c r="B4" s="773"/>
      <c r="C4" s="773"/>
      <c r="D4" s="773"/>
      <c r="E4" s="773"/>
      <c r="F4" s="773"/>
      <c r="G4" s="773"/>
      <c r="H4" s="773"/>
    </row>
    <row r="5" spans="1:8" ht="9" customHeight="1">
      <c r="A5" s="21"/>
      <c r="B5" s="23"/>
      <c r="C5" s="23"/>
      <c r="D5" s="23"/>
      <c r="E5" s="23"/>
      <c r="F5" s="23"/>
      <c r="G5" s="23"/>
      <c r="H5" s="35"/>
    </row>
    <row r="6" spans="1:8" ht="15.75" customHeight="1">
      <c r="A6" s="22" t="str">
        <f>CONCATENATE("A resolution expressing the property taxation policy of the Board of ",(inputPrYr!C3)," Commissioners")</f>
        <v>A resolution expressing the property taxation policy of the Board of Montgomery County Commissioners</v>
      </c>
      <c r="B6" s="23"/>
      <c r="C6" s="23"/>
      <c r="D6" s="23"/>
      <c r="E6" s="23"/>
      <c r="F6" s="23"/>
      <c r="G6" s="23"/>
      <c r="H6" s="35"/>
    </row>
    <row r="7" spans="1:8" ht="15.75" customHeight="1">
      <c r="A7" s="22" t="str">
        <f>CONCATENATE("with respect to financing the ",inputPrYr!C5," annual budget for ",(inputPrYr!E3)," .")</f>
        <v>with respect to financing the 2015 annual budget for  .</v>
      </c>
      <c r="B7" s="23"/>
      <c r="C7" s="23"/>
      <c r="D7" s="23"/>
      <c r="E7" s="23"/>
      <c r="F7" s="23"/>
      <c r="G7" s="23"/>
      <c r="H7" s="35"/>
    </row>
    <row r="8" spans="1:8" ht="9" customHeight="1">
      <c r="A8" s="18"/>
      <c r="B8" s="23"/>
      <c r="C8" s="23"/>
      <c r="D8" s="23"/>
      <c r="E8" s="23"/>
      <c r="F8" s="23"/>
      <c r="G8" s="23"/>
      <c r="H8" s="35"/>
    </row>
    <row r="9" spans="1:8" ht="15.75" customHeight="1">
      <c r="A9" s="26" t="str">
        <f>CONCATENATE("Whereas, K.S.A. 79-2925b provides that a resolution be adopted if property taxes levied to finance the ",inputPrYr!C5,"")</f>
        <v>Whereas, K.S.A. 79-2925b provides that a resolution be adopted if property taxes levied to finance the 2015</v>
      </c>
      <c r="B9" s="23"/>
      <c r="C9" s="23"/>
      <c r="D9" s="23"/>
      <c r="E9" s="23"/>
      <c r="F9" s="23"/>
      <c r="G9" s="23"/>
      <c r="H9" s="35"/>
    </row>
    <row r="10" spans="1:8" ht="15.75" customHeight="1">
      <c r="A10" s="775" t="str">
        <f>CONCATENATE("",(inputPrYr!C3)," budget exceed the amount levied to finance the ",inputPrYr!C5-1," ",(inputPrYr!C3)," ",A16,)</f>
        <v>Montgomery County budget exceed the amount levied to finance the 2014 Montgomery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775"/>
      <c r="C10" s="775"/>
      <c r="D10" s="775"/>
      <c r="E10" s="775"/>
      <c r="F10" s="775"/>
      <c r="G10" s="775"/>
      <c r="H10" s="775"/>
    </row>
    <row r="11" spans="1:8" ht="15.75" customHeight="1">
      <c r="A11" s="775"/>
      <c r="B11" s="775"/>
      <c r="C11" s="775"/>
      <c r="D11" s="775"/>
      <c r="E11" s="775"/>
      <c r="F11" s="775"/>
      <c r="G11" s="775"/>
      <c r="H11" s="775"/>
    </row>
    <row r="12" spans="1:8" ht="15.75" customHeight="1">
      <c r="A12" s="775"/>
      <c r="B12" s="775"/>
      <c r="C12" s="775"/>
      <c r="D12" s="775"/>
      <c r="E12" s="775"/>
      <c r="F12" s="775"/>
      <c r="G12" s="775"/>
      <c r="H12" s="775"/>
    </row>
    <row r="13" spans="1:8" ht="15.75" customHeight="1">
      <c r="A13" s="775"/>
      <c r="B13" s="775"/>
      <c r="C13" s="775"/>
      <c r="D13" s="775"/>
      <c r="E13" s="775"/>
      <c r="F13" s="775"/>
      <c r="G13" s="775"/>
      <c r="H13" s="775"/>
    </row>
    <row r="14" spans="1:8" ht="15.75" customHeight="1">
      <c r="A14" s="775"/>
      <c r="B14" s="775"/>
      <c r="C14" s="775"/>
      <c r="D14" s="775"/>
      <c r="E14" s="775"/>
      <c r="F14" s="775"/>
      <c r="G14" s="775"/>
      <c r="H14" s="775"/>
    </row>
    <row r="15" spans="1:8" ht="8.25" customHeight="1">
      <c r="A15" s="775"/>
      <c r="B15" s="775"/>
      <c r="C15" s="775"/>
      <c r="D15" s="775"/>
      <c r="E15" s="775"/>
      <c r="F15" s="775"/>
      <c r="G15" s="775"/>
      <c r="H15" s="775"/>
    </row>
    <row r="16" spans="1:8" ht="0.75" customHeight="1" hidden="1">
      <c r="A16" s="36" t="s">
        <v>828</v>
      </c>
      <c r="B16" s="23"/>
      <c r="C16" s="23"/>
      <c r="D16" s="23"/>
      <c r="E16" s="23"/>
      <c r="F16" s="23"/>
      <c r="G16" s="23"/>
      <c r="H16" s="35" t="s">
        <v>701</v>
      </c>
    </row>
    <row r="17" spans="1:8" ht="15.75" customHeight="1">
      <c r="A17" s="775" t="s">
        <v>807</v>
      </c>
      <c r="B17" s="775"/>
      <c r="C17" s="775"/>
      <c r="D17" s="775"/>
      <c r="E17" s="775"/>
      <c r="F17" s="775"/>
      <c r="G17" s="775"/>
      <c r="H17" s="775"/>
    </row>
    <row r="18" spans="1:8" ht="15.75" customHeight="1">
      <c r="A18" s="775"/>
      <c r="B18" s="775"/>
      <c r="C18" s="775"/>
      <c r="D18" s="775"/>
      <c r="E18" s="775"/>
      <c r="F18" s="775"/>
      <c r="G18" s="775"/>
      <c r="H18" s="775"/>
    </row>
    <row r="19" spans="1:8" ht="9" customHeight="1">
      <c r="A19" s="21"/>
      <c r="B19" s="23"/>
      <c r="C19" s="23"/>
      <c r="D19" s="23"/>
      <c r="E19" s="23"/>
      <c r="F19" s="23"/>
      <c r="G19" s="23"/>
      <c r="H19" s="35"/>
    </row>
    <row r="20" spans="1:8" ht="15.75" customHeight="1">
      <c r="A20" s="775" t="str">
        <f>CONCATENATE("Whereas, ",(inputPrYr!C3)," provides the essential services to protect the health, safety, and well being of the citizens of the county; and")</f>
        <v>Whereas, Montgomery County provides the essential services to protect the health, safety, and well being of the citizens of the county; and</v>
      </c>
      <c r="B20" s="775"/>
      <c r="C20" s="775"/>
      <c r="D20" s="775"/>
      <c r="E20" s="775"/>
      <c r="F20" s="775"/>
      <c r="G20" s="775"/>
      <c r="H20" s="775"/>
    </row>
    <row r="21" spans="1:8" ht="15.75" customHeight="1">
      <c r="A21" s="775"/>
      <c r="B21" s="775"/>
      <c r="C21" s="775"/>
      <c r="D21" s="775"/>
      <c r="E21" s="775"/>
      <c r="F21" s="775"/>
      <c r="G21" s="775"/>
      <c r="H21" s="775"/>
    </row>
    <row r="22" spans="1:8" ht="9" customHeight="1">
      <c r="A22" s="23"/>
      <c r="B22" s="23"/>
      <c r="C22" s="23"/>
      <c r="D22" s="23"/>
      <c r="E22" s="23"/>
      <c r="F22" s="23"/>
      <c r="G22" s="23"/>
      <c r="H22" s="35"/>
    </row>
    <row r="23" spans="1:8" ht="15.75" customHeight="1">
      <c r="A23" s="23" t="s">
        <v>808</v>
      </c>
      <c r="B23" s="23"/>
      <c r="C23" s="23"/>
      <c r="D23" s="23"/>
      <c r="E23" s="23"/>
      <c r="F23" s="23"/>
      <c r="G23" s="23"/>
      <c r="H23" s="35"/>
    </row>
    <row r="24" spans="1:8" ht="9" customHeight="1">
      <c r="A24" s="21"/>
      <c r="B24" s="23"/>
      <c r="C24" s="23"/>
      <c r="D24" s="23"/>
      <c r="E24" s="23"/>
      <c r="F24" s="23"/>
      <c r="G24" s="23"/>
      <c r="H24" s="35"/>
    </row>
    <row r="25" spans="1:8" ht="15.75" customHeight="1">
      <c r="A25" s="775" t="str">
        <f>CONCATENATE("Whereas, the ",inputPrYr!C5-1," Kansas State Legislature failed to fulfill its obligations in regard to the statutory funding of demand transfers and, by significantly ",A28," ",(inputPrYr!C3),B28)</f>
        <v>Whereas, the 2014 Kansas State Legislature failed to fulfill its obligations in regard to the statutory funding of demand transfers and, by significantly limiting state revenue sharing payments to counties, has contributed to higher county property tax levies to finance the 2015 Montgomery County budget.</v>
      </c>
      <c r="B25" s="775"/>
      <c r="C25" s="775"/>
      <c r="D25" s="775"/>
      <c r="E25" s="775"/>
      <c r="F25" s="775"/>
      <c r="G25" s="775"/>
      <c r="H25" s="775"/>
    </row>
    <row r="26" spans="1:8" ht="15.75" customHeight="1">
      <c r="A26" s="775"/>
      <c r="B26" s="775"/>
      <c r="C26" s="775"/>
      <c r="D26" s="775"/>
      <c r="E26" s="775"/>
      <c r="F26" s="775"/>
      <c r="G26" s="775"/>
      <c r="H26" s="775"/>
    </row>
    <row r="27" spans="1:8" ht="24.75" customHeight="1">
      <c r="A27" s="775"/>
      <c r="B27" s="775"/>
      <c r="C27" s="775"/>
      <c r="D27" s="775"/>
      <c r="E27" s="775"/>
      <c r="F27" s="775"/>
      <c r="G27" s="775"/>
      <c r="H27" s="775"/>
    </row>
    <row r="28" spans="1:8" ht="9" customHeight="1" hidden="1">
      <c r="A28" s="25" t="str">
        <f>CONCATENATE("limiting state revenue sharing payments to counties, has contributed to higher county property tax levies to finance the ",inputPrYr!C5,"")</f>
        <v>limiting state revenue sharing payments to counties, has contributed to higher county property tax levies to finance the 2015</v>
      </c>
      <c r="B28" s="25" t="s">
        <v>829</v>
      </c>
      <c r="C28" s="17"/>
      <c r="D28" s="17"/>
      <c r="E28" s="17"/>
      <c r="F28" s="17"/>
      <c r="G28" s="17"/>
      <c r="H28" s="37"/>
    </row>
    <row r="29" spans="1:8" ht="15.75" customHeight="1">
      <c r="A29" s="775" t="str">
        <f>CONCATENATE("NOW, THEREFORE, BE IT RESOLVED by the Board of ",(inputPrYr!C3)," Commissioners that is our desire to notify the public of the possibility of increased property taxes to finance the ",inputPrYr!C5," ",(inputPrYr!C3)," budget due to the above mentioned constraints, and that all persons are invited and encouraged to attend budget meeting conducted by the Board of ",(inputPrYr!C3)," Commissioners.  The date and time of budget hearings with the Board of ",(inputPrYr!C3),A70,)</f>
        <v>NOW, THEREFORE, BE IT RESOLVED by the Board of Montgomery County Commissioners that is our desire to notify the public of the possibility of increased property taxes to finance the 2015 Montgomery County budget due to the above mentioned constraints, and that all persons are invited and encouraged to attend budget meeting conducted by the Board of Montgomery County Commissioners.  The date and time of budget hearings with the Board of Montgomery CountyCommissioners will be published in the (newspaper). Interested persons can also address questions concerning the budget to (office) by calling (number) between the hours of ____a.m. to ____p.m., Monday through Friday, excluding holidays.</v>
      </c>
      <c r="B29" s="775"/>
      <c r="C29" s="775"/>
      <c r="D29" s="775"/>
      <c r="E29" s="775"/>
      <c r="F29" s="775"/>
      <c r="G29" s="775"/>
      <c r="H29" s="775"/>
    </row>
    <row r="30" spans="1:8" ht="15.75" customHeight="1">
      <c r="A30" s="775"/>
      <c r="B30" s="775"/>
      <c r="C30" s="775"/>
      <c r="D30" s="775"/>
      <c r="E30" s="775"/>
      <c r="F30" s="775"/>
      <c r="G30" s="775"/>
      <c r="H30" s="775"/>
    </row>
    <row r="31" spans="1:8" ht="15.75" customHeight="1">
      <c r="A31" s="775"/>
      <c r="B31" s="775"/>
      <c r="C31" s="775"/>
      <c r="D31" s="775"/>
      <c r="E31" s="775"/>
      <c r="F31" s="775"/>
      <c r="G31" s="775"/>
      <c r="H31" s="775"/>
    </row>
    <row r="32" spans="1:8" ht="15.75" customHeight="1">
      <c r="A32" s="775"/>
      <c r="B32" s="775"/>
      <c r="C32" s="775"/>
      <c r="D32" s="775"/>
      <c r="E32" s="775"/>
      <c r="F32" s="775"/>
      <c r="G32" s="775"/>
      <c r="H32" s="775"/>
    </row>
    <row r="33" spans="1:8" ht="15.75" customHeight="1">
      <c r="A33" s="775"/>
      <c r="B33" s="775"/>
      <c r="C33" s="775"/>
      <c r="D33" s="775"/>
      <c r="E33" s="775"/>
      <c r="F33" s="775"/>
      <c r="G33" s="775"/>
      <c r="H33" s="775"/>
    </row>
    <row r="34" spans="1:8" ht="15.75" customHeight="1">
      <c r="A34" s="775"/>
      <c r="B34" s="775"/>
      <c r="C34" s="775"/>
      <c r="D34" s="775"/>
      <c r="E34" s="775"/>
      <c r="F34" s="775"/>
      <c r="G34" s="775"/>
      <c r="H34" s="775"/>
    </row>
    <row r="35" spans="1:8" ht="15.75" customHeight="1">
      <c r="A35" s="775"/>
      <c r="B35" s="775"/>
      <c r="C35" s="775"/>
      <c r="D35" s="775"/>
      <c r="E35" s="775"/>
      <c r="F35" s="775"/>
      <c r="G35" s="775"/>
      <c r="H35" s="775"/>
    </row>
    <row r="36" spans="1:8" ht="15.75" customHeight="1">
      <c r="A36" s="775"/>
      <c r="B36" s="775"/>
      <c r="C36" s="775"/>
      <c r="D36" s="775"/>
      <c r="E36" s="775"/>
      <c r="F36" s="775"/>
      <c r="G36" s="775"/>
      <c r="H36" s="775"/>
    </row>
    <row r="37" spans="1:8" ht="15.75" customHeight="1">
      <c r="A37" s="775"/>
      <c r="B37" s="775"/>
      <c r="C37" s="775"/>
      <c r="D37" s="775"/>
      <c r="E37" s="775"/>
      <c r="F37" s="775"/>
      <c r="G37" s="775"/>
      <c r="H37" s="775"/>
    </row>
    <row r="38" spans="1:8" ht="15.75" customHeight="1">
      <c r="A38" s="24"/>
      <c r="B38" s="17"/>
      <c r="C38" s="17"/>
      <c r="D38" s="17"/>
      <c r="E38" s="17"/>
      <c r="F38" s="17"/>
      <c r="G38" s="17"/>
      <c r="H38" s="37"/>
    </row>
    <row r="39" spans="1:8" ht="15.75" customHeight="1">
      <c r="A39" s="774" t="str">
        <f>CONCATENATE("                                                 Adopted this _________ day of ___________, ",inputPrYr!C5-1," by the Board of ",(inputPrYr!C3)," Commissioners.")</f>
        <v>                                                 Adopted this _________ day of ___________, 2014 by the Board of Montgomery County Commissioners.</v>
      </c>
      <c r="B39" s="774"/>
      <c r="C39" s="774"/>
      <c r="D39" s="774"/>
      <c r="E39" s="774"/>
      <c r="F39" s="774"/>
      <c r="G39" s="774"/>
      <c r="H39" s="774"/>
    </row>
    <row r="40" spans="1:8" ht="15.75" customHeight="1">
      <c r="A40" s="774"/>
      <c r="B40" s="774"/>
      <c r="C40" s="774"/>
      <c r="D40" s="774"/>
      <c r="E40" s="774"/>
      <c r="F40" s="774"/>
      <c r="G40" s="774"/>
      <c r="H40" s="774"/>
    </row>
    <row r="41" spans="1:8" ht="15.75" customHeight="1">
      <c r="A41" s="17"/>
      <c r="B41" s="17"/>
      <c r="C41" s="17"/>
      <c r="D41" s="17"/>
      <c r="E41" s="776" t="s">
        <v>803</v>
      </c>
      <c r="F41" s="776"/>
      <c r="G41" s="776"/>
      <c r="H41" s="776"/>
    </row>
    <row r="42" spans="1:8" ht="15.75" customHeight="1">
      <c r="A42" s="17"/>
      <c r="B42" s="17"/>
      <c r="C42" s="17"/>
      <c r="D42" s="17"/>
      <c r="E42" s="776"/>
      <c r="F42" s="776"/>
      <c r="G42" s="776"/>
      <c r="H42" s="776"/>
    </row>
    <row r="43" spans="1:8" ht="15.75" customHeight="1">
      <c r="A43" s="17"/>
      <c r="B43" s="17"/>
      <c r="C43" s="17"/>
      <c r="D43" s="17"/>
      <c r="E43" s="776" t="s">
        <v>800</v>
      </c>
      <c r="F43" s="776"/>
      <c r="G43" s="776"/>
      <c r="H43" s="776"/>
    </row>
    <row r="44" spans="1:8" ht="15.75" customHeight="1">
      <c r="A44" s="17"/>
      <c r="B44" s="17"/>
      <c r="C44" s="17"/>
      <c r="D44" s="17"/>
      <c r="E44" s="776"/>
      <c r="F44" s="776"/>
      <c r="G44" s="776"/>
      <c r="H44" s="776"/>
    </row>
    <row r="45" spans="1:8" ht="15.75" customHeight="1">
      <c r="A45" s="17"/>
      <c r="B45" s="17"/>
      <c r="C45" s="17"/>
      <c r="D45" s="17"/>
      <c r="E45" s="776" t="s">
        <v>800</v>
      </c>
      <c r="F45" s="776"/>
      <c r="G45" s="776"/>
      <c r="H45" s="776"/>
    </row>
    <row r="46" spans="1:8" ht="15.75" customHeight="1">
      <c r="A46" s="17"/>
      <c r="B46" s="17"/>
      <c r="C46" s="17"/>
      <c r="D46" s="17"/>
      <c r="E46" s="776"/>
      <c r="F46" s="776"/>
      <c r="G46" s="776"/>
      <c r="H46" s="776"/>
    </row>
    <row r="47" spans="1:8" ht="15.75" customHeight="1">
      <c r="A47" s="17"/>
      <c r="B47" s="17"/>
      <c r="C47" s="17"/>
      <c r="D47" s="17"/>
      <c r="E47" s="776" t="s">
        <v>800</v>
      </c>
      <c r="F47" s="776"/>
      <c r="G47" s="776"/>
      <c r="H47" s="776"/>
    </row>
    <row r="48" spans="1:8" ht="15.75" customHeight="1">
      <c r="A48" s="17"/>
      <c r="B48" s="17"/>
      <c r="C48" s="17"/>
      <c r="D48" s="17"/>
      <c r="E48" s="17"/>
      <c r="F48" s="17"/>
      <c r="G48" s="17"/>
      <c r="H48" s="37"/>
    </row>
    <row r="49" spans="1:8" ht="15.75" customHeight="1">
      <c r="A49" s="17" t="s">
        <v>804</v>
      </c>
      <c r="B49" s="17"/>
      <c r="C49" s="17"/>
      <c r="D49" s="17"/>
      <c r="E49" s="17"/>
      <c r="F49" s="17"/>
      <c r="G49" s="17"/>
      <c r="H49" s="37"/>
    </row>
    <row r="50" spans="1:8" ht="15.75" customHeight="1">
      <c r="A50" s="17"/>
      <c r="B50" s="17"/>
      <c r="C50" s="17"/>
      <c r="D50" s="17"/>
      <c r="E50" s="17"/>
      <c r="F50" s="17"/>
      <c r="G50" s="17"/>
      <c r="H50" s="37"/>
    </row>
    <row r="51" spans="1:8" ht="15.75" customHeight="1">
      <c r="A51" s="16" t="s">
        <v>805</v>
      </c>
      <c r="B51" s="16"/>
      <c r="C51" s="16"/>
      <c r="D51" s="16"/>
      <c r="E51" s="16"/>
      <c r="F51" s="16"/>
      <c r="G51" s="17"/>
      <c r="H51" s="37"/>
    </row>
    <row r="52" spans="1:8" ht="15.75" customHeight="1">
      <c r="A52" s="776" t="s">
        <v>806</v>
      </c>
      <c r="B52" s="776"/>
      <c r="C52" s="776"/>
      <c r="D52" s="16"/>
      <c r="E52" s="16"/>
      <c r="F52" s="16"/>
      <c r="G52" s="17"/>
      <c r="H52" s="37"/>
    </row>
    <row r="53" spans="1:8" ht="15.75" customHeight="1">
      <c r="A53" s="16"/>
      <c r="B53" s="16"/>
      <c r="C53" s="16"/>
      <c r="D53" s="16"/>
      <c r="E53" s="16"/>
      <c r="F53" s="16"/>
      <c r="G53" s="17"/>
      <c r="H53" s="37"/>
    </row>
    <row r="54" spans="1:8" ht="15.75" customHeight="1">
      <c r="A54" s="16"/>
      <c r="B54" s="16"/>
      <c r="C54" s="16"/>
      <c r="D54" s="16"/>
      <c r="E54" s="16"/>
      <c r="F54" s="16"/>
      <c r="G54" s="17"/>
      <c r="H54" s="37"/>
    </row>
    <row r="55" spans="1:8" ht="15.75" customHeight="1">
      <c r="A55" s="16" t="s">
        <v>801</v>
      </c>
      <c r="B55" s="16"/>
      <c r="C55" s="16"/>
      <c r="D55" s="38" t="s">
        <v>700</v>
      </c>
      <c r="E55" s="45">
        <v>27</v>
      </c>
      <c r="F55" s="16"/>
      <c r="G55" s="17"/>
      <c r="H55" s="37"/>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c r="A70" s="46" t="s">
        <v>963</v>
      </c>
    </row>
    <row r="71" ht="15" customHeight="1"/>
    <row r="72" ht="15" customHeight="1"/>
  </sheetData>
  <sheetProtection sheet="1" objects="1" scenarios="1"/>
  <mergeCells count="16">
    <mergeCell ref="E47:H47"/>
    <mergeCell ref="A52:C52"/>
    <mergeCell ref="E41:H41"/>
    <mergeCell ref="E42:H42"/>
    <mergeCell ref="E43:H43"/>
    <mergeCell ref="E44:H44"/>
    <mergeCell ref="E45:H45"/>
    <mergeCell ref="E46:H46"/>
    <mergeCell ref="A2:H2"/>
    <mergeCell ref="A4:H4"/>
    <mergeCell ref="A39:H40"/>
    <mergeCell ref="A10:H15"/>
    <mergeCell ref="A29:H37"/>
    <mergeCell ref="A17:H18"/>
    <mergeCell ref="A20:H21"/>
    <mergeCell ref="A25:H27"/>
  </mergeCells>
  <printOptions/>
  <pageMargins left="0.37" right="0.27" top="0.5" bottom="0.51" header="0.5" footer="0.5"/>
  <pageSetup blackAndWhite="1" horizontalDpi="600" verticalDpi="600" orientation="portrait" r:id="rId1"/>
</worksheet>
</file>

<file path=xl/worksheets/sheet3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D36" sqref="D36"/>
    </sheetView>
  </sheetViews>
  <sheetFormatPr defaultColWidth="8.796875" defaultRowHeight="15"/>
  <cols>
    <col min="1" max="1" width="71.296875" style="0" customWidth="1"/>
  </cols>
  <sheetData>
    <row r="3" spans="1:12" ht="15">
      <c r="A3" s="421" t="s">
        <v>1045</v>
      </c>
      <c r="B3" s="421"/>
      <c r="C3" s="421"/>
      <c r="D3" s="421"/>
      <c r="E3" s="421"/>
      <c r="F3" s="421"/>
      <c r="G3" s="421"/>
      <c r="H3" s="421"/>
      <c r="I3" s="421"/>
      <c r="J3" s="421"/>
      <c r="K3" s="421"/>
      <c r="L3" s="421"/>
    </row>
    <row r="5" ht="15">
      <c r="A5" s="420" t="s">
        <v>1046</v>
      </c>
    </row>
    <row r="6" ht="15">
      <c r="A6" s="420" t="str">
        <f>CONCATENATE(inputPrYr!C5-2," 'total expenditures' exceed your ",inputPrYr!C5-2," 'budget authority.'")</f>
        <v>2013 'total expenditures' exceed your 2013 'budget authority.'</v>
      </c>
    </row>
    <row r="7" ht="15">
      <c r="A7" s="420"/>
    </row>
    <row r="8" ht="15">
      <c r="A8" s="420" t="s">
        <v>1047</v>
      </c>
    </row>
    <row r="9" ht="15">
      <c r="A9" s="420" t="s">
        <v>1048</v>
      </c>
    </row>
    <row r="10" ht="15">
      <c r="A10" s="420" t="s">
        <v>1049</v>
      </c>
    </row>
    <row r="11" ht="15">
      <c r="A11" s="420"/>
    </row>
    <row r="12" ht="15">
      <c r="A12" s="420"/>
    </row>
    <row r="13" ht="15">
      <c r="A13" s="419" t="s">
        <v>1050</v>
      </c>
    </row>
    <row r="15" ht="15">
      <c r="A15" s="420" t="s">
        <v>1051</v>
      </c>
    </row>
    <row r="16" ht="15">
      <c r="A16" s="420" t="str">
        <f>CONCATENATE("(i.e. an audit has not been completed, or the ",inputPrYr!C5," adopted")</f>
        <v>(i.e. an audit has not been completed, or the 2015 adopted</v>
      </c>
    </row>
    <row r="17" ht="15">
      <c r="A17" s="420" t="s">
        <v>1052</v>
      </c>
    </row>
    <row r="18" ht="15">
      <c r="A18" s="420" t="s">
        <v>1053</v>
      </c>
    </row>
    <row r="19" ht="15">
      <c r="A19" s="420" t="s">
        <v>1054</v>
      </c>
    </row>
    <row r="21" ht="15">
      <c r="A21" s="419" t="s">
        <v>1055</v>
      </c>
    </row>
    <row r="22" ht="15">
      <c r="A22" s="419"/>
    </row>
    <row r="23" ht="15">
      <c r="A23" s="420" t="s">
        <v>1056</v>
      </c>
    </row>
    <row r="24" ht="15">
      <c r="A24" s="420" t="s">
        <v>1057</v>
      </c>
    </row>
    <row r="25" ht="15">
      <c r="A25" s="420" t="str">
        <f>CONCATENATE("particular fund.  If your ",inputPrYr!C5-2," budget was amended, did you")</f>
        <v>particular fund.  If your 2013 budget was amended, did you</v>
      </c>
    </row>
    <row r="26" ht="15">
      <c r="A26" s="420" t="s">
        <v>1058</v>
      </c>
    </row>
    <row r="27" ht="15">
      <c r="A27" s="420"/>
    </row>
    <row r="28" ht="15">
      <c r="A28" s="420" t="str">
        <f>CONCATENATE("Next, look to see if any of your ",inputPrYr!C5-2," expenditures can be")</f>
        <v>Next, look to see if any of your 2013 expenditures can be</v>
      </c>
    </row>
    <row r="29" ht="15">
      <c r="A29" s="420" t="s">
        <v>1059</v>
      </c>
    </row>
    <row r="30" ht="15">
      <c r="A30" s="420" t="s">
        <v>1060</v>
      </c>
    </row>
    <row r="31" ht="15">
      <c r="A31" s="420" t="s">
        <v>1061</v>
      </c>
    </row>
    <row r="32" ht="15">
      <c r="A32" s="420"/>
    </row>
    <row r="33" ht="15">
      <c r="A33" s="420" t="str">
        <f>CONCATENATE("Additionally, do your ",inputPrYr!C5-2," receipts contain a reimbursement")</f>
        <v>Additionally, do your 2013 receipts contain a reimbursement</v>
      </c>
    </row>
    <row r="34" ht="15">
      <c r="A34" s="420" t="s">
        <v>1062</v>
      </c>
    </row>
    <row r="35" ht="15">
      <c r="A35" s="420" t="s">
        <v>1063</v>
      </c>
    </row>
    <row r="36" ht="15">
      <c r="A36" s="420"/>
    </row>
    <row r="37" ht="15">
      <c r="A37" s="420" t="s">
        <v>1064</v>
      </c>
    </row>
    <row r="38" ht="15">
      <c r="A38" s="420" t="s">
        <v>399</v>
      </c>
    </row>
    <row r="39" ht="15">
      <c r="A39" s="420" t="s">
        <v>400</v>
      </c>
    </row>
    <row r="40" ht="15">
      <c r="A40" s="420" t="s">
        <v>401</v>
      </c>
    </row>
    <row r="41" ht="15">
      <c r="A41" s="420" t="s">
        <v>403</v>
      </c>
    </row>
    <row r="42" ht="15">
      <c r="A42" s="420" t="s">
        <v>402</v>
      </c>
    </row>
    <row r="43" ht="15">
      <c r="A43" s="420" t="s">
        <v>1065</v>
      </c>
    </row>
    <row r="44" ht="15">
      <c r="A44" s="420" t="s">
        <v>1066</v>
      </c>
    </row>
    <row r="45" ht="15">
      <c r="A45" s="420"/>
    </row>
    <row r="46" ht="15">
      <c r="A46" s="420" t="s">
        <v>1067</v>
      </c>
    </row>
    <row r="47" ht="15">
      <c r="A47" s="420" t="s">
        <v>1068</v>
      </c>
    </row>
    <row r="48" ht="15">
      <c r="A48" s="420" t="s">
        <v>1069</v>
      </c>
    </row>
    <row r="49" ht="15">
      <c r="A49" s="420"/>
    </row>
    <row r="50" ht="15">
      <c r="A50" s="420" t="s">
        <v>1070</v>
      </c>
    </row>
    <row r="51" ht="15">
      <c r="A51" s="420" t="s">
        <v>1071</v>
      </c>
    </row>
    <row r="52" ht="15">
      <c r="A52" s="420" t="s">
        <v>1072</v>
      </c>
    </row>
    <row r="53" ht="15">
      <c r="A53" s="420"/>
    </row>
    <row r="54" ht="15">
      <c r="A54" s="419" t="s">
        <v>1073</v>
      </c>
    </row>
    <row r="55" ht="15">
      <c r="A55" s="420"/>
    </row>
    <row r="56" ht="15">
      <c r="A56" s="420" t="s">
        <v>1074</v>
      </c>
    </row>
    <row r="57" ht="15">
      <c r="A57" s="420" t="s">
        <v>1075</v>
      </c>
    </row>
    <row r="58" ht="15">
      <c r="A58" s="420" t="s">
        <v>1076</v>
      </c>
    </row>
    <row r="59" ht="15">
      <c r="A59" s="420" t="s">
        <v>1077</v>
      </c>
    </row>
    <row r="60" ht="15">
      <c r="A60" s="420" t="s">
        <v>1078</v>
      </c>
    </row>
    <row r="61" ht="15">
      <c r="A61" s="420" t="s">
        <v>1079</v>
      </c>
    </row>
    <row r="62" ht="15">
      <c r="A62" s="420" t="s">
        <v>1080</v>
      </c>
    </row>
    <row r="63" ht="15">
      <c r="A63" s="420" t="s">
        <v>1081</v>
      </c>
    </row>
    <row r="64" ht="15">
      <c r="A64" s="420" t="s">
        <v>1082</v>
      </c>
    </row>
    <row r="65" ht="15">
      <c r="A65" s="420" t="s">
        <v>1083</v>
      </c>
    </row>
    <row r="66" ht="15">
      <c r="A66" s="420" t="s">
        <v>1084</v>
      </c>
    </row>
    <row r="67" ht="15">
      <c r="A67" s="420" t="s">
        <v>1085</v>
      </c>
    </row>
    <row r="68" ht="15">
      <c r="A68" s="420" t="s">
        <v>1086</v>
      </c>
    </row>
    <row r="69" ht="15">
      <c r="A69" s="420"/>
    </row>
    <row r="70" ht="15">
      <c r="A70" s="420" t="s">
        <v>241</v>
      </c>
    </row>
    <row r="71" ht="15">
      <c r="A71" s="420" t="s">
        <v>242</v>
      </c>
    </row>
    <row r="72" ht="15">
      <c r="A72" s="420" t="s">
        <v>243</v>
      </c>
    </row>
    <row r="73" ht="15">
      <c r="A73" s="420"/>
    </row>
    <row r="74" ht="15">
      <c r="A74" s="419" t="str">
        <f>CONCATENATE("What if the ",inputPrYr!C5-2," financial records have been closed?")</f>
        <v>What if the 2013 financial records have been closed?</v>
      </c>
    </row>
    <row r="76" ht="15">
      <c r="A76" s="420" t="s">
        <v>244</v>
      </c>
    </row>
    <row r="77" ht="15">
      <c r="A77" s="420" t="str">
        <f>CONCATENATE("(i.e. an audit for ",inputPrYr!C5-2," has been completed, or the ",inputPrYr!C5)</f>
        <v>(i.e. an audit for 2013 has been completed, or the 2015</v>
      </c>
    </row>
    <row r="78" ht="15">
      <c r="A78" s="420" t="s">
        <v>245</v>
      </c>
    </row>
    <row r="79" ht="15">
      <c r="A79" s="420" t="s">
        <v>246</v>
      </c>
    </row>
    <row r="80" ht="15">
      <c r="A80" s="420"/>
    </row>
    <row r="81" ht="15">
      <c r="A81" s="420" t="s">
        <v>247</v>
      </c>
    </row>
    <row r="82" ht="15">
      <c r="A82" s="420" t="s">
        <v>248</v>
      </c>
    </row>
    <row r="83" ht="15">
      <c r="A83" s="420" t="s">
        <v>249</v>
      </c>
    </row>
    <row r="84" ht="15">
      <c r="A84" s="420"/>
    </row>
    <row r="85" ht="15">
      <c r="A85" s="420" t="s">
        <v>250</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L39"/>
    </sheetView>
  </sheetViews>
  <sheetFormatPr defaultColWidth="8.796875" defaultRowHeight="15"/>
  <cols>
    <col min="1" max="1" width="13.796875" style="0" customWidth="1"/>
    <col min="2" max="2" width="16.09765625" style="0" customWidth="1"/>
  </cols>
  <sheetData>
    <row r="1" ht="15">
      <c r="J1" s="674" t="s">
        <v>609</v>
      </c>
    </row>
    <row r="2" spans="1:10" ht="54" customHeight="1">
      <c r="A2" s="716" t="s">
        <v>1032</v>
      </c>
      <c r="B2" s="717"/>
      <c r="C2" s="717"/>
      <c r="D2" s="717"/>
      <c r="E2" s="717"/>
      <c r="F2" s="717"/>
      <c r="J2" s="674" t="s">
        <v>610</v>
      </c>
    </row>
    <row r="3" spans="1:10" ht="15.75">
      <c r="A3" s="1" t="s">
        <v>607</v>
      </c>
      <c r="B3" s="412" t="s">
        <v>183</v>
      </c>
      <c r="J3" s="674" t="s">
        <v>611</v>
      </c>
    </row>
    <row r="4" spans="1:10" ht="15.75">
      <c r="A4" s="409"/>
      <c r="B4" s="409"/>
      <c r="C4" s="409"/>
      <c r="D4" s="411"/>
      <c r="E4" s="409"/>
      <c r="F4" s="409"/>
      <c r="J4" s="674" t="s">
        <v>612</v>
      </c>
    </row>
    <row r="5" spans="1:10" ht="15.75">
      <c r="A5" s="410" t="s">
        <v>1033</v>
      </c>
      <c r="B5" s="412" t="s">
        <v>184</v>
      </c>
      <c r="C5" s="413"/>
      <c r="D5" s="410" t="s">
        <v>608</v>
      </c>
      <c r="E5" s="409"/>
      <c r="F5" s="409"/>
      <c r="J5" s="674" t="s">
        <v>613</v>
      </c>
    </row>
    <row r="6" spans="1:10" ht="15.75">
      <c r="A6" s="410"/>
      <c r="B6" s="414"/>
      <c r="C6" s="415"/>
      <c r="D6" s="673" t="str">
        <f>IF(B5="","",CONCATENATE("Latest date for notice to be published in your newspaper: ",G18," ",G22,", ",G23))</f>
        <v>Latest date for notice to be published in your newspaper: August 1, 2014</v>
      </c>
      <c r="E6" s="409"/>
      <c r="F6" s="409"/>
      <c r="J6" s="674" t="s">
        <v>614</v>
      </c>
    </row>
    <row r="7" spans="1:10" ht="15.75">
      <c r="A7" s="410" t="s">
        <v>1034</v>
      </c>
      <c r="B7" s="412" t="s">
        <v>185</v>
      </c>
      <c r="C7" s="416"/>
      <c r="D7" s="410"/>
      <c r="E7" s="409"/>
      <c r="F7" s="409"/>
      <c r="J7" s="674" t="s">
        <v>615</v>
      </c>
    </row>
    <row r="8" spans="1:10" ht="15.75">
      <c r="A8" s="410"/>
      <c r="B8" s="410"/>
      <c r="C8" s="410"/>
      <c r="D8" s="410"/>
      <c r="E8" s="409"/>
      <c r="F8" s="409"/>
      <c r="J8" s="674" t="s">
        <v>616</v>
      </c>
    </row>
    <row r="9" spans="1:10" ht="15.75">
      <c r="A9" s="410" t="s">
        <v>1035</v>
      </c>
      <c r="B9" s="417" t="s">
        <v>187</v>
      </c>
      <c r="C9" s="417"/>
      <c r="D9" s="417"/>
      <c r="E9" s="418"/>
      <c r="F9" s="409"/>
      <c r="J9" s="674" t="s">
        <v>617</v>
      </c>
    </row>
    <row r="10" spans="1:10" ht="15.75">
      <c r="A10" s="410"/>
      <c r="B10" s="410"/>
      <c r="C10" s="410"/>
      <c r="D10" s="410"/>
      <c r="E10" s="409"/>
      <c r="F10" s="409"/>
      <c r="J10" s="674" t="s">
        <v>618</v>
      </c>
    </row>
    <row r="11" spans="1:10" ht="15.75">
      <c r="A11" s="410"/>
      <c r="B11" s="410"/>
      <c r="C11" s="410"/>
      <c r="D11" s="410"/>
      <c r="E11" s="409"/>
      <c r="F11" s="409"/>
      <c r="J11" s="674" t="s">
        <v>619</v>
      </c>
    </row>
    <row r="12" spans="1:10" ht="15.75">
      <c r="A12" s="410" t="s">
        <v>1036</v>
      </c>
      <c r="B12" s="417" t="s">
        <v>186</v>
      </c>
      <c r="C12" s="417"/>
      <c r="D12" s="417"/>
      <c r="E12" s="418"/>
      <c r="F12" s="409"/>
      <c r="J12" s="674" t="s">
        <v>620</v>
      </c>
    </row>
    <row r="15" spans="1:6" ht="15.75">
      <c r="A15" s="718" t="s">
        <v>1037</v>
      </c>
      <c r="B15" s="718"/>
      <c r="C15" s="410"/>
      <c r="D15" s="410"/>
      <c r="E15" s="410"/>
      <c r="F15" s="409"/>
    </row>
    <row r="16" spans="1:6" ht="15.75">
      <c r="A16" s="410"/>
      <c r="B16" s="410"/>
      <c r="C16" s="410"/>
      <c r="D16" s="410"/>
      <c r="E16" s="410"/>
      <c r="F16" s="409"/>
    </row>
    <row r="17" spans="1:5" ht="15.75">
      <c r="A17" s="410" t="s">
        <v>1033</v>
      </c>
      <c r="B17" s="414" t="s">
        <v>1038</v>
      </c>
      <c r="C17" s="410"/>
      <c r="D17" s="410"/>
      <c r="E17" s="410"/>
    </row>
    <row r="18" spans="1:7" ht="15.75">
      <c r="A18" s="410"/>
      <c r="B18" s="410"/>
      <c r="C18" s="410"/>
      <c r="D18" s="410"/>
      <c r="E18" s="410"/>
      <c r="G18" s="674" t="str">
        <f ca="1">IF(B5="","",INDIRECT(G19))</f>
        <v>August</v>
      </c>
    </row>
    <row r="19" spans="1:7" ht="15.75">
      <c r="A19" s="410" t="s">
        <v>1034</v>
      </c>
      <c r="B19" s="410" t="s">
        <v>1039</v>
      </c>
      <c r="C19" s="410"/>
      <c r="D19" s="410"/>
      <c r="E19" s="410"/>
      <c r="G19" s="677" t="str">
        <f>IF(B5="","",CONCATENATE("J",G21))</f>
        <v>J8</v>
      </c>
    </row>
    <row r="20" spans="1:7" ht="15.75">
      <c r="A20" s="410"/>
      <c r="B20" s="410"/>
      <c r="C20" s="410"/>
      <c r="D20" s="410"/>
      <c r="E20" s="410"/>
      <c r="G20" s="679">
        <f>B5-10</f>
        <v>41852</v>
      </c>
    </row>
    <row r="21" spans="1:7" ht="15.75">
      <c r="A21" s="410" t="s">
        <v>1035</v>
      </c>
      <c r="B21" s="410" t="s">
        <v>1040</v>
      </c>
      <c r="C21" s="410"/>
      <c r="D21" s="410"/>
      <c r="E21" s="410"/>
      <c r="G21" s="678">
        <f>IF(B5="","",MONTH(G20))</f>
        <v>8</v>
      </c>
    </row>
    <row r="22" spans="1:7" ht="15.75">
      <c r="A22" s="410"/>
      <c r="B22" s="410"/>
      <c r="C22" s="410"/>
      <c r="D22" s="410"/>
      <c r="E22" s="410"/>
      <c r="G22" s="675">
        <f>IF(B5="","",DAY(G20))</f>
        <v>1</v>
      </c>
    </row>
    <row r="23" spans="1:7" ht="15.75">
      <c r="A23" s="410" t="s">
        <v>1036</v>
      </c>
      <c r="B23" s="410" t="s">
        <v>1040</v>
      </c>
      <c r="C23" s="410"/>
      <c r="D23" s="410"/>
      <c r="E23" s="410"/>
      <c r="G23" s="676">
        <f>IF(B5="","",YEAR(G20))</f>
        <v>2014</v>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L39"/>
    </sheetView>
  </sheetViews>
  <sheetFormatPr defaultColWidth="8.796875" defaultRowHeight="15"/>
  <cols>
    <col min="1" max="1" width="71.296875" style="0" customWidth="1"/>
  </cols>
  <sheetData>
    <row r="3" spans="1:10" ht="15">
      <c r="A3" s="421" t="s">
        <v>251</v>
      </c>
      <c r="B3" s="421"/>
      <c r="C3" s="421"/>
      <c r="D3" s="421"/>
      <c r="E3" s="421"/>
      <c r="F3" s="421"/>
      <c r="G3" s="421"/>
      <c r="H3" s="422"/>
      <c r="I3" s="422"/>
      <c r="J3" s="422"/>
    </row>
    <row r="5" ht="15">
      <c r="A5" s="420" t="s">
        <v>252</v>
      </c>
    </row>
    <row r="6" ht="15">
      <c r="A6" t="str">
        <f>CONCATENATE(inputPrYr!C5-2," expenditures show that you finished the year with a ")</f>
        <v>2013 expenditures show that you finished the year with a </v>
      </c>
    </row>
    <row r="7" ht="15">
      <c r="A7" t="s">
        <v>253</v>
      </c>
    </row>
    <row r="9" ht="15">
      <c r="A9" t="s">
        <v>254</v>
      </c>
    </row>
    <row r="10" ht="15">
      <c r="A10" t="s">
        <v>255</v>
      </c>
    </row>
    <row r="11" ht="15">
      <c r="A11" t="s">
        <v>256</v>
      </c>
    </row>
    <row r="13" ht="15">
      <c r="A13" s="419" t="s">
        <v>257</v>
      </c>
    </row>
    <row r="14" ht="15">
      <c r="A14" s="419"/>
    </row>
    <row r="15" ht="15">
      <c r="A15" s="420" t="s">
        <v>258</v>
      </c>
    </row>
    <row r="16" ht="15">
      <c r="A16" s="420" t="s">
        <v>259</v>
      </c>
    </row>
    <row r="17" ht="15">
      <c r="A17" s="420" t="s">
        <v>260</v>
      </c>
    </row>
    <row r="18" ht="15">
      <c r="A18" s="420"/>
    </row>
    <row r="19" ht="15">
      <c r="A19" s="419" t="s">
        <v>261</v>
      </c>
    </row>
    <row r="20" ht="15">
      <c r="A20" s="419"/>
    </row>
    <row r="21" ht="15">
      <c r="A21" s="420" t="s">
        <v>262</v>
      </c>
    </row>
    <row r="22" ht="15">
      <c r="A22" s="420" t="s">
        <v>263</v>
      </c>
    </row>
    <row r="23" ht="15">
      <c r="A23" s="420" t="s">
        <v>264</v>
      </c>
    </row>
    <row r="24" ht="15">
      <c r="A24" s="420"/>
    </row>
    <row r="25" ht="15">
      <c r="A25" s="419" t="s">
        <v>265</v>
      </c>
    </row>
    <row r="26" ht="15">
      <c r="A26" s="419"/>
    </row>
    <row r="27" ht="15">
      <c r="A27" s="420" t="s">
        <v>266</v>
      </c>
    </row>
    <row r="28" ht="15">
      <c r="A28" s="420" t="s">
        <v>267</v>
      </c>
    </row>
    <row r="29" ht="15">
      <c r="A29" s="420" t="s">
        <v>268</v>
      </c>
    </row>
    <row r="30" ht="15">
      <c r="A30" s="420"/>
    </row>
    <row r="31" ht="15">
      <c r="A31" s="419" t="s">
        <v>269</v>
      </c>
    </row>
    <row r="32" ht="15">
      <c r="A32" s="419"/>
    </row>
    <row r="33" spans="1:8" ht="15">
      <c r="A33" s="420" t="str">
        <f>CONCATENATE("If your financial records for ",inputPrYr!C5-2," are not closed")</f>
        <v>If your financial records for 2013 are not closed</v>
      </c>
      <c r="B33" s="420"/>
      <c r="C33" s="420"/>
      <c r="D33" s="420"/>
      <c r="E33" s="420"/>
      <c r="F33" s="420"/>
      <c r="G33" s="420"/>
      <c r="H33" s="420"/>
    </row>
    <row r="34" spans="1:8" ht="15">
      <c r="A34" s="420" t="str">
        <f>CONCATENATE("(i.e. an audit has not been completed, or the ",inputPrYr!C5," adopted ")</f>
        <v>(i.e. an audit has not been completed, or the 2015 adopted </v>
      </c>
      <c r="B34" s="420"/>
      <c r="C34" s="420"/>
      <c r="D34" s="420"/>
      <c r="E34" s="420"/>
      <c r="F34" s="420"/>
      <c r="G34" s="420"/>
      <c r="H34" s="420"/>
    </row>
    <row r="35" spans="1:8" ht="15">
      <c r="A35" s="420" t="s">
        <v>270</v>
      </c>
      <c r="B35" s="420"/>
      <c r="C35" s="420"/>
      <c r="D35" s="420"/>
      <c r="E35" s="420"/>
      <c r="F35" s="420"/>
      <c r="G35" s="420"/>
      <c r="H35" s="420"/>
    </row>
    <row r="36" spans="1:8" ht="15">
      <c r="A36" s="420" t="s">
        <v>271</v>
      </c>
      <c r="B36" s="420"/>
      <c r="C36" s="420"/>
      <c r="D36" s="420"/>
      <c r="E36" s="420"/>
      <c r="F36" s="420"/>
      <c r="G36" s="420"/>
      <c r="H36" s="420"/>
    </row>
    <row r="37" spans="1:8" ht="15">
      <c r="A37" s="420" t="s">
        <v>272</v>
      </c>
      <c r="B37" s="420"/>
      <c r="C37" s="420"/>
      <c r="D37" s="420"/>
      <c r="E37" s="420"/>
      <c r="F37" s="420"/>
      <c r="G37" s="420"/>
      <c r="H37" s="420"/>
    </row>
    <row r="38" spans="1:8" ht="15">
      <c r="A38" s="420" t="s">
        <v>273</v>
      </c>
      <c r="B38" s="420"/>
      <c r="C38" s="420"/>
      <c r="D38" s="420"/>
      <c r="E38" s="420"/>
      <c r="F38" s="420"/>
      <c r="G38" s="420"/>
      <c r="H38" s="420"/>
    </row>
    <row r="39" spans="1:8" ht="15">
      <c r="A39" s="420" t="s">
        <v>274</v>
      </c>
      <c r="B39" s="420"/>
      <c r="C39" s="420"/>
      <c r="D39" s="420"/>
      <c r="E39" s="420"/>
      <c r="F39" s="420"/>
      <c r="G39" s="420"/>
      <c r="H39" s="420"/>
    </row>
    <row r="40" spans="1:8" ht="15">
      <c r="A40" s="420"/>
      <c r="B40" s="420"/>
      <c r="C40" s="420"/>
      <c r="D40" s="420"/>
      <c r="E40" s="420"/>
      <c r="F40" s="420"/>
      <c r="G40" s="420"/>
      <c r="H40" s="420"/>
    </row>
    <row r="41" spans="1:8" ht="15">
      <c r="A41" s="420" t="s">
        <v>275</v>
      </c>
      <c r="B41" s="420"/>
      <c r="C41" s="420"/>
      <c r="D41" s="420"/>
      <c r="E41" s="420"/>
      <c r="F41" s="420"/>
      <c r="G41" s="420"/>
      <c r="H41" s="420"/>
    </row>
    <row r="42" spans="1:8" ht="15">
      <c r="A42" s="420" t="s">
        <v>276</v>
      </c>
      <c r="B42" s="420"/>
      <c r="C42" s="420"/>
      <c r="D42" s="420"/>
      <c r="E42" s="420"/>
      <c r="F42" s="420"/>
      <c r="G42" s="420"/>
      <c r="H42" s="420"/>
    </row>
    <row r="43" spans="1:8" ht="15">
      <c r="A43" s="420" t="s">
        <v>277</v>
      </c>
      <c r="B43" s="420"/>
      <c r="C43" s="420"/>
      <c r="D43" s="420"/>
      <c r="E43" s="420"/>
      <c r="F43" s="420"/>
      <c r="G43" s="420"/>
      <c r="H43" s="420"/>
    </row>
    <row r="44" spans="1:8" ht="15">
      <c r="A44" s="420" t="s">
        <v>278</v>
      </c>
      <c r="B44" s="420"/>
      <c r="C44" s="420"/>
      <c r="D44" s="420"/>
      <c r="E44" s="420"/>
      <c r="F44" s="420"/>
      <c r="G44" s="420"/>
      <c r="H44" s="420"/>
    </row>
    <row r="45" spans="1:8" ht="15">
      <c r="A45" s="420"/>
      <c r="B45" s="420"/>
      <c r="C45" s="420"/>
      <c r="D45" s="420"/>
      <c r="E45" s="420"/>
      <c r="F45" s="420"/>
      <c r="G45" s="420"/>
      <c r="H45" s="420"/>
    </row>
    <row r="46" spans="1:8" ht="15">
      <c r="A46" s="420" t="s">
        <v>279</v>
      </c>
      <c r="B46" s="420"/>
      <c r="C46" s="420"/>
      <c r="D46" s="420"/>
      <c r="E46" s="420"/>
      <c r="F46" s="420"/>
      <c r="G46" s="420"/>
      <c r="H46" s="420"/>
    </row>
    <row r="47" spans="1:8" ht="15">
      <c r="A47" s="420" t="s">
        <v>280</v>
      </c>
      <c r="B47" s="420"/>
      <c r="C47" s="420"/>
      <c r="D47" s="420"/>
      <c r="E47" s="420"/>
      <c r="F47" s="420"/>
      <c r="G47" s="420"/>
      <c r="H47" s="420"/>
    </row>
    <row r="48" spans="1:8" ht="15">
      <c r="A48" s="420" t="s">
        <v>281</v>
      </c>
      <c r="B48" s="420"/>
      <c r="C48" s="420"/>
      <c r="D48" s="420"/>
      <c r="E48" s="420"/>
      <c r="F48" s="420"/>
      <c r="G48" s="420"/>
      <c r="H48" s="420"/>
    </row>
    <row r="49" spans="1:8" ht="15">
      <c r="A49" s="420" t="s">
        <v>282</v>
      </c>
      <c r="B49" s="420"/>
      <c r="C49" s="420"/>
      <c r="D49" s="420"/>
      <c r="E49" s="420"/>
      <c r="F49" s="420"/>
      <c r="G49" s="420"/>
      <c r="H49" s="420"/>
    </row>
    <row r="50" spans="1:8" ht="15">
      <c r="A50" s="420" t="s">
        <v>283</v>
      </c>
      <c r="B50" s="420"/>
      <c r="C50" s="420"/>
      <c r="D50" s="420"/>
      <c r="E50" s="420"/>
      <c r="F50" s="420"/>
      <c r="G50" s="420"/>
      <c r="H50" s="420"/>
    </row>
    <row r="51" spans="1:8" ht="15">
      <c r="A51" s="420"/>
      <c r="B51" s="420"/>
      <c r="C51" s="420"/>
      <c r="D51" s="420"/>
      <c r="E51" s="420"/>
      <c r="F51" s="420"/>
      <c r="G51" s="420"/>
      <c r="H51" s="420"/>
    </row>
    <row r="52" spans="1:8" ht="15">
      <c r="A52" s="419" t="s">
        <v>284</v>
      </c>
      <c r="B52" s="419"/>
      <c r="C52" s="419"/>
      <c r="D52" s="419"/>
      <c r="E52" s="419"/>
      <c r="F52" s="419"/>
      <c r="G52" s="419"/>
      <c r="H52" s="420"/>
    </row>
    <row r="53" spans="1:8" ht="15">
      <c r="A53" s="419" t="s">
        <v>285</v>
      </c>
      <c r="B53" s="419"/>
      <c r="C53" s="419"/>
      <c r="D53" s="419"/>
      <c r="E53" s="419"/>
      <c r="F53" s="419"/>
      <c r="G53" s="419"/>
      <c r="H53" s="420"/>
    </row>
    <row r="54" spans="1:8" ht="15">
      <c r="A54" s="420"/>
      <c r="B54" s="420"/>
      <c r="C54" s="420"/>
      <c r="D54" s="420"/>
      <c r="E54" s="420"/>
      <c r="F54" s="420"/>
      <c r="G54" s="420"/>
      <c r="H54" s="420"/>
    </row>
    <row r="55" spans="1:8" ht="15">
      <c r="A55" s="420" t="s">
        <v>286</v>
      </c>
      <c r="B55" s="420"/>
      <c r="C55" s="420"/>
      <c r="D55" s="420"/>
      <c r="E55" s="420"/>
      <c r="F55" s="420"/>
      <c r="G55" s="420"/>
      <c r="H55" s="420"/>
    </row>
    <row r="56" spans="1:8" ht="15">
      <c r="A56" s="420" t="s">
        <v>287</v>
      </c>
      <c r="B56" s="420"/>
      <c r="C56" s="420"/>
      <c r="D56" s="420"/>
      <c r="E56" s="420"/>
      <c r="F56" s="420"/>
      <c r="G56" s="420"/>
      <c r="H56" s="420"/>
    </row>
    <row r="57" spans="1:8" ht="15">
      <c r="A57" s="420" t="s">
        <v>288</v>
      </c>
      <c r="B57" s="420"/>
      <c r="C57" s="420"/>
      <c r="D57" s="420"/>
      <c r="E57" s="420"/>
      <c r="F57" s="420"/>
      <c r="G57" s="420"/>
      <c r="H57" s="420"/>
    </row>
    <row r="58" spans="1:8" ht="15">
      <c r="A58" s="420" t="s">
        <v>289</v>
      </c>
      <c r="B58" s="420"/>
      <c r="C58" s="420"/>
      <c r="D58" s="420"/>
      <c r="E58" s="420"/>
      <c r="F58" s="420"/>
      <c r="G58" s="420"/>
      <c r="H58" s="420"/>
    </row>
    <row r="59" spans="1:8" ht="15">
      <c r="A59" s="420"/>
      <c r="B59" s="420"/>
      <c r="C59" s="420"/>
      <c r="D59" s="420"/>
      <c r="E59" s="420"/>
      <c r="F59" s="420"/>
      <c r="G59" s="420"/>
      <c r="H59" s="420"/>
    </row>
    <row r="60" spans="1:8" ht="15">
      <c r="A60" s="420" t="s">
        <v>290</v>
      </c>
      <c r="B60" s="420"/>
      <c r="C60" s="420"/>
      <c r="D60" s="420"/>
      <c r="E60" s="420"/>
      <c r="F60" s="420"/>
      <c r="G60" s="420"/>
      <c r="H60" s="420"/>
    </row>
    <row r="61" spans="1:8" ht="15">
      <c r="A61" s="420" t="s">
        <v>291</v>
      </c>
      <c r="B61" s="420"/>
      <c r="C61" s="420"/>
      <c r="D61" s="420"/>
      <c r="E61" s="420"/>
      <c r="F61" s="420"/>
      <c r="G61" s="420"/>
      <c r="H61" s="420"/>
    </row>
    <row r="62" spans="1:8" ht="15">
      <c r="A62" s="420" t="s">
        <v>292</v>
      </c>
      <c r="B62" s="420"/>
      <c r="C62" s="420"/>
      <c r="D62" s="420"/>
      <c r="E62" s="420"/>
      <c r="F62" s="420"/>
      <c r="G62" s="420"/>
      <c r="H62" s="420"/>
    </row>
    <row r="63" spans="1:8" ht="15">
      <c r="A63" s="420" t="s">
        <v>293</v>
      </c>
      <c r="B63" s="420"/>
      <c r="C63" s="420"/>
      <c r="D63" s="420"/>
      <c r="E63" s="420"/>
      <c r="F63" s="420"/>
      <c r="G63" s="420"/>
      <c r="H63" s="420"/>
    </row>
    <row r="64" spans="1:8" ht="15">
      <c r="A64" s="420" t="s">
        <v>294</v>
      </c>
      <c r="B64" s="420"/>
      <c r="C64" s="420"/>
      <c r="D64" s="420"/>
      <c r="E64" s="420"/>
      <c r="F64" s="420"/>
      <c r="G64" s="420"/>
      <c r="H64" s="420"/>
    </row>
    <row r="65" spans="1:8" ht="15">
      <c r="A65" s="420" t="s">
        <v>295</v>
      </c>
      <c r="B65" s="420"/>
      <c r="C65" s="420"/>
      <c r="D65" s="420"/>
      <c r="E65" s="420"/>
      <c r="F65" s="420"/>
      <c r="G65" s="420"/>
      <c r="H65" s="420"/>
    </row>
    <row r="66" spans="1:8" ht="15">
      <c r="A66" s="420"/>
      <c r="B66" s="420"/>
      <c r="C66" s="420"/>
      <c r="D66" s="420"/>
      <c r="E66" s="420"/>
      <c r="F66" s="420"/>
      <c r="G66" s="420"/>
      <c r="H66" s="420"/>
    </row>
    <row r="67" spans="1:8" ht="15">
      <c r="A67" s="420" t="s">
        <v>296</v>
      </c>
      <c r="B67" s="420"/>
      <c r="C67" s="420"/>
      <c r="D67" s="420"/>
      <c r="E67" s="420"/>
      <c r="F67" s="420"/>
      <c r="G67" s="420"/>
      <c r="H67" s="420"/>
    </row>
    <row r="68" spans="1:8" ht="15">
      <c r="A68" s="420" t="s">
        <v>297</v>
      </c>
      <c r="B68" s="420"/>
      <c r="C68" s="420"/>
      <c r="D68" s="420"/>
      <c r="E68" s="420"/>
      <c r="F68" s="420"/>
      <c r="G68" s="420"/>
      <c r="H68" s="420"/>
    </row>
    <row r="69" spans="1:8" ht="15">
      <c r="A69" s="420" t="s">
        <v>298</v>
      </c>
      <c r="B69" s="420"/>
      <c r="C69" s="420"/>
      <c r="D69" s="420"/>
      <c r="E69" s="420"/>
      <c r="F69" s="420"/>
      <c r="G69" s="420"/>
      <c r="H69" s="420"/>
    </row>
    <row r="70" spans="1:8" ht="15">
      <c r="A70" s="420" t="s">
        <v>299</v>
      </c>
      <c r="B70" s="420"/>
      <c r="C70" s="420"/>
      <c r="D70" s="420"/>
      <c r="E70" s="420"/>
      <c r="F70" s="420"/>
      <c r="G70" s="420"/>
      <c r="H70" s="420"/>
    </row>
    <row r="71" spans="1:8" ht="15">
      <c r="A71" s="420" t="s">
        <v>300</v>
      </c>
      <c r="B71" s="420"/>
      <c r="C71" s="420"/>
      <c r="D71" s="420"/>
      <c r="E71" s="420"/>
      <c r="F71" s="420"/>
      <c r="G71" s="420"/>
      <c r="H71" s="420"/>
    </row>
    <row r="72" spans="1:8" ht="15">
      <c r="A72" s="420" t="s">
        <v>301</v>
      </c>
      <c r="B72" s="420"/>
      <c r="C72" s="420"/>
      <c r="D72" s="420"/>
      <c r="E72" s="420"/>
      <c r="F72" s="420"/>
      <c r="G72" s="420"/>
      <c r="H72" s="420"/>
    </row>
    <row r="73" spans="1:8" ht="15">
      <c r="A73" s="420" t="s">
        <v>302</v>
      </c>
      <c r="B73" s="420"/>
      <c r="C73" s="420"/>
      <c r="D73" s="420"/>
      <c r="E73" s="420"/>
      <c r="F73" s="420"/>
      <c r="G73" s="420"/>
      <c r="H73" s="420"/>
    </row>
    <row r="74" spans="1:8" ht="15">
      <c r="A74" s="420"/>
      <c r="B74" s="420"/>
      <c r="C74" s="420"/>
      <c r="D74" s="420"/>
      <c r="E74" s="420"/>
      <c r="F74" s="420"/>
      <c r="G74" s="420"/>
      <c r="H74" s="420"/>
    </row>
    <row r="75" spans="1:8" ht="15">
      <c r="A75" s="420" t="s">
        <v>303</v>
      </c>
      <c r="B75" s="420"/>
      <c r="C75" s="420"/>
      <c r="D75" s="420"/>
      <c r="E75" s="420"/>
      <c r="F75" s="420"/>
      <c r="G75" s="420"/>
      <c r="H75" s="420"/>
    </row>
    <row r="76" spans="1:8" ht="15">
      <c r="A76" s="420" t="s">
        <v>304</v>
      </c>
      <c r="B76" s="420"/>
      <c r="C76" s="420"/>
      <c r="D76" s="420"/>
      <c r="E76" s="420"/>
      <c r="F76" s="420"/>
      <c r="G76" s="420"/>
      <c r="H76" s="420"/>
    </row>
    <row r="77" spans="1:8" ht="15">
      <c r="A77" s="420" t="s">
        <v>305</v>
      </c>
      <c r="B77" s="420"/>
      <c r="C77" s="420"/>
      <c r="D77" s="420"/>
      <c r="E77" s="420"/>
      <c r="F77" s="420"/>
      <c r="G77" s="420"/>
      <c r="H77" s="420"/>
    </row>
    <row r="78" spans="1:8" ht="15">
      <c r="A78" s="420"/>
      <c r="B78" s="420"/>
      <c r="C78" s="420"/>
      <c r="D78" s="420"/>
      <c r="E78" s="420"/>
      <c r="F78" s="420"/>
      <c r="G78" s="420"/>
      <c r="H78" s="420"/>
    </row>
    <row r="79" ht="15">
      <c r="A79" s="420" t="s">
        <v>250</v>
      </c>
    </row>
    <row r="80" ht="15">
      <c r="A80" s="419"/>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19"/>
    </row>
    <row r="108" ht="15">
      <c r="A108" s="419"/>
    </row>
    <row r="109" ht="15">
      <c r="A109" s="419"/>
    </row>
  </sheetData>
  <sheetProtection sheet="1"/>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L39"/>
    </sheetView>
  </sheetViews>
  <sheetFormatPr defaultColWidth="8.796875" defaultRowHeight="15"/>
  <cols>
    <col min="1" max="1" width="71.296875" style="0" customWidth="1"/>
  </cols>
  <sheetData>
    <row r="3" spans="1:12" ht="15">
      <c r="A3" s="421" t="s">
        <v>306</v>
      </c>
      <c r="B3" s="421"/>
      <c r="C3" s="421"/>
      <c r="D3" s="421"/>
      <c r="E3" s="421"/>
      <c r="F3" s="421"/>
      <c r="G3" s="421"/>
      <c r="H3" s="421"/>
      <c r="I3" s="421"/>
      <c r="J3" s="421"/>
      <c r="K3" s="421"/>
      <c r="L3" s="421"/>
    </row>
    <row r="4" spans="1:12" ht="15">
      <c r="A4" s="421"/>
      <c r="B4" s="421"/>
      <c r="C4" s="421"/>
      <c r="D4" s="421"/>
      <c r="E4" s="421"/>
      <c r="F4" s="421"/>
      <c r="G4" s="421"/>
      <c r="H4" s="421"/>
      <c r="I4" s="421"/>
      <c r="J4" s="421"/>
      <c r="K4" s="421"/>
      <c r="L4" s="421"/>
    </row>
    <row r="5" spans="1:12" ht="15">
      <c r="A5" s="420" t="s">
        <v>1046</v>
      </c>
      <c r="I5" s="421"/>
      <c r="J5" s="421"/>
      <c r="K5" s="421"/>
      <c r="L5" s="421"/>
    </row>
    <row r="6" spans="1:12" ht="15">
      <c r="A6" s="420" t="str">
        <f>CONCATENATE("estimated ",inputPrYr!C5-1," 'total expenditures' exceed your ",inputPrYr!C5-1,"")</f>
        <v>estimated 2014 'total expenditures' exceed your 2014</v>
      </c>
      <c r="I6" s="421"/>
      <c r="J6" s="421"/>
      <c r="K6" s="421"/>
      <c r="L6" s="421"/>
    </row>
    <row r="7" spans="1:12" ht="15">
      <c r="A7" s="423" t="s">
        <v>307</v>
      </c>
      <c r="I7" s="421"/>
      <c r="J7" s="421"/>
      <c r="K7" s="421"/>
      <c r="L7" s="421"/>
    </row>
    <row r="8" spans="1:12" ht="15">
      <c r="A8" s="420"/>
      <c r="I8" s="421"/>
      <c r="J8" s="421"/>
      <c r="K8" s="421"/>
      <c r="L8" s="421"/>
    </row>
    <row r="9" spans="1:12" ht="15">
      <c r="A9" s="420" t="s">
        <v>308</v>
      </c>
      <c r="I9" s="421"/>
      <c r="J9" s="421"/>
      <c r="K9" s="421"/>
      <c r="L9" s="421"/>
    </row>
    <row r="10" spans="1:12" ht="15">
      <c r="A10" s="420" t="s">
        <v>309</v>
      </c>
      <c r="I10" s="421"/>
      <c r="J10" s="421"/>
      <c r="K10" s="421"/>
      <c r="L10" s="421"/>
    </row>
    <row r="11" spans="1:12" ht="15">
      <c r="A11" s="420" t="s">
        <v>310</v>
      </c>
      <c r="I11" s="421"/>
      <c r="J11" s="421"/>
      <c r="K11" s="421"/>
      <c r="L11" s="421"/>
    </row>
    <row r="12" spans="1:12" ht="15">
      <c r="A12" s="420" t="s">
        <v>311</v>
      </c>
      <c r="I12" s="421"/>
      <c r="J12" s="421"/>
      <c r="K12" s="421"/>
      <c r="L12" s="421"/>
    </row>
    <row r="13" spans="1:12" ht="15">
      <c r="A13" s="420" t="s">
        <v>312</v>
      </c>
      <c r="I13" s="421"/>
      <c r="J13" s="421"/>
      <c r="K13" s="421"/>
      <c r="L13" s="421"/>
    </row>
    <row r="14" spans="1:12" ht="15">
      <c r="A14" s="421"/>
      <c r="B14" s="421"/>
      <c r="C14" s="421"/>
      <c r="D14" s="421"/>
      <c r="E14" s="421"/>
      <c r="F14" s="421"/>
      <c r="G14" s="421"/>
      <c r="H14" s="421"/>
      <c r="I14" s="421"/>
      <c r="J14" s="421"/>
      <c r="K14" s="421"/>
      <c r="L14" s="421"/>
    </row>
    <row r="15" ht="15">
      <c r="A15" s="419" t="s">
        <v>313</v>
      </c>
    </row>
    <row r="16" ht="15">
      <c r="A16" s="419" t="s">
        <v>314</v>
      </c>
    </row>
    <row r="17" ht="15">
      <c r="A17" s="419"/>
    </row>
    <row r="18" spans="1:7" ht="15">
      <c r="A18" s="420" t="s">
        <v>315</v>
      </c>
      <c r="B18" s="420"/>
      <c r="C18" s="420"/>
      <c r="D18" s="420"/>
      <c r="E18" s="420"/>
      <c r="F18" s="420"/>
      <c r="G18" s="420"/>
    </row>
    <row r="19" spans="1:7" ht="15">
      <c r="A19" s="420" t="str">
        <f>CONCATENATE("your ",inputPrYr!C5-1," numbers to see what steps might be necessary to")</f>
        <v>your 2014 numbers to see what steps might be necessary to</v>
      </c>
      <c r="B19" s="420"/>
      <c r="C19" s="420"/>
      <c r="D19" s="420"/>
      <c r="E19" s="420"/>
      <c r="F19" s="420"/>
      <c r="G19" s="420"/>
    </row>
    <row r="20" spans="1:7" ht="15">
      <c r="A20" s="420" t="s">
        <v>316</v>
      </c>
      <c r="B20" s="420"/>
      <c r="C20" s="420"/>
      <c r="D20" s="420"/>
      <c r="E20" s="420"/>
      <c r="F20" s="420"/>
      <c r="G20" s="420"/>
    </row>
    <row r="21" spans="1:7" ht="15">
      <c r="A21" s="420" t="s">
        <v>317</v>
      </c>
      <c r="B21" s="420"/>
      <c r="C21" s="420"/>
      <c r="D21" s="420"/>
      <c r="E21" s="420"/>
      <c r="F21" s="420"/>
      <c r="G21" s="420"/>
    </row>
    <row r="22" ht="15">
      <c r="A22" s="420"/>
    </row>
    <row r="23" ht="15">
      <c r="A23" s="419" t="s">
        <v>318</v>
      </c>
    </row>
    <row r="24" ht="15">
      <c r="A24" s="419"/>
    </row>
    <row r="25" ht="15">
      <c r="A25" s="420" t="s">
        <v>319</v>
      </c>
    </row>
    <row r="26" spans="1:6" ht="15">
      <c r="A26" s="420" t="s">
        <v>320</v>
      </c>
      <c r="B26" s="420"/>
      <c r="C26" s="420"/>
      <c r="D26" s="420"/>
      <c r="E26" s="420"/>
      <c r="F26" s="420"/>
    </row>
    <row r="27" spans="1:6" ht="15">
      <c r="A27" s="420" t="s">
        <v>321</v>
      </c>
      <c r="B27" s="420"/>
      <c r="C27" s="420"/>
      <c r="D27" s="420"/>
      <c r="E27" s="420"/>
      <c r="F27" s="420"/>
    </row>
    <row r="28" spans="1:6" ht="15">
      <c r="A28" s="420" t="s">
        <v>322</v>
      </c>
      <c r="B28" s="420"/>
      <c r="C28" s="420"/>
      <c r="D28" s="420"/>
      <c r="E28" s="420"/>
      <c r="F28" s="420"/>
    </row>
    <row r="29" spans="1:6" ht="15">
      <c r="A29" s="420"/>
      <c r="B29" s="420"/>
      <c r="C29" s="420"/>
      <c r="D29" s="420"/>
      <c r="E29" s="420"/>
      <c r="F29" s="420"/>
    </row>
    <row r="30" spans="1:7" ht="15">
      <c r="A30" s="419" t="s">
        <v>323</v>
      </c>
      <c r="B30" s="419"/>
      <c r="C30" s="419"/>
      <c r="D30" s="419"/>
      <c r="E30" s="419"/>
      <c r="F30" s="419"/>
      <c r="G30" s="419"/>
    </row>
    <row r="31" spans="1:7" ht="15">
      <c r="A31" s="419" t="s">
        <v>324</v>
      </c>
      <c r="B31" s="419"/>
      <c r="C31" s="419"/>
      <c r="D31" s="419"/>
      <c r="E31" s="419"/>
      <c r="F31" s="419"/>
      <c r="G31" s="419"/>
    </row>
    <row r="32" spans="1:6" ht="15">
      <c r="A32" s="420"/>
      <c r="B32" s="420"/>
      <c r="C32" s="420"/>
      <c r="D32" s="420"/>
      <c r="E32" s="420"/>
      <c r="F32" s="420"/>
    </row>
    <row r="33" spans="1:6" ht="15">
      <c r="A33" s="427" t="str">
        <f>CONCATENATE("Well, let's look to see if any of your ",inputPrYr!C5-1," expenditures can")</f>
        <v>Well, let's look to see if any of your 2014 expenditures can</v>
      </c>
      <c r="B33" s="420"/>
      <c r="C33" s="420"/>
      <c r="D33" s="420"/>
      <c r="E33" s="420"/>
      <c r="F33" s="420"/>
    </row>
    <row r="34" spans="1:6" ht="15">
      <c r="A34" s="427" t="s">
        <v>325</v>
      </c>
      <c r="B34" s="420"/>
      <c r="C34" s="420"/>
      <c r="D34" s="420"/>
      <c r="E34" s="420"/>
      <c r="F34" s="420"/>
    </row>
    <row r="35" spans="1:6" ht="15">
      <c r="A35" s="427" t="s">
        <v>1060</v>
      </c>
      <c r="B35" s="420"/>
      <c r="C35" s="420"/>
      <c r="D35" s="420"/>
      <c r="E35" s="420"/>
      <c r="F35" s="420"/>
    </row>
    <row r="36" spans="1:6" ht="15">
      <c r="A36" s="427" t="s">
        <v>1061</v>
      </c>
      <c r="B36" s="420"/>
      <c r="C36" s="420"/>
      <c r="D36" s="420"/>
      <c r="E36" s="420"/>
      <c r="F36" s="420"/>
    </row>
    <row r="37" spans="1:6" ht="15">
      <c r="A37" s="427"/>
      <c r="B37" s="420"/>
      <c r="C37" s="420"/>
      <c r="D37" s="420"/>
      <c r="E37" s="420"/>
      <c r="F37" s="420"/>
    </row>
    <row r="38" spans="1:6" ht="15">
      <c r="A38" s="427" t="str">
        <f>CONCATENATE("Additionally, do your ",inputPrYr!C5-1," receipts contain a reimbursement")</f>
        <v>Additionally, do your 2014 receipts contain a reimbursement</v>
      </c>
      <c r="B38" s="420"/>
      <c r="C38" s="420"/>
      <c r="D38" s="420"/>
      <c r="E38" s="420"/>
      <c r="F38" s="420"/>
    </row>
    <row r="39" spans="1:6" ht="15">
      <c r="A39" s="427" t="s">
        <v>1062</v>
      </c>
      <c r="B39" s="420"/>
      <c r="C39" s="420"/>
      <c r="D39" s="420"/>
      <c r="E39" s="420"/>
      <c r="F39" s="420"/>
    </row>
    <row r="40" spans="1:6" ht="15">
      <c r="A40" s="427" t="s">
        <v>1063</v>
      </c>
      <c r="B40" s="420"/>
      <c r="C40" s="420"/>
      <c r="D40" s="420"/>
      <c r="E40" s="420"/>
      <c r="F40" s="420"/>
    </row>
    <row r="41" spans="1:6" ht="15">
      <c r="A41" s="427"/>
      <c r="B41" s="420"/>
      <c r="C41" s="420"/>
      <c r="D41" s="420"/>
      <c r="E41" s="420"/>
      <c r="F41" s="420"/>
    </row>
    <row r="42" spans="1:6" ht="15">
      <c r="A42" s="427" t="s">
        <v>1064</v>
      </c>
      <c r="B42" s="420"/>
      <c r="C42" s="420"/>
      <c r="D42" s="420"/>
      <c r="E42" s="420"/>
      <c r="F42" s="420"/>
    </row>
    <row r="43" spans="1:6" ht="15">
      <c r="A43" s="427" t="s">
        <v>399</v>
      </c>
      <c r="B43" s="420"/>
      <c r="C43" s="420"/>
      <c r="D43" s="420"/>
      <c r="E43" s="420"/>
      <c r="F43" s="420"/>
    </row>
    <row r="44" spans="1:6" ht="15">
      <c r="A44" s="427" t="s">
        <v>400</v>
      </c>
      <c r="B44" s="420"/>
      <c r="C44" s="420"/>
      <c r="D44" s="420"/>
      <c r="E44" s="420"/>
      <c r="F44" s="420"/>
    </row>
    <row r="45" spans="1:6" ht="15">
      <c r="A45" s="427" t="s">
        <v>405</v>
      </c>
      <c r="B45" s="420"/>
      <c r="C45" s="420"/>
      <c r="D45" s="420"/>
      <c r="E45" s="420"/>
      <c r="F45" s="420"/>
    </row>
    <row r="46" spans="1:6" ht="15">
      <c r="A46" s="427" t="s">
        <v>403</v>
      </c>
      <c r="B46" s="420"/>
      <c r="C46" s="420"/>
      <c r="D46" s="420"/>
      <c r="E46" s="420"/>
      <c r="F46" s="420"/>
    </row>
    <row r="47" spans="1:6" ht="15">
      <c r="A47" s="427" t="s">
        <v>404</v>
      </c>
      <c r="B47" s="420"/>
      <c r="C47" s="420"/>
      <c r="D47" s="420"/>
      <c r="E47" s="420"/>
      <c r="F47" s="420"/>
    </row>
    <row r="48" spans="1:6" ht="15">
      <c r="A48" s="427" t="s">
        <v>326</v>
      </c>
      <c r="B48" s="420"/>
      <c r="C48" s="420"/>
      <c r="D48" s="420"/>
      <c r="E48" s="420"/>
      <c r="F48" s="420"/>
    </row>
    <row r="49" spans="1:6" ht="15">
      <c r="A49" s="427" t="s">
        <v>1066</v>
      </c>
      <c r="B49" s="420"/>
      <c r="C49" s="420"/>
      <c r="D49" s="420"/>
      <c r="E49" s="420"/>
      <c r="F49" s="420"/>
    </row>
    <row r="50" spans="1:6" ht="15">
      <c r="A50" s="427"/>
      <c r="B50" s="420"/>
      <c r="C50" s="420"/>
      <c r="D50" s="420"/>
      <c r="E50" s="420"/>
      <c r="F50" s="420"/>
    </row>
    <row r="51" spans="1:6" ht="15">
      <c r="A51" s="427" t="s">
        <v>1067</v>
      </c>
      <c r="B51" s="420"/>
      <c r="C51" s="420"/>
      <c r="D51" s="420"/>
      <c r="E51" s="420"/>
      <c r="F51" s="420"/>
    </row>
    <row r="52" spans="1:6" ht="15">
      <c r="A52" s="427" t="s">
        <v>1068</v>
      </c>
      <c r="B52" s="420"/>
      <c r="C52" s="420"/>
      <c r="D52" s="420"/>
      <c r="E52" s="420"/>
      <c r="F52" s="420"/>
    </row>
    <row r="53" spans="1:6" ht="15">
      <c r="A53" s="427" t="s">
        <v>1069</v>
      </c>
      <c r="B53" s="420"/>
      <c r="C53" s="420"/>
      <c r="D53" s="420"/>
      <c r="E53" s="420"/>
      <c r="F53" s="420"/>
    </row>
    <row r="54" spans="1:6" ht="15">
      <c r="A54" s="427"/>
      <c r="B54" s="420"/>
      <c r="C54" s="420"/>
      <c r="D54" s="420"/>
      <c r="E54" s="420"/>
      <c r="F54" s="420"/>
    </row>
    <row r="55" spans="1:6" ht="15">
      <c r="A55" s="427" t="s">
        <v>327</v>
      </c>
      <c r="B55" s="420"/>
      <c r="C55" s="420"/>
      <c r="D55" s="420"/>
      <c r="E55" s="420"/>
      <c r="F55" s="420"/>
    </row>
    <row r="56" spans="1:6" ht="15">
      <c r="A56" s="427" t="s">
        <v>328</v>
      </c>
      <c r="B56" s="420"/>
      <c r="C56" s="420"/>
      <c r="D56" s="420"/>
      <c r="E56" s="420"/>
      <c r="F56" s="420"/>
    </row>
    <row r="57" spans="1:6" ht="15">
      <c r="A57" s="427" t="s">
        <v>329</v>
      </c>
      <c r="B57" s="420"/>
      <c r="C57" s="420"/>
      <c r="D57" s="420"/>
      <c r="E57" s="420"/>
      <c r="F57" s="420"/>
    </row>
    <row r="58" spans="1:6" ht="15">
      <c r="A58" s="427" t="s">
        <v>330</v>
      </c>
      <c r="B58" s="420"/>
      <c r="C58" s="420"/>
      <c r="D58" s="420"/>
      <c r="E58" s="420"/>
      <c r="F58" s="420"/>
    </row>
    <row r="59" spans="1:6" ht="15">
      <c r="A59" s="427" t="s">
        <v>331</v>
      </c>
      <c r="B59" s="420"/>
      <c r="C59" s="420"/>
      <c r="D59" s="420"/>
      <c r="E59" s="420"/>
      <c r="F59" s="420"/>
    </row>
    <row r="60" spans="1:6" ht="15">
      <c r="A60" s="427"/>
      <c r="B60" s="420"/>
      <c r="C60" s="420"/>
      <c r="D60" s="420"/>
      <c r="E60" s="420"/>
      <c r="F60" s="420"/>
    </row>
    <row r="61" spans="1:6" ht="15">
      <c r="A61" s="428" t="s">
        <v>332</v>
      </c>
      <c r="B61" s="420"/>
      <c r="C61" s="420"/>
      <c r="D61" s="420"/>
      <c r="E61" s="420"/>
      <c r="F61" s="420"/>
    </row>
    <row r="62" spans="1:6" ht="15">
      <c r="A62" s="428" t="s">
        <v>333</v>
      </c>
      <c r="B62" s="420"/>
      <c r="C62" s="420"/>
      <c r="D62" s="420"/>
      <c r="E62" s="420"/>
      <c r="F62" s="420"/>
    </row>
    <row r="63" spans="1:6" ht="15">
      <c r="A63" s="428" t="s">
        <v>334</v>
      </c>
      <c r="B63" s="420"/>
      <c r="C63" s="420"/>
      <c r="D63" s="420"/>
      <c r="E63" s="420"/>
      <c r="F63" s="420"/>
    </row>
    <row r="64" ht="15">
      <c r="A64" s="428" t="s">
        <v>335</v>
      </c>
    </row>
    <row r="65" ht="15">
      <c r="A65" s="428" t="s">
        <v>336</v>
      </c>
    </row>
    <row r="66" ht="15">
      <c r="A66" s="428" t="s">
        <v>337</v>
      </c>
    </row>
    <row r="68" ht="15">
      <c r="A68" s="420" t="s">
        <v>338</v>
      </c>
    </row>
    <row r="69" ht="15">
      <c r="A69" s="420" t="s">
        <v>339</v>
      </c>
    </row>
    <row r="70" ht="15">
      <c r="A70" s="420" t="s">
        <v>340</v>
      </c>
    </row>
    <row r="71" ht="15">
      <c r="A71" s="420" t="s">
        <v>341</v>
      </c>
    </row>
    <row r="72" ht="15">
      <c r="A72" s="420" t="s">
        <v>342</v>
      </c>
    </row>
    <row r="73" ht="15">
      <c r="A73" s="420" t="s">
        <v>343</v>
      </c>
    </row>
    <row r="75" ht="15">
      <c r="A75" s="420" t="s">
        <v>250</v>
      </c>
    </row>
  </sheetData>
  <sheetProtection sheet="1"/>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L39"/>
    </sheetView>
  </sheetViews>
  <sheetFormatPr defaultColWidth="8.796875" defaultRowHeight="15"/>
  <cols>
    <col min="1" max="1" width="71.296875" style="0" customWidth="1"/>
  </cols>
  <sheetData>
    <row r="3" spans="1:7" ht="15">
      <c r="A3" s="421" t="s">
        <v>344</v>
      </c>
      <c r="B3" s="421"/>
      <c r="C3" s="421"/>
      <c r="D3" s="421"/>
      <c r="E3" s="421"/>
      <c r="F3" s="421"/>
      <c r="G3" s="421"/>
    </row>
    <row r="4" spans="1:7" ht="15">
      <c r="A4" s="421"/>
      <c r="B4" s="421"/>
      <c r="C4" s="421"/>
      <c r="D4" s="421"/>
      <c r="E4" s="421"/>
      <c r="F4" s="421"/>
      <c r="G4" s="421"/>
    </row>
    <row r="5" ht="15">
      <c r="A5" s="420" t="s">
        <v>252</v>
      </c>
    </row>
    <row r="6" ht="15">
      <c r="A6" s="420" t="str">
        <f>CONCATENATE(inputPrYr!C5," estimated expenditures show that at the end of this year")</f>
        <v>2015 estimated expenditures show that at the end of this year</v>
      </c>
    </row>
    <row r="7" ht="15">
      <c r="A7" s="420" t="s">
        <v>345</v>
      </c>
    </row>
    <row r="8" ht="15">
      <c r="A8" s="420" t="s">
        <v>346</v>
      </c>
    </row>
    <row r="10" ht="15">
      <c r="A10" t="s">
        <v>254</v>
      </c>
    </row>
    <row r="11" ht="15">
      <c r="A11" t="s">
        <v>255</v>
      </c>
    </row>
    <row r="12" ht="15">
      <c r="A12" t="s">
        <v>256</v>
      </c>
    </row>
    <row r="13" spans="1:7" ht="15">
      <c r="A13" s="421"/>
      <c r="B13" s="421"/>
      <c r="C13" s="421"/>
      <c r="D13" s="421"/>
      <c r="E13" s="421"/>
      <c r="F13" s="421"/>
      <c r="G13" s="421"/>
    </row>
    <row r="14" ht="15">
      <c r="A14" s="419" t="s">
        <v>347</v>
      </c>
    </row>
    <row r="15" ht="15">
      <c r="A15" s="420"/>
    </row>
    <row r="16" ht="15">
      <c r="A16" s="420" t="s">
        <v>348</v>
      </c>
    </row>
    <row r="17" ht="15">
      <c r="A17" s="420" t="s">
        <v>349</v>
      </c>
    </row>
    <row r="18" ht="15">
      <c r="A18" s="420" t="s">
        <v>350</v>
      </c>
    </row>
    <row r="19" ht="15">
      <c r="A19" s="420"/>
    </row>
    <row r="20" ht="15">
      <c r="A20" s="420" t="s">
        <v>351</v>
      </c>
    </row>
    <row r="21" ht="15">
      <c r="A21" s="420" t="s">
        <v>352</v>
      </c>
    </row>
    <row r="22" ht="15">
      <c r="A22" s="420" t="s">
        <v>353</v>
      </c>
    </row>
    <row r="23" ht="15">
      <c r="A23" s="420" t="s">
        <v>354</v>
      </c>
    </row>
    <row r="24" ht="15">
      <c r="A24" s="420"/>
    </row>
    <row r="25" ht="15">
      <c r="A25" s="419" t="s">
        <v>318</v>
      </c>
    </row>
    <row r="26" ht="15">
      <c r="A26" s="419"/>
    </row>
    <row r="27" ht="15">
      <c r="A27" s="420" t="s">
        <v>319</v>
      </c>
    </row>
    <row r="28" spans="1:6" ht="15">
      <c r="A28" s="420" t="s">
        <v>320</v>
      </c>
      <c r="B28" s="420"/>
      <c r="C28" s="420"/>
      <c r="D28" s="420"/>
      <c r="E28" s="420"/>
      <c r="F28" s="420"/>
    </row>
    <row r="29" spans="1:6" ht="15">
      <c r="A29" s="420" t="s">
        <v>321</v>
      </c>
      <c r="B29" s="420"/>
      <c r="C29" s="420"/>
      <c r="D29" s="420"/>
      <c r="E29" s="420"/>
      <c r="F29" s="420"/>
    </row>
    <row r="30" spans="1:6" ht="15">
      <c r="A30" s="420" t="s">
        <v>322</v>
      </c>
      <c r="B30" s="420"/>
      <c r="C30" s="420"/>
      <c r="D30" s="420"/>
      <c r="E30" s="420"/>
      <c r="F30" s="420"/>
    </row>
    <row r="31" ht="15">
      <c r="A31" s="420"/>
    </row>
    <row r="32" spans="1:7" ht="15">
      <c r="A32" s="419" t="s">
        <v>323</v>
      </c>
      <c r="B32" s="419"/>
      <c r="C32" s="419"/>
      <c r="D32" s="419"/>
      <c r="E32" s="419"/>
      <c r="F32" s="419"/>
      <c r="G32" s="419"/>
    </row>
    <row r="33" spans="1:7" ht="15">
      <c r="A33" s="419" t="s">
        <v>324</v>
      </c>
      <c r="B33" s="419"/>
      <c r="C33" s="419"/>
      <c r="D33" s="419"/>
      <c r="E33" s="419"/>
      <c r="F33" s="419"/>
      <c r="G33" s="419"/>
    </row>
    <row r="34" spans="1:7" ht="15">
      <c r="A34" s="419"/>
      <c r="B34" s="419"/>
      <c r="C34" s="419"/>
      <c r="D34" s="419"/>
      <c r="E34" s="419"/>
      <c r="F34" s="419"/>
      <c r="G34" s="419"/>
    </row>
    <row r="35" spans="1:7" ht="15">
      <c r="A35" s="420" t="s">
        <v>355</v>
      </c>
      <c r="B35" s="420"/>
      <c r="C35" s="420"/>
      <c r="D35" s="420"/>
      <c r="E35" s="420"/>
      <c r="F35" s="420"/>
      <c r="G35" s="420"/>
    </row>
    <row r="36" spans="1:7" ht="15">
      <c r="A36" s="420" t="s">
        <v>356</v>
      </c>
      <c r="B36" s="420"/>
      <c r="C36" s="420"/>
      <c r="D36" s="420"/>
      <c r="E36" s="420"/>
      <c r="F36" s="420"/>
      <c r="G36" s="420"/>
    </row>
    <row r="37" spans="1:7" ht="15">
      <c r="A37" s="420" t="s">
        <v>357</v>
      </c>
      <c r="B37" s="420"/>
      <c r="C37" s="420"/>
      <c r="D37" s="420"/>
      <c r="E37" s="420"/>
      <c r="F37" s="420"/>
      <c r="G37" s="420"/>
    </row>
    <row r="38" spans="1:7" ht="15">
      <c r="A38" s="420" t="s">
        <v>358</v>
      </c>
      <c r="B38" s="420"/>
      <c r="C38" s="420"/>
      <c r="D38" s="420"/>
      <c r="E38" s="420"/>
      <c r="F38" s="420"/>
      <c r="G38" s="420"/>
    </row>
    <row r="39" spans="1:7" ht="15">
      <c r="A39" s="420" t="s">
        <v>359</v>
      </c>
      <c r="B39" s="420"/>
      <c r="C39" s="420"/>
      <c r="D39" s="420"/>
      <c r="E39" s="420"/>
      <c r="F39" s="420"/>
      <c r="G39" s="420"/>
    </row>
    <row r="40" spans="1:7" ht="15">
      <c r="A40" s="419"/>
      <c r="B40" s="419"/>
      <c r="C40" s="419"/>
      <c r="D40" s="419"/>
      <c r="E40" s="419"/>
      <c r="F40" s="419"/>
      <c r="G40" s="419"/>
    </row>
    <row r="41" spans="1:6" ht="15">
      <c r="A41" s="427" t="str">
        <f>CONCATENATE("So, let's look to see if any of your ",inputPrYr!C5-1," expenditures can")</f>
        <v>So, let's look to see if any of your 2014 expenditures can</v>
      </c>
      <c r="B41" s="420"/>
      <c r="C41" s="420"/>
      <c r="D41" s="420"/>
      <c r="E41" s="420"/>
      <c r="F41" s="420"/>
    </row>
    <row r="42" spans="1:6" ht="15">
      <c r="A42" s="427" t="s">
        <v>325</v>
      </c>
      <c r="B42" s="420"/>
      <c r="C42" s="420"/>
      <c r="D42" s="420"/>
      <c r="E42" s="420"/>
      <c r="F42" s="420"/>
    </row>
    <row r="43" spans="1:6" ht="15">
      <c r="A43" s="427" t="s">
        <v>1060</v>
      </c>
      <c r="B43" s="420"/>
      <c r="C43" s="420"/>
      <c r="D43" s="420"/>
      <c r="E43" s="420"/>
      <c r="F43" s="420"/>
    </row>
    <row r="44" spans="1:6" ht="15">
      <c r="A44" s="427" t="s">
        <v>1061</v>
      </c>
      <c r="B44" s="420"/>
      <c r="C44" s="420"/>
      <c r="D44" s="420"/>
      <c r="E44" s="420"/>
      <c r="F44" s="420"/>
    </row>
    <row r="45" ht="15">
      <c r="A45" s="420"/>
    </row>
    <row r="46" spans="1:6" ht="15">
      <c r="A46" s="427" t="str">
        <f>CONCATENATE("Additionally, do your ",inputPrYr!C5-1," receipts contain a reimbursement")</f>
        <v>Additionally, do your 2014 receipts contain a reimbursement</v>
      </c>
      <c r="B46" s="420"/>
      <c r="C46" s="420"/>
      <c r="D46" s="420"/>
      <c r="E46" s="420"/>
      <c r="F46" s="420"/>
    </row>
    <row r="47" spans="1:6" ht="15">
      <c r="A47" s="427" t="s">
        <v>1062</v>
      </c>
      <c r="B47" s="420"/>
      <c r="C47" s="420"/>
      <c r="D47" s="420"/>
      <c r="E47" s="420"/>
      <c r="F47" s="420"/>
    </row>
    <row r="48" spans="1:6" ht="15">
      <c r="A48" s="427" t="s">
        <v>1063</v>
      </c>
      <c r="B48" s="420"/>
      <c r="C48" s="420"/>
      <c r="D48" s="420"/>
      <c r="E48" s="420"/>
      <c r="F48" s="420"/>
    </row>
    <row r="49" spans="1:7" ht="15">
      <c r="A49" s="420"/>
      <c r="B49" s="420"/>
      <c r="C49" s="420"/>
      <c r="D49" s="420"/>
      <c r="E49" s="420"/>
      <c r="F49" s="420"/>
      <c r="G49" s="420"/>
    </row>
    <row r="50" spans="1:7" ht="15">
      <c r="A50" s="420" t="s">
        <v>279</v>
      </c>
      <c r="B50" s="420"/>
      <c r="C50" s="420"/>
      <c r="D50" s="420"/>
      <c r="E50" s="420"/>
      <c r="F50" s="420"/>
      <c r="G50" s="420"/>
    </row>
    <row r="51" spans="1:7" ht="15">
      <c r="A51" s="420" t="s">
        <v>280</v>
      </c>
      <c r="B51" s="420"/>
      <c r="C51" s="420"/>
      <c r="D51" s="420"/>
      <c r="E51" s="420"/>
      <c r="F51" s="420"/>
      <c r="G51" s="420"/>
    </row>
    <row r="52" spans="1:7" ht="15">
      <c r="A52" s="420" t="s">
        <v>281</v>
      </c>
      <c r="B52" s="420"/>
      <c r="C52" s="420"/>
      <c r="D52" s="420"/>
      <c r="E52" s="420"/>
      <c r="F52" s="420"/>
      <c r="G52" s="420"/>
    </row>
    <row r="53" spans="1:7" ht="15">
      <c r="A53" s="420" t="s">
        <v>282</v>
      </c>
      <c r="B53" s="420"/>
      <c r="C53" s="420"/>
      <c r="D53" s="420"/>
      <c r="E53" s="420"/>
      <c r="F53" s="420"/>
      <c r="G53" s="420"/>
    </row>
    <row r="54" spans="1:7" ht="15">
      <c r="A54" s="420" t="s">
        <v>283</v>
      </c>
      <c r="B54" s="420"/>
      <c r="C54" s="420"/>
      <c r="D54" s="420"/>
      <c r="E54" s="420"/>
      <c r="F54" s="420"/>
      <c r="G54" s="420"/>
    </row>
    <row r="55" spans="1:7" ht="15">
      <c r="A55" s="420"/>
      <c r="B55" s="420"/>
      <c r="C55" s="420"/>
      <c r="D55" s="420"/>
      <c r="E55" s="420"/>
      <c r="F55" s="420"/>
      <c r="G55" s="420"/>
    </row>
    <row r="56" spans="1:6" ht="15">
      <c r="A56" s="427" t="s">
        <v>1067</v>
      </c>
      <c r="B56" s="420"/>
      <c r="C56" s="420"/>
      <c r="D56" s="420"/>
      <c r="E56" s="420"/>
      <c r="F56" s="420"/>
    </row>
    <row r="57" spans="1:6" ht="15">
      <c r="A57" s="427" t="s">
        <v>1068</v>
      </c>
      <c r="B57" s="420"/>
      <c r="C57" s="420"/>
      <c r="D57" s="420"/>
      <c r="E57" s="420"/>
      <c r="F57" s="420"/>
    </row>
    <row r="58" spans="1:6" ht="15">
      <c r="A58" s="427" t="s">
        <v>1069</v>
      </c>
      <c r="B58" s="420"/>
      <c r="C58" s="420"/>
      <c r="D58" s="420"/>
      <c r="E58" s="420"/>
      <c r="F58" s="420"/>
    </row>
    <row r="59" spans="1:6" ht="15">
      <c r="A59" s="427"/>
      <c r="B59" s="420"/>
      <c r="C59" s="420"/>
      <c r="D59" s="420"/>
      <c r="E59" s="420"/>
      <c r="F59" s="420"/>
    </row>
    <row r="60" spans="1:7" ht="15">
      <c r="A60" s="420" t="s">
        <v>360</v>
      </c>
      <c r="B60" s="420"/>
      <c r="C60" s="420"/>
      <c r="D60" s="420"/>
      <c r="E60" s="420"/>
      <c r="F60" s="420"/>
      <c r="G60" s="420"/>
    </row>
    <row r="61" spans="1:7" ht="15">
      <c r="A61" s="420" t="s">
        <v>361</v>
      </c>
      <c r="B61" s="420"/>
      <c r="C61" s="420"/>
      <c r="D61" s="420"/>
      <c r="E61" s="420"/>
      <c r="F61" s="420"/>
      <c r="G61" s="420"/>
    </row>
    <row r="62" spans="1:7" ht="15">
      <c r="A62" s="420" t="s">
        <v>362</v>
      </c>
      <c r="B62" s="420"/>
      <c r="C62" s="420"/>
      <c r="D62" s="420"/>
      <c r="E62" s="420"/>
      <c r="F62" s="420"/>
      <c r="G62" s="420"/>
    </row>
    <row r="63" spans="1:7" ht="15">
      <c r="A63" s="420" t="s">
        <v>363</v>
      </c>
      <c r="B63" s="420"/>
      <c r="C63" s="420"/>
      <c r="D63" s="420"/>
      <c r="E63" s="420"/>
      <c r="F63" s="420"/>
      <c r="G63" s="420"/>
    </row>
    <row r="64" spans="1:7" ht="15">
      <c r="A64" s="420" t="s">
        <v>364</v>
      </c>
      <c r="B64" s="420"/>
      <c r="C64" s="420"/>
      <c r="D64" s="420"/>
      <c r="E64" s="420"/>
      <c r="F64" s="420"/>
      <c r="G64" s="420"/>
    </row>
    <row r="66" spans="1:6" ht="15">
      <c r="A66" s="427" t="s">
        <v>327</v>
      </c>
      <c r="B66" s="420"/>
      <c r="C66" s="420"/>
      <c r="D66" s="420"/>
      <c r="E66" s="420"/>
      <c r="F66" s="420"/>
    </row>
    <row r="67" spans="1:6" ht="15">
      <c r="A67" s="427" t="s">
        <v>328</v>
      </c>
      <c r="B67" s="420"/>
      <c r="C67" s="420"/>
      <c r="D67" s="420"/>
      <c r="E67" s="420"/>
      <c r="F67" s="420"/>
    </row>
    <row r="68" spans="1:6" ht="15">
      <c r="A68" s="427" t="s">
        <v>329</v>
      </c>
      <c r="B68" s="420"/>
      <c r="C68" s="420"/>
      <c r="D68" s="420"/>
      <c r="E68" s="420"/>
      <c r="F68" s="420"/>
    </row>
    <row r="69" spans="1:6" ht="15">
      <c r="A69" s="427" t="s">
        <v>330</v>
      </c>
      <c r="B69" s="420"/>
      <c r="C69" s="420"/>
      <c r="D69" s="420"/>
      <c r="E69" s="420"/>
      <c r="F69" s="420"/>
    </row>
    <row r="70" spans="1:6" ht="15">
      <c r="A70" s="427" t="s">
        <v>331</v>
      </c>
      <c r="B70" s="420"/>
      <c r="C70" s="420"/>
      <c r="D70" s="420"/>
      <c r="E70" s="420"/>
      <c r="F70" s="420"/>
    </row>
    <row r="71" ht="15">
      <c r="A71" s="420"/>
    </row>
    <row r="72" ht="15">
      <c r="A72" s="420" t="s">
        <v>250</v>
      </c>
    </row>
    <row r="73" ht="15">
      <c r="A73" s="420"/>
    </row>
    <row r="74" ht="15">
      <c r="A74" s="420"/>
    </row>
    <row r="75" ht="15">
      <c r="A75" s="420"/>
    </row>
    <row r="78" ht="15">
      <c r="A78" s="419"/>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L39"/>
    </sheetView>
  </sheetViews>
  <sheetFormatPr defaultColWidth="8.796875" defaultRowHeight="15"/>
  <cols>
    <col min="1" max="1" width="71.296875" style="0" customWidth="1"/>
  </cols>
  <sheetData>
    <row r="3" spans="1:7" ht="15">
      <c r="A3" s="421" t="s">
        <v>365</v>
      </c>
      <c r="B3" s="421"/>
      <c r="C3" s="421"/>
      <c r="D3" s="421"/>
      <c r="E3" s="421"/>
      <c r="F3" s="421"/>
      <c r="G3" s="421"/>
    </row>
    <row r="4" spans="1:7" ht="15">
      <c r="A4" s="421" t="s">
        <v>366</v>
      </c>
      <c r="B4" s="421"/>
      <c r="C4" s="421"/>
      <c r="D4" s="421"/>
      <c r="E4" s="421"/>
      <c r="F4" s="421"/>
      <c r="G4" s="421"/>
    </row>
    <row r="5" spans="1:7" ht="15">
      <c r="A5" s="421"/>
      <c r="B5" s="421"/>
      <c r="C5" s="421"/>
      <c r="D5" s="421"/>
      <c r="E5" s="421"/>
      <c r="F5" s="421"/>
      <c r="G5" s="421"/>
    </row>
    <row r="6" spans="1:7" ht="15">
      <c r="A6" s="421"/>
      <c r="B6" s="421"/>
      <c r="C6" s="421"/>
      <c r="D6" s="421"/>
      <c r="E6" s="421"/>
      <c r="F6" s="421"/>
      <c r="G6" s="421"/>
    </row>
    <row r="7" ht="15">
      <c r="A7" s="420" t="s">
        <v>1046</v>
      </c>
    </row>
    <row r="8" ht="15">
      <c r="A8" s="420" t="str">
        <f>CONCATENATE("estimated ",inputPrYr!C5," 'total expenditures' exceed your ",inputPrYr!C5,"")</f>
        <v>estimated 2015 'total expenditures' exceed your 2015</v>
      </c>
    </row>
    <row r="9" ht="15">
      <c r="A9" s="423" t="s">
        <v>367</v>
      </c>
    </row>
    <row r="10" ht="15">
      <c r="A10" s="420"/>
    </row>
    <row r="11" ht="15">
      <c r="A11" s="420" t="s">
        <v>368</v>
      </c>
    </row>
    <row r="12" ht="15">
      <c r="A12" s="420" t="s">
        <v>369</v>
      </c>
    </row>
    <row r="13" ht="15">
      <c r="A13" s="420" t="s">
        <v>370</v>
      </c>
    </row>
    <row r="14" ht="15">
      <c r="A14" s="420"/>
    </row>
    <row r="15" ht="15">
      <c r="A15" s="419" t="s">
        <v>371</v>
      </c>
    </row>
    <row r="16" spans="1:7" ht="15">
      <c r="A16" s="421"/>
      <c r="B16" s="421"/>
      <c r="C16" s="421"/>
      <c r="D16" s="421"/>
      <c r="E16" s="421"/>
      <c r="F16" s="421"/>
      <c r="G16" s="421"/>
    </row>
    <row r="17" spans="1:8" ht="15">
      <c r="A17" s="424" t="s">
        <v>372</v>
      </c>
      <c r="B17" s="408"/>
      <c r="C17" s="408"/>
      <c r="D17" s="408"/>
      <c r="E17" s="408"/>
      <c r="F17" s="408"/>
      <c r="G17" s="408"/>
      <c r="H17" s="408"/>
    </row>
    <row r="18" spans="1:7" ht="15">
      <c r="A18" s="420" t="s">
        <v>373</v>
      </c>
      <c r="B18" s="425"/>
      <c r="C18" s="425"/>
      <c r="D18" s="425"/>
      <c r="E18" s="425"/>
      <c r="F18" s="425"/>
      <c r="G18" s="425"/>
    </row>
    <row r="19" ht="15">
      <c r="A19" s="420" t="s">
        <v>374</v>
      </c>
    </row>
    <row r="20" ht="15">
      <c r="A20" s="420" t="s">
        <v>375</v>
      </c>
    </row>
    <row r="22" ht="15">
      <c r="A22" s="419" t="s">
        <v>376</v>
      </c>
    </row>
    <row r="24" ht="15">
      <c r="A24" s="420" t="s">
        <v>377</v>
      </c>
    </row>
    <row r="25" ht="15">
      <c r="A25" s="420" t="s">
        <v>378</v>
      </c>
    </row>
    <row r="26" ht="15">
      <c r="A26" s="420" t="s">
        <v>379</v>
      </c>
    </row>
    <row r="28" ht="15">
      <c r="A28" s="419" t="s">
        <v>380</v>
      </c>
    </row>
    <row r="30" ht="15">
      <c r="A30" t="s">
        <v>381</v>
      </c>
    </row>
    <row r="31" ht="15">
      <c r="A31" t="s">
        <v>382</v>
      </c>
    </row>
    <row r="32" ht="15">
      <c r="A32" t="s">
        <v>383</v>
      </c>
    </row>
    <row r="33" ht="15">
      <c r="A33" s="420" t="s">
        <v>384</v>
      </c>
    </row>
    <row r="35" ht="15">
      <c r="A35" t="s">
        <v>385</v>
      </c>
    </row>
    <row r="36" ht="15">
      <c r="A36" t="s">
        <v>386</v>
      </c>
    </row>
    <row r="37" ht="15">
      <c r="A37" t="s">
        <v>387</v>
      </c>
    </row>
    <row r="38" ht="15">
      <c r="A38" t="s">
        <v>388</v>
      </c>
    </row>
    <row r="40" ht="15">
      <c r="A40" t="s">
        <v>389</v>
      </c>
    </row>
    <row r="41" ht="15">
      <c r="A41" t="s">
        <v>390</v>
      </c>
    </row>
    <row r="42" ht="15">
      <c r="A42" t="s">
        <v>391</v>
      </c>
    </row>
    <row r="43" ht="15">
      <c r="A43" t="s">
        <v>392</v>
      </c>
    </row>
    <row r="44" ht="15">
      <c r="A44" t="s">
        <v>393</v>
      </c>
    </row>
    <row r="45" ht="15">
      <c r="A45" t="s">
        <v>394</v>
      </c>
    </row>
    <row r="47" ht="15">
      <c r="A47" t="s">
        <v>395</v>
      </c>
    </row>
    <row r="48" ht="15">
      <c r="A48" t="s">
        <v>396</v>
      </c>
    </row>
    <row r="49" ht="15">
      <c r="A49" s="420" t="s">
        <v>397</v>
      </c>
    </row>
    <row r="50" ht="15">
      <c r="A50" s="420" t="s">
        <v>398</v>
      </c>
    </row>
    <row r="52" ht="15">
      <c r="A52" t="s">
        <v>250</v>
      </c>
    </row>
  </sheetData>
  <sheetProtection sheet="1"/>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L39"/>
    </sheetView>
  </sheetViews>
  <sheetFormatPr defaultColWidth="8.796875" defaultRowHeight="15"/>
  <cols>
    <col min="1" max="1" width="7.59765625" style="476" customWidth="1"/>
    <col min="2" max="2" width="11.19921875" style="545" customWidth="1"/>
    <col min="3" max="3" width="7.3984375" style="545" customWidth="1"/>
    <col min="4" max="4" width="8.8984375" style="545" customWidth="1"/>
    <col min="5" max="5" width="1.59765625" style="545" customWidth="1"/>
    <col min="6" max="6" width="14.296875" style="545" customWidth="1"/>
    <col min="7" max="7" width="2.59765625" style="545" customWidth="1"/>
    <col min="8" max="8" width="9.796875" style="545" customWidth="1"/>
    <col min="9" max="9" width="2" style="545" customWidth="1"/>
    <col min="10" max="10" width="8.59765625" style="545" customWidth="1"/>
    <col min="11" max="11" width="11.69921875" style="545" customWidth="1"/>
    <col min="12" max="12" width="7.59765625" style="476" customWidth="1"/>
    <col min="13" max="14" width="8.8984375" style="476" customWidth="1"/>
    <col min="15" max="15" width="9.8984375" style="476" bestFit="1" customWidth="1"/>
    <col min="16" max="16384" width="8.8984375" style="476" customWidth="1"/>
  </cols>
  <sheetData>
    <row r="1" spans="1:12" ht="14.25">
      <c r="A1" s="544"/>
      <c r="B1" s="544"/>
      <c r="C1" s="544"/>
      <c r="D1" s="544"/>
      <c r="E1" s="544"/>
      <c r="F1" s="544"/>
      <c r="G1" s="544"/>
      <c r="H1" s="544"/>
      <c r="I1" s="544"/>
      <c r="J1" s="544"/>
      <c r="K1" s="544"/>
      <c r="L1" s="544"/>
    </row>
    <row r="2" spans="1:12" ht="14.25">
      <c r="A2" s="544"/>
      <c r="B2" s="544"/>
      <c r="C2" s="544"/>
      <c r="D2" s="544"/>
      <c r="E2" s="544"/>
      <c r="F2" s="544"/>
      <c r="G2" s="544"/>
      <c r="H2" s="544"/>
      <c r="I2" s="544"/>
      <c r="J2" s="544"/>
      <c r="K2" s="544"/>
      <c r="L2" s="544"/>
    </row>
    <row r="3" spans="1:12" ht="14.25">
      <c r="A3" s="544"/>
      <c r="B3" s="544"/>
      <c r="C3" s="544"/>
      <c r="D3" s="544"/>
      <c r="E3" s="544"/>
      <c r="F3" s="544"/>
      <c r="G3" s="544"/>
      <c r="H3" s="544"/>
      <c r="I3" s="544"/>
      <c r="J3" s="544"/>
      <c r="K3" s="544"/>
      <c r="L3" s="544"/>
    </row>
    <row r="4" spans="1:12" ht="14.25">
      <c r="A4" s="544"/>
      <c r="L4" s="544"/>
    </row>
    <row r="5" spans="1:12" ht="15" customHeight="1">
      <c r="A5" s="544"/>
      <c r="L5" s="544"/>
    </row>
    <row r="6" spans="1:12" ht="33" customHeight="1">
      <c r="A6" s="544"/>
      <c r="B6" s="789" t="s">
        <v>484</v>
      </c>
      <c r="C6" s="786"/>
      <c r="D6" s="786"/>
      <c r="E6" s="786"/>
      <c r="F6" s="786"/>
      <c r="G6" s="786"/>
      <c r="H6" s="786"/>
      <c r="I6" s="786"/>
      <c r="J6" s="786"/>
      <c r="K6" s="786"/>
      <c r="L6" s="546"/>
    </row>
    <row r="7" spans="1:12" ht="40.5" customHeight="1">
      <c r="A7" s="544"/>
      <c r="B7" s="801" t="s">
        <v>485</v>
      </c>
      <c r="C7" s="802"/>
      <c r="D7" s="802"/>
      <c r="E7" s="802"/>
      <c r="F7" s="802"/>
      <c r="G7" s="802"/>
      <c r="H7" s="802"/>
      <c r="I7" s="802"/>
      <c r="J7" s="802"/>
      <c r="K7" s="802"/>
      <c r="L7" s="544"/>
    </row>
    <row r="8" spans="1:12" ht="14.25">
      <c r="A8" s="544"/>
      <c r="B8" s="799" t="s">
        <v>486</v>
      </c>
      <c r="C8" s="799"/>
      <c r="D8" s="799"/>
      <c r="E8" s="799"/>
      <c r="F8" s="799"/>
      <c r="G8" s="799"/>
      <c r="H8" s="799"/>
      <c r="I8" s="799"/>
      <c r="J8" s="799"/>
      <c r="K8" s="799"/>
      <c r="L8" s="544"/>
    </row>
    <row r="9" spans="1:12" ht="14.25">
      <c r="A9" s="544"/>
      <c r="L9" s="544"/>
    </row>
    <row r="10" spans="1:12" ht="14.25">
      <c r="A10" s="544"/>
      <c r="B10" s="799" t="s">
        <v>487</v>
      </c>
      <c r="C10" s="799"/>
      <c r="D10" s="799"/>
      <c r="E10" s="799"/>
      <c r="F10" s="799"/>
      <c r="G10" s="799"/>
      <c r="H10" s="799"/>
      <c r="I10" s="799"/>
      <c r="J10" s="799"/>
      <c r="K10" s="799"/>
      <c r="L10" s="544"/>
    </row>
    <row r="11" spans="1:12" ht="14.25">
      <c r="A11" s="544"/>
      <c r="B11" s="612"/>
      <c r="C11" s="612"/>
      <c r="D11" s="612"/>
      <c r="E11" s="612"/>
      <c r="F11" s="612"/>
      <c r="G11" s="612"/>
      <c r="H11" s="612"/>
      <c r="I11" s="612"/>
      <c r="J11" s="612"/>
      <c r="K11" s="612"/>
      <c r="L11" s="544"/>
    </row>
    <row r="12" spans="1:12" ht="32.25" customHeight="1">
      <c r="A12" s="544"/>
      <c r="B12" s="792" t="s">
        <v>488</v>
      </c>
      <c r="C12" s="792"/>
      <c r="D12" s="792"/>
      <c r="E12" s="792"/>
      <c r="F12" s="792"/>
      <c r="G12" s="792"/>
      <c r="H12" s="792"/>
      <c r="I12" s="792"/>
      <c r="J12" s="792"/>
      <c r="K12" s="792"/>
      <c r="L12" s="544"/>
    </row>
    <row r="13" spans="1:12" ht="14.25">
      <c r="A13" s="544"/>
      <c r="L13" s="544"/>
    </row>
    <row r="14" spans="1:12" ht="14.25">
      <c r="A14" s="544"/>
      <c r="B14" s="527" t="s">
        <v>489</v>
      </c>
      <c r="L14" s="544"/>
    </row>
    <row r="15" spans="1:12" ht="14.25">
      <c r="A15" s="544"/>
      <c r="L15" s="544"/>
    </row>
    <row r="16" spans="1:12" ht="14.25">
      <c r="A16" s="544"/>
      <c r="B16" s="545" t="s">
        <v>490</v>
      </c>
      <c r="L16" s="544"/>
    </row>
    <row r="17" spans="1:12" ht="14.25">
      <c r="A17" s="544"/>
      <c r="B17" s="545" t="s">
        <v>491</v>
      </c>
      <c r="L17" s="544"/>
    </row>
    <row r="18" spans="1:12" ht="14.25">
      <c r="A18" s="544"/>
      <c r="L18" s="544"/>
    </row>
    <row r="19" spans="1:12" ht="14.25">
      <c r="A19" s="544"/>
      <c r="B19" s="527" t="s">
        <v>600</v>
      </c>
      <c r="L19" s="544"/>
    </row>
    <row r="20" spans="1:12" ht="14.25">
      <c r="A20" s="544"/>
      <c r="B20" s="527"/>
      <c r="L20" s="544"/>
    </row>
    <row r="21" spans="1:12" ht="14.25">
      <c r="A21" s="544"/>
      <c r="B21" s="545" t="s">
        <v>601</v>
      </c>
      <c r="L21" s="544"/>
    </row>
    <row r="22" spans="1:12" ht="14.25">
      <c r="A22" s="544"/>
      <c r="L22" s="544"/>
    </row>
    <row r="23" spans="1:12" ht="14.25">
      <c r="A23" s="544"/>
      <c r="B23" s="545" t="s">
        <v>492</v>
      </c>
      <c r="E23" s="545" t="s">
        <v>493</v>
      </c>
      <c r="F23" s="788">
        <v>312000000</v>
      </c>
      <c r="G23" s="788"/>
      <c r="L23" s="544"/>
    </row>
    <row r="24" spans="1:12" ht="14.25">
      <c r="A24" s="544"/>
      <c r="L24" s="544"/>
    </row>
    <row r="25" spans="1:12" ht="14.25">
      <c r="A25" s="544"/>
      <c r="C25" s="798">
        <f>F23</f>
        <v>312000000</v>
      </c>
      <c r="D25" s="798"/>
      <c r="E25" s="545" t="s">
        <v>494</v>
      </c>
      <c r="F25" s="547">
        <v>1000</v>
      </c>
      <c r="G25" s="547" t="s">
        <v>493</v>
      </c>
      <c r="H25" s="613">
        <f>F23/F25</f>
        <v>312000</v>
      </c>
      <c r="L25" s="544"/>
    </row>
    <row r="26" spans="1:12" ht="15" thickBot="1">
      <c r="A26" s="544"/>
      <c r="L26" s="544"/>
    </row>
    <row r="27" spans="1:12" ht="14.25">
      <c r="A27" s="544"/>
      <c r="B27" s="528" t="s">
        <v>489</v>
      </c>
      <c r="C27" s="548"/>
      <c r="D27" s="548"/>
      <c r="E27" s="548"/>
      <c r="F27" s="548"/>
      <c r="G27" s="548"/>
      <c r="H27" s="548"/>
      <c r="I27" s="548"/>
      <c r="J27" s="548"/>
      <c r="K27" s="549"/>
      <c r="L27" s="544"/>
    </row>
    <row r="28" spans="1:12" ht="14.25">
      <c r="A28" s="544"/>
      <c r="B28" s="550">
        <f>F23</f>
        <v>312000000</v>
      </c>
      <c r="C28" s="551" t="s">
        <v>495</v>
      </c>
      <c r="D28" s="551"/>
      <c r="E28" s="551" t="s">
        <v>494</v>
      </c>
      <c r="F28" s="617">
        <v>1000</v>
      </c>
      <c r="G28" s="617" t="s">
        <v>493</v>
      </c>
      <c r="H28" s="552">
        <f>B28/F28</f>
        <v>312000</v>
      </c>
      <c r="I28" s="551" t="s">
        <v>496</v>
      </c>
      <c r="J28" s="551"/>
      <c r="K28" s="553"/>
      <c r="L28" s="544"/>
    </row>
    <row r="29" spans="1:12" ht="15" thickBot="1">
      <c r="A29" s="544"/>
      <c r="B29" s="554"/>
      <c r="C29" s="555"/>
      <c r="D29" s="555"/>
      <c r="E29" s="555"/>
      <c r="F29" s="555"/>
      <c r="G29" s="555"/>
      <c r="H29" s="555"/>
      <c r="I29" s="555"/>
      <c r="J29" s="555"/>
      <c r="K29" s="556"/>
      <c r="L29" s="544"/>
    </row>
    <row r="30" spans="1:12" ht="40.5" customHeight="1">
      <c r="A30" s="544"/>
      <c r="B30" s="783" t="s">
        <v>485</v>
      </c>
      <c r="C30" s="783"/>
      <c r="D30" s="783"/>
      <c r="E30" s="783"/>
      <c r="F30" s="783"/>
      <c r="G30" s="783"/>
      <c r="H30" s="783"/>
      <c r="I30" s="783"/>
      <c r="J30" s="783"/>
      <c r="K30" s="783"/>
      <c r="L30" s="544"/>
    </row>
    <row r="31" spans="1:12" ht="14.25">
      <c r="A31" s="544"/>
      <c r="B31" s="799" t="s">
        <v>497</v>
      </c>
      <c r="C31" s="799"/>
      <c r="D31" s="799"/>
      <c r="E31" s="799"/>
      <c r="F31" s="799"/>
      <c r="G31" s="799"/>
      <c r="H31" s="799"/>
      <c r="I31" s="799"/>
      <c r="J31" s="799"/>
      <c r="K31" s="799"/>
      <c r="L31" s="544"/>
    </row>
    <row r="32" spans="1:12" ht="14.25">
      <c r="A32" s="544"/>
      <c r="L32" s="544"/>
    </row>
    <row r="33" spans="1:12" ht="14.25">
      <c r="A33" s="544"/>
      <c r="B33" s="799" t="s">
        <v>498</v>
      </c>
      <c r="C33" s="799"/>
      <c r="D33" s="799"/>
      <c r="E33" s="799"/>
      <c r="F33" s="799"/>
      <c r="G33" s="799"/>
      <c r="H33" s="799"/>
      <c r="I33" s="799"/>
      <c r="J33" s="799"/>
      <c r="K33" s="799"/>
      <c r="L33" s="544"/>
    </row>
    <row r="34" spans="1:12" ht="14.25">
      <c r="A34" s="544"/>
      <c r="L34" s="544"/>
    </row>
    <row r="35" spans="1:12" ht="89.25" customHeight="1">
      <c r="A35" s="544"/>
      <c r="B35" s="792" t="s">
        <v>499</v>
      </c>
      <c r="C35" s="795"/>
      <c r="D35" s="795"/>
      <c r="E35" s="795"/>
      <c r="F35" s="795"/>
      <c r="G35" s="795"/>
      <c r="H35" s="795"/>
      <c r="I35" s="795"/>
      <c r="J35" s="795"/>
      <c r="K35" s="795"/>
      <c r="L35" s="544"/>
    </row>
    <row r="36" spans="1:12" ht="14.25">
      <c r="A36" s="544"/>
      <c r="L36" s="544"/>
    </row>
    <row r="37" spans="1:12" ht="14.25">
      <c r="A37" s="544"/>
      <c r="B37" s="527" t="s">
        <v>500</v>
      </c>
      <c r="L37" s="544"/>
    </row>
    <row r="38" spans="1:12" ht="14.25">
      <c r="A38" s="544"/>
      <c r="L38" s="544"/>
    </row>
    <row r="39" spans="1:12" ht="14.25">
      <c r="A39" s="544"/>
      <c r="B39" s="545" t="s">
        <v>501</v>
      </c>
      <c r="L39" s="544"/>
    </row>
    <row r="40" spans="1:12" ht="14.25">
      <c r="A40" s="544"/>
      <c r="L40" s="544"/>
    </row>
    <row r="41" spans="1:12" ht="14.25">
      <c r="A41" s="544"/>
      <c r="C41" s="800">
        <v>312000000</v>
      </c>
      <c r="D41" s="800"/>
      <c r="E41" s="545" t="s">
        <v>494</v>
      </c>
      <c r="F41" s="547">
        <v>1000</v>
      </c>
      <c r="G41" s="547" t="s">
        <v>493</v>
      </c>
      <c r="H41" s="557">
        <f>C41/F41</f>
        <v>312000</v>
      </c>
      <c r="L41" s="544"/>
    </row>
    <row r="42" spans="1:12" ht="14.25">
      <c r="A42" s="544"/>
      <c r="L42" s="544"/>
    </row>
    <row r="43" spans="1:12" ht="14.25">
      <c r="A43" s="544"/>
      <c r="B43" s="545" t="s">
        <v>502</v>
      </c>
      <c r="L43" s="544"/>
    </row>
    <row r="44" spans="1:12" ht="14.25">
      <c r="A44" s="544"/>
      <c r="L44" s="544"/>
    </row>
    <row r="45" spans="1:12" ht="14.25">
      <c r="A45" s="544"/>
      <c r="B45" s="545" t="s">
        <v>503</v>
      </c>
      <c r="L45" s="544"/>
    </row>
    <row r="46" spans="1:12" ht="15" thickBot="1">
      <c r="A46" s="544"/>
      <c r="L46" s="544"/>
    </row>
    <row r="47" spans="1:12" ht="14.25">
      <c r="A47" s="544"/>
      <c r="B47" s="558" t="s">
        <v>489</v>
      </c>
      <c r="C47" s="548"/>
      <c r="D47" s="548"/>
      <c r="E47" s="548"/>
      <c r="F47" s="548"/>
      <c r="G47" s="548"/>
      <c r="H47" s="548"/>
      <c r="I47" s="548"/>
      <c r="J47" s="548"/>
      <c r="K47" s="549"/>
      <c r="L47" s="544"/>
    </row>
    <row r="48" spans="1:12" ht="14.25">
      <c r="A48" s="544"/>
      <c r="B48" s="803">
        <v>312000000</v>
      </c>
      <c r="C48" s="788"/>
      <c r="D48" s="551" t="s">
        <v>504</v>
      </c>
      <c r="E48" s="551" t="s">
        <v>494</v>
      </c>
      <c r="F48" s="617">
        <v>1000</v>
      </c>
      <c r="G48" s="617" t="s">
        <v>493</v>
      </c>
      <c r="H48" s="552">
        <f>B48/F48</f>
        <v>312000</v>
      </c>
      <c r="I48" s="551" t="s">
        <v>505</v>
      </c>
      <c r="J48" s="551"/>
      <c r="K48" s="553"/>
      <c r="L48" s="544"/>
    </row>
    <row r="49" spans="1:12" ht="14.25">
      <c r="A49" s="544"/>
      <c r="B49" s="559"/>
      <c r="C49" s="551"/>
      <c r="D49" s="551"/>
      <c r="E49" s="551"/>
      <c r="F49" s="551"/>
      <c r="G49" s="551"/>
      <c r="H49" s="551"/>
      <c r="I49" s="551"/>
      <c r="J49" s="551"/>
      <c r="K49" s="553"/>
      <c r="L49" s="544"/>
    </row>
    <row r="50" spans="1:12" ht="14.25">
      <c r="A50" s="544"/>
      <c r="B50" s="560">
        <v>50000</v>
      </c>
      <c r="C50" s="551" t="s">
        <v>506</v>
      </c>
      <c r="D50" s="551"/>
      <c r="E50" s="551" t="s">
        <v>494</v>
      </c>
      <c r="F50" s="552">
        <f>H48</f>
        <v>312000</v>
      </c>
      <c r="G50" s="804" t="s">
        <v>507</v>
      </c>
      <c r="H50" s="805"/>
      <c r="I50" s="617" t="s">
        <v>493</v>
      </c>
      <c r="J50" s="561">
        <f>B50/F50</f>
        <v>0.16025641025641027</v>
      </c>
      <c r="K50" s="553"/>
      <c r="L50" s="544"/>
    </row>
    <row r="51" spans="1:15" ht="15" thickBot="1">
      <c r="A51" s="544"/>
      <c r="B51" s="554"/>
      <c r="C51" s="555"/>
      <c r="D51" s="555"/>
      <c r="E51" s="555"/>
      <c r="F51" s="555"/>
      <c r="G51" s="555"/>
      <c r="H51" s="555"/>
      <c r="I51" s="806" t="s">
        <v>508</v>
      </c>
      <c r="J51" s="806"/>
      <c r="K51" s="807"/>
      <c r="L51" s="544"/>
      <c r="O51" s="562"/>
    </row>
    <row r="52" spans="1:12" ht="40.5" customHeight="1">
      <c r="A52" s="544"/>
      <c r="B52" s="783" t="s">
        <v>485</v>
      </c>
      <c r="C52" s="783"/>
      <c r="D52" s="783"/>
      <c r="E52" s="783"/>
      <c r="F52" s="783"/>
      <c r="G52" s="783"/>
      <c r="H52" s="783"/>
      <c r="I52" s="783"/>
      <c r="J52" s="783"/>
      <c r="K52" s="783"/>
      <c r="L52" s="544"/>
    </row>
    <row r="53" spans="1:12" ht="14.25">
      <c r="A53" s="544"/>
      <c r="B53" s="799" t="s">
        <v>509</v>
      </c>
      <c r="C53" s="799"/>
      <c r="D53" s="799"/>
      <c r="E53" s="799"/>
      <c r="F53" s="799"/>
      <c r="G53" s="799"/>
      <c r="H53" s="799"/>
      <c r="I53" s="799"/>
      <c r="J53" s="799"/>
      <c r="K53" s="799"/>
      <c r="L53" s="544"/>
    </row>
    <row r="54" spans="1:12" ht="14.25">
      <c r="A54" s="544"/>
      <c r="B54" s="612"/>
      <c r="C54" s="612"/>
      <c r="D54" s="612"/>
      <c r="E54" s="612"/>
      <c r="F54" s="612"/>
      <c r="G54" s="612"/>
      <c r="H54" s="612"/>
      <c r="I54" s="612"/>
      <c r="J54" s="612"/>
      <c r="K54" s="612"/>
      <c r="L54" s="544"/>
    </row>
    <row r="55" spans="1:12" ht="14.25">
      <c r="A55" s="544"/>
      <c r="B55" s="789" t="s">
        <v>510</v>
      </c>
      <c r="C55" s="789"/>
      <c r="D55" s="789"/>
      <c r="E55" s="789"/>
      <c r="F55" s="789"/>
      <c r="G55" s="789"/>
      <c r="H55" s="789"/>
      <c r="I55" s="789"/>
      <c r="J55" s="789"/>
      <c r="K55" s="789"/>
      <c r="L55" s="544"/>
    </row>
    <row r="56" spans="1:12" ht="15" customHeight="1">
      <c r="A56" s="544"/>
      <c r="L56" s="544"/>
    </row>
    <row r="57" spans="1:24" ht="74.25" customHeight="1">
      <c r="A57" s="544"/>
      <c r="B57" s="792" t="s">
        <v>511</v>
      </c>
      <c r="C57" s="795"/>
      <c r="D57" s="795"/>
      <c r="E57" s="795"/>
      <c r="F57" s="795"/>
      <c r="G57" s="795"/>
      <c r="H57" s="795"/>
      <c r="I57" s="795"/>
      <c r="J57" s="795"/>
      <c r="K57" s="795"/>
      <c r="L57" s="544"/>
      <c r="M57" s="529"/>
      <c r="N57" s="477"/>
      <c r="O57" s="477"/>
      <c r="P57" s="477"/>
      <c r="Q57" s="477"/>
      <c r="R57" s="477"/>
      <c r="S57" s="477"/>
      <c r="T57" s="477"/>
      <c r="U57" s="477"/>
      <c r="V57" s="477"/>
      <c r="W57" s="477"/>
      <c r="X57" s="477"/>
    </row>
    <row r="58" spans="1:24" ht="15" customHeight="1">
      <c r="A58" s="544"/>
      <c r="B58" s="792"/>
      <c r="C58" s="795"/>
      <c r="D58" s="795"/>
      <c r="E58" s="795"/>
      <c r="F58" s="795"/>
      <c r="G58" s="795"/>
      <c r="H58" s="795"/>
      <c r="I58" s="795"/>
      <c r="J58" s="795"/>
      <c r="K58" s="795"/>
      <c r="L58" s="544"/>
      <c r="M58" s="529"/>
      <c r="N58" s="477"/>
      <c r="O58" s="477"/>
      <c r="P58" s="477"/>
      <c r="Q58" s="477"/>
      <c r="R58" s="477"/>
      <c r="S58" s="477"/>
      <c r="T58" s="477"/>
      <c r="U58" s="477"/>
      <c r="V58" s="477"/>
      <c r="W58" s="477"/>
      <c r="X58" s="477"/>
    </row>
    <row r="59" spans="1:24" ht="14.25">
      <c r="A59" s="544"/>
      <c r="B59" s="527" t="s">
        <v>500</v>
      </c>
      <c r="L59" s="544"/>
      <c r="M59" s="477"/>
      <c r="N59" s="477"/>
      <c r="O59" s="477"/>
      <c r="P59" s="477"/>
      <c r="Q59" s="477"/>
      <c r="R59" s="477"/>
      <c r="S59" s="477"/>
      <c r="T59" s="477"/>
      <c r="U59" s="477"/>
      <c r="V59" s="477"/>
      <c r="W59" s="477"/>
      <c r="X59" s="477"/>
    </row>
    <row r="60" spans="1:24" ht="14.25">
      <c r="A60" s="544"/>
      <c r="L60" s="544"/>
      <c r="M60" s="477"/>
      <c r="N60" s="477"/>
      <c r="O60" s="477"/>
      <c r="P60" s="477"/>
      <c r="Q60" s="477"/>
      <c r="R60" s="477"/>
      <c r="S60" s="477"/>
      <c r="T60" s="477"/>
      <c r="U60" s="477"/>
      <c r="V60" s="477"/>
      <c r="W60" s="477"/>
      <c r="X60" s="477"/>
    </row>
    <row r="61" spans="1:24" ht="14.25">
      <c r="A61" s="544"/>
      <c r="B61" s="545" t="s">
        <v>512</v>
      </c>
      <c r="L61" s="544"/>
      <c r="M61" s="477"/>
      <c r="N61" s="477"/>
      <c r="O61" s="477"/>
      <c r="P61" s="477"/>
      <c r="Q61" s="477"/>
      <c r="R61" s="477"/>
      <c r="S61" s="477"/>
      <c r="T61" s="477"/>
      <c r="U61" s="477"/>
      <c r="V61" s="477"/>
      <c r="W61" s="477"/>
      <c r="X61" s="477"/>
    </row>
    <row r="62" spans="1:24" ht="14.25">
      <c r="A62" s="544"/>
      <c r="B62" s="545" t="s">
        <v>602</v>
      </c>
      <c r="L62" s="544"/>
      <c r="M62" s="477"/>
      <c r="N62" s="477"/>
      <c r="O62" s="477"/>
      <c r="P62" s="477"/>
      <c r="Q62" s="477"/>
      <c r="R62" s="477"/>
      <c r="S62" s="477"/>
      <c r="T62" s="477"/>
      <c r="U62" s="477"/>
      <c r="V62" s="477"/>
      <c r="W62" s="477"/>
      <c r="X62" s="477"/>
    </row>
    <row r="63" spans="1:24" ht="14.25">
      <c r="A63" s="544"/>
      <c r="B63" s="545" t="s">
        <v>603</v>
      </c>
      <c r="L63" s="544"/>
      <c r="M63" s="477"/>
      <c r="N63" s="477"/>
      <c r="O63" s="477"/>
      <c r="P63" s="477"/>
      <c r="Q63" s="477"/>
      <c r="R63" s="477"/>
      <c r="S63" s="477"/>
      <c r="T63" s="477"/>
      <c r="U63" s="477"/>
      <c r="V63" s="477"/>
      <c r="W63" s="477"/>
      <c r="X63" s="477"/>
    </row>
    <row r="64" spans="1:24" ht="14.25">
      <c r="A64" s="544"/>
      <c r="L64" s="544"/>
      <c r="M64" s="477"/>
      <c r="N64" s="477"/>
      <c r="O64" s="477"/>
      <c r="P64" s="477"/>
      <c r="Q64" s="477"/>
      <c r="R64" s="477"/>
      <c r="S64" s="477"/>
      <c r="T64" s="477"/>
      <c r="U64" s="477"/>
      <c r="V64" s="477"/>
      <c r="W64" s="477"/>
      <c r="X64" s="477"/>
    </row>
    <row r="65" spans="1:24" ht="14.25">
      <c r="A65" s="544"/>
      <c r="B65" s="545" t="s">
        <v>513</v>
      </c>
      <c r="L65" s="544"/>
      <c r="M65" s="477"/>
      <c r="N65" s="477"/>
      <c r="O65" s="477"/>
      <c r="P65" s="477"/>
      <c r="Q65" s="477"/>
      <c r="R65" s="477"/>
      <c r="S65" s="477"/>
      <c r="T65" s="477"/>
      <c r="U65" s="477"/>
      <c r="V65" s="477"/>
      <c r="W65" s="477"/>
      <c r="X65" s="477"/>
    </row>
    <row r="66" spans="1:24" ht="14.25">
      <c r="A66" s="544"/>
      <c r="B66" s="545" t="s">
        <v>514</v>
      </c>
      <c r="L66" s="544"/>
      <c r="M66" s="477"/>
      <c r="N66" s="477"/>
      <c r="O66" s="477"/>
      <c r="P66" s="477"/>
      <c r="Q66" s="477"/>
      <c r="R66" s="477"/>
      <c r="S66" s="477"/>
      <c r="T66" s="477"/>
      <c r="U66" s="477"/>
      <c r="V66" s="477"/>
      <c r="W66" s="477"/>
      <c r="X66" s="477"/>
    </row>
    <row r="67" spans="1:24" ht="14.25">
      <c r="A67" s="544"/>
      <c r="L67" s="544"/>
      <c r="M67" s="477"/>
      <c r="N67" s="477"/>
      <c r="O67" s="477"/>
      <c r="P67" s="477"/>
      <c r="Q67" s="477"/>
      <c r="R67" s="477"/>
      <c r="S67" s="477"/>
      <c r="T67" s="477"/>
      <c r="U67" s="477"/>
      <c r="V67" s="477"/>
      <c r="W67" s="477"/>
      <c r="X67" s="477"/>
    </row>
    <row r="68" spans="1:24" ht="14.25">
      <c r="A68" s="544"/>
      <c r="B68" s="545" t="s">
        <v>515</v>
      </c>
      <c r="L68" s="544"/>
      <c r="M68" s="530"/>
      <c r="N68" s="478"/>
      <c r="O68" s="478"/>
      <c r="P68" s="478"/>
      <c r="Q68" s="478"/>
      <c r="R68" s="478"/>
      <c r="S68" s="478"/>
      <c r="T68" s="478"/>
      <c r="U68" s="478"/>
      <c r="V68" s="478"/>
      <c r="W68" s="478"/>
      <c r="X68" s="477"/>
    </row>
    <row r="69" spans="1:24" ht="14.25">
      <c r="A69" s="544"/>
      <c r="B69" s="545" t="s">
        <v>604</v>
      </c>
      <c r="L69" s="544"/>
      <c r="M69" s="477"/>
      <c r="N69" s="477"/>
      <c r="O69" s="477"/>
      <c r="P69" s="477"/>
      <c r="Q69" s="477"/>
      <c r="R69" s="477"/>
      <c r="S69" s="477"/>
      <c r="T69" s="477"/>
      <c r="U69" s="477"/>
      <c r="V69" s="477"/>
      <c r="W69" s="477"/>
      <c r="X69" s="477"/>
    </row>
    <row r="70" spans="1:24" ht="14.25">
      <c r="A70" s="544"/>
      <c r="B70" s="545" t="s">
        <v>605</v>
      </c>
      <c r="L70" s="544"/>
      <c r="M70" s="477"/>
      <c r="N70" s="477"/>
      <c r="O70" s="477"/>
      <c r="P70" s="477"/>
      <c r="Q70" s="477"/>
      <c r="R70" s="477"/>
      <c r="S70" s="477"/>
      <c r="T70" s="477"/>
      <c r="U70" s="477"/>
      <c r="V70" s="477"/>
      <c r="W70" s="477"/>
      <c r="X70" s="477"/>
    </row>
    <row r="71" spans="1:12" ht="15" thickBot="1">
      <c r="A71" s="544"/>
      <c r="B71" s="551"/>
      <c r="C71" s="551"/>
      <c r="D71" s="551"/>
      <c r="E71" s="551"/>
      <c r="F71" s="551"/>
      <c r="G71" s="551"/>
      <c r="H71" s="551"/>
      <c r="I71" s="551"/>
      <c r="J71" s="551"/>
      <c r="K71" s="551"/>
      <c r="L71" s="544"/>
    </row>
    <row r="72" spans="1:12" ht="14.25">
      <c r="A72" s="544"/>
      <c r="B72" s="528" t="s">
        <v>489</v>
      </c>
      <c r="C72" s="548"/>
      <c r="D72" s="548"/>
      <c r="E72" s="548"/>
      <c r="F72" s="548"/>
      <c r="G72" s="548"/>
      <c r="H72" s="548"/>
      <c r="I72" s="548"/>
      <c r="J72" s="548"/>
      <c r="K72" s="549"/>
      <c r="L72" s="563"/>
    </row>
    <row r="73" spans="1:12" ht="14.25">
      <c r="A73" s="544"/>
      <c r="B73" s="559"/>
      <c r="C73" s="551" t="s">
        <v>495</v>
      </c>
      <c r="D73" s="551"/>
      <c r="E73" s="551"/>
      <c r="F73" s="551"/>
      <c r="G73" s="551"/>
      <c r="H73" s="551"/>
      <c r="I73" s="551"/>
      <c r="J73" s="551"/>
      <c r="K73" s="553"/>
      <c r="L73" s="563"/>
    </row>
    <row r="74" spans="1:12" ht="14.25">
      <c r="A74" s="544"/>
      <c r="B74" s="559" t="s">
        <v>516</v>
      </c>
      <c r="C74" s="788">
        <v>312000000</v>
      </c>
      <c r="D74" s="788"/>
      <c r="E74" s="617" t="s">
        <v>494</v>
      </c>
      <c r="F74" s="617">
        <v>1000</v>
      </c>
      <c r="G74" s="617" t="s">
        <v>493</v>
      </c>
      <c r="H74" s="616">
        <f>C74/F74</f>
        <v>312000</v>
      </c>
      <c r="I74" s="551" t="s">
        <v>517</v>
      </c>
      <c r="J74" s="551"/>
      <c r="K74" s="553"/>
      <c r="L74" s="563"/>
    </row>
    <row r="75" spans="1:12" ht="14.25">
      <c r="A75" s="544"/>
      <c r="B75" s="559"/>
      <c r="C75" s="551"/>
      <c r="D75" s="551"/>
      <c r="E75" s="617"/>
      <c r="F75" s="551"/>
      <c r="G75" s="551"/>
      <c r="H75" s="551"/>
      <c r="I75" s="551"/>
      <c r="J75" s="551"/>
      <c r="K75" s="553"/>
      <c r="L75" s="563"/>
    </row>
    <row r="76" spans="1:12" ht="14.25">
      <c r="A76" s="544"/>
      <c r="B76" s="559"/>
      <c r="C76" s="551" t="s">
        <v>518</v>
      </c>
      <c r="D76" s="551"/>
      <c r="E76" s="617"/>
      <c r="F76" s="551" t="s">
        <v>517</v>
      </c>
      <c r="G76" s="551"/>
      <c r="H76" s="551"/>
      <c r="I76" s="551"/>
      <c r="J76" s="551"/>
      <c r="K76" s="553"/>
      <c r="L76" s="563"/>
    </row>
    <row r="77" spans="1:12" ht="14.25">
      <c r="A77" s="544"/>
      <c r="B77" s="559" t="s">
        <v>521</v>
      </c>
      <c r="C77" s="788">
        <v>50000</v>
      </c>
      <c r="D77" s="788"/>
      <c r="E77" s="617" t="s">
        <v>494</v>
      </c>
      <c r="F77" s="616">
        <f>H74</f>
        <v>312000</v>
      </c>
      <c r="G77" s="617" t="s">
        <v>493</v>
      </c>
      <c r="H77" s="561">
        <f>C77/F77</f>
        <v>0.16025641025641027</v>
      </c>
      <c r="I77" s="551" t="s">
        <v>519</v>
      </c>
      <c r="J77" s="551"/>
      <c r="K77" s="553"/>
      <c r="L77" s="563"/>
    </row>
    <row r="78" spans="1:12" ht="14.25">
      <c r="A78" s="544"/>
      <c r="B78" s="559"/>
      <c r="C78" s="551"/>
      <c r="D78" s="551"/>
      <c r="E78" s="617"/>
      <c r="F78" s="551"/>
      <c r="G78" s="551"/>
      <c r="H78" s="551"/>
      <c r="I78" s="551"/>
      <c r="J78" s="551"/>
      <c r="K78" s="553"/>
      <c r="L78" s="563"/>
    </row>
    <row r="79" spans="1:12" ht="14.25">
      <c r="A79" s="544"/>
      <c r="B79" s="564"/>
      <c r="C79" s="565" t="s">
        <v>520</v>
      </c>
      <c r="D79" s="565"/>
      <c r="E79" s="618"/>
      <c r="F79" s="565"/>
      <c r="G79" s="565"/>
      <c r="H79" s="565"/>
      <c r="I79" s="565"/>
      <c r="J79" s="565"/>
      <c r="K79" s="566"/>
      <c r="L79" s="563"/>
    </row>
    <row r="80" spans="1:12" ht="14.25">
      <c r="A80" s="544"/>
      <c r="B80" s="559" t="s">
        <v>573</v>
      </c>
      <c r="C80" s="788">
        <v>100000</v>
      </c>
      <c r="D80" s="788"/>
      <c r="E80" s="617" t="s">
        <v>660</v>
      </c>
      <c r="F80" s="617">
        <v>0.115</v>
      </c>
      <c r="G80" s="617" t="s">
        <v>493</v>
      </c>
      <c r="H80" s="616">
        <f>C80*F80</f>
        <v>11500</v>
      </c>
      <c r="I80" s="551" t="s">
        <v>522</v>
      </c>
      <c r="J80" s="551"/>
      <c r="K80" s="553"/>
      <c r="L80" s="563"/>
    </row>
    <row r="81" spans="1:12" ht="14.25">
      <c r="A81" s="544"/>
      <c r="B81" s="559"/>
      <c r="C81" s="551"/>
      <c r="D81" s="551"/>
      <c r="E81" s="617"/>
      <c r="F81" s="551"/>
      <c r="G81" s="551"/>
      <c r="H81" s="551"/>
      <c r="I81" s="551"/>
      <c r="J81" s="551"/>
      <c r="K81" s="553"/>
      <c r="L81" s="563"/>
    </row>
    <row r="82" spans="1:12" ht="14.25">
      <c r="A82" s="544"/>
      <c r="B82" s="564"/>
      <c r="C82" s="565" t="s">
        <v>523</v>
      </c>
      <c r="D82" s="565"/>
      <c r="E82" s="618"/>
      <c r="F82" s="565" t="s">
        <v>519</v>
      </c>
      <c r="G82" s="565"/>
      <c r="H82" s="565"/>
      <c r="I82" s="565"/>
      <c r="J82" s="565" t="s">
        <v>524</v>
      </c>
      <c r="K82" s="566"/>
      <c r="L82" s="563"/>
    </row>
    <row r="83" spans="1:12" ht="14.25">
      <c r="A83" s="544"/>
      <c r="B83" s="559" t="s">
        <v>574</v>
      </c>
      <c r="C83" s="796">
        <f>H80</f>
        <v>11500</v>
      </c>
      <c r="D83" s="796"/>
      <c r="E83" s="617" t="s">
        <v>660</v>
      </c>
      <c r="F83" s="561">
        <f>H77</f>
        <v>0.16025641025641027</v>
      </c>
      <c r="G83" s="617" t="s">
        <v>494</v>
      </c>
      <c r="H83" s="617">
        <v>1000</v>
      </c>
      <c r="I83" s="617" t="s">
        <v>493</v>
      </c>
      <c r="J83" s="619">
        <f>C83*F83/H83</f>
        <v>1.842948717948718</v>
      </c>
      <c r="K83" s="553"/>
      <c r="L83" s="563"/>
    </row>
    <row r="84" spans="1:12" ht="15" thickBot="1">
      <c r="A84" s="544"/>
      <c r="B84" s="554"/>
      <c r="C84" s="567"/>
      <c r="D84" s="567"/>
      <c r="E84" s="568"/>
      <c r="F84" s="569"/>
      <c r="G84" s="568"/>
      <c r="H84" s="568"/>
      <c r="I84" s="568"/>
      <c r="J84" s="570"/>
      <c r="K84" s="556"/>
      <c r="L84" s="563"/>
    </row>
    <row r="85" spans="1:12" ht="40.5" customHeight="1">
      <c r="A85" s="544"/>
      <c r="B85" s="783" t="s">
        <v>485</v>
      </c>
      <c r="C85" s="783"/>
      <c r="D85" s="783"/>
      <c r="E85" s="783"/>
      <c r="F85" s="783"/>
      <c r="G85" s="783"/>
      <c r="H85" s="783"/>
      <c r="I85" s="783"/>
      <c r="J85" s="783"/>
      <c r="K85" s="783"/>
      <c r="L85" s="544"/>
    </row>
    <row r="86" spans="1:12" ht="14.25">
      <c r="A86" s="544"/>
      <c r="B86" s="789" t="s">
        <v>525</v>
      </c>
      <c r="C86" s="789"/>
      <c r="D86" s="789"/>
      <c r="E86" s="789"/>
      <c r="F86" s="789"/>
      <c r="G86" s="789"/>
      <c r="H86" s="789"/>
      <c r="I86" s="789"/>
      <c r="J86" s="789"/>
      <c r="K86" s="789"/>
      <c r="L86" s="544"/>
    </row>
    <row r="87" spans="1:12" ht="14.25">
      <c r="A87" s="544"/>
      <c r="B87" s="571"/>
      <c r="C87" s="571"/>
      <c r="D87" s="571"/>
      <c r="E87" s="571"/>
      <c r="F87" s="571"/>
      <c r="G87" s="571"/>
      <c r="H87" s="571"/>
      <c r="I87" s="571"/>
      <c r="J87" s="571"/>
      <c r="K87" s="571"/>
      <c r="L87" s="544"/>
    </row>
    <row r="88" spans="1:12" ht="14.25">
      <c r="A88" s="544"/>
      <c r="B88" s="789" t="s">
        <v>526</v>
      </c>
      <c r="C88" s="789"/>
      <c r="D88" s="789"/>
      <c r="E88" s="789"/>
      <c r="F88" s="789"/>
      <c r="G88" s="789"/>
      <c r="H88" s="789"/>
      <c r="I88" s="789"/>
      <c r="J88" s="789"/>
      <c r="K88" s="789"/>
      <c r="L88" s="544"/>
    </row>
    <row r="89" spans="1:12" ht="14.25">
      <c r="A89" s="544"/>
      <c r="B89" s="611"/>
      <c r="C89" s="611"/>
      <c r="D89" s="611"/>
      <c r="E89" s="611"/>
      <c r="F89" s="611"/>
      <c r="G89" s="611"/>
      <c r="H89" s="611"/>
      <c r="I89" s="611"/>
      <c r="J89" s="611"/>
      <c r="K89" s="611"/>
      <c r="L89" s="544"/>
    </row>
    <row r="90" spans="1:12" ht="45" customHeight="1">
      <c r="A90" s="544"/>
      <c r="B90" s="792" t="s">
        <v>527</v>
      </c>
      <c r="C90" s="792"/>
      <c r="D90" s="792"/>
      <c r="E90" s="792"/>
      <c r="F90" s="792"/>
      <c r="G90" s="792"/>
      <c r="H90" s="792"/>
      <c r="I90" s="792"/>
      <c r="J90" s="792"/>
      <c r="K90" s="792"/>
      <c r="L90" s="544"/>
    </row>
    <row r="91" spans="1:12" ht="15" customHeight="1" thickBot="1">
      <c r="A91" s="544"/>
      <c r="L91" s="544"/>
    </row>
    <row r="92" spans="1:12" ht="15" customHeight="1">
      <c r="A92" s="544"/>
      <c r="B92" s="531" t="s">
        <v>489</v>
      </c>
      <c r="C92" s="572"/>
      <c r="D92" s="572"/>
      <c r="E92" s="572"/>
      <c r="F92" s="572"/>
      <c r="G92" s="572"/>
      <c r="H92" s="572"/>
      <c r="I92" s="572"/>
      <c r="J92" s="572"/>
      <c r="K92" s="573"/>
      <c r="L92" s="544"/>
    </row>
    <row r="93" spans="1:12" ht="15" customHeight="1">
      <c r="A93" s="544"/>
      <c r="B93" s="574"/>
      <c r="C93" s="614" t="s">
        <v>495</v>
      </c>
      <c r="D93" s="614"/>
      <c r="E93" s="614"/>
      <c r="F93" s="614"/>
      <c r="G93" s="614"/>
      <c r="H93" s="614"/>
      <c r="I93" s="614"/>
      <c r="J93" s="614"/>
      <c r="K93" s="575"/>
      <c r="L93" s="544"/>
    </row>
    <row r="94" spans="1:12" ht="15" customHeight="1">
      <c r="A94" s="544"/>
      <c r="B94" s="574" t="s">
        <v>516</v>
      </c>
      <c r="C94" s="788">
        <v>312000000</v>
      </c>
      <c r="D94" s="788"/>
      <c r="E94" s="617" t="s">
        <v>494</v>
      </c>
      <c r="F94" s="617">
        <v>1000</v>
      </c>
      <c r="G94" s="617" t="s">
        <v>493</v>
      </c>
      <c r="H94" s="616">
        <f>C94/F94</f>
        <v>312000</v>
      </c>
      <c r="I94" s="614" t="s">
        <v>517</v>
      </c>
      <c r="J94" s="614"/>
      <c r="K94" s="575"/>
      <c r="L94" s="544"/>
    </row>
    <row r="95" spans="1:12" ht="15" customHeight="1">
      <c r="A95" s="544"/>
      <c r="B95" s="574"/>
      <c r="C95" s="614"/>
      <c r="D95" s="614"/>
      <c r="E95" s="617"/>
      <c r="F95" s="614"/>
      <c r="G95" s="614"/>
      <c r="H95" s="614"/>
      <c r="I95" s="614"/>
      <c r="J95" s="614"/>
      <c r="K95" s="575"/>
      <c r="L95" s="544"/>
    </row>
    <row r="96" spans="1:12" ht="15" customHeight="1">
      <c r="A96" s="544"/>
      <c r="B96" s="574"/>
      <c r="C96" s="614" t="s">
        <v>518</v>
      </c>
      <c r="D96" s="614"/>
      <c r="E96" s="617"/>
      <c r="F96" s="614" t="s">
        <v>517</v>
      </c>
      <c r="G96" s="614"/>
      <c r="H96" s="614"/>
      <c r="I96" s="614"/>
      <c r="J96" s="614"/>
      <c r="K96" s="575"/>
      <c r="L96" s="544"/>
    </row>
    <row r="97" spans="1:12" ht="15" customHeight="1">
      <c r="A97" s="544"/>
      <c r="B97" s="574" t="s">
        <v>521</v>
      </c>
      <c r="C97" s="788">
        <v>50000</v>
      </c>
      <c r="D97" s="788"/>
      <c r="E97" s="617" t="s">
        <v>494</v>
      </c>
      <c r="F97" s="616">
        <f>H94</f>
        <v>312000</v>
      </c>
      <c r="G97" s="617" t="s">
        <v>493</v>
      </c>
      <c r="H97" s="561">
        <f>C97/F97</f>
        <v>0.16025641025641027</v>
      </c>
      <c r="I97" s="614" t="s">
        <v>519</v>
      </c>
      <c r="J97" s="614"/>
      <c r="K97" s="575"/>
      <c r="L97" s="544"/>
    </row>
    <row r="98" spans="1:12" ht="15" customHeight="1">
      <c r="A98" s="544"/>
      <c r="B98" s="574"/>
      <c r="C98" s="614"/>
      <c r="D98" s="614"/>
      <c r="E98" s="617"/>
      <c r="F98" s="614"/>
      <c r="G98" s="614"/>
      <c r="H98" s="614"/>
      <c r="I98" s="614"/>
      <c r="J98" s="614"/>
      <c r="K98" s="575"/>
      <c r="L98" s="544"/>
    </row>
    <row r="99" spans="1:12" ht="15" customHeight="1">
      <c r="A99" s="544"/>
      <c r="B99" s="576"/>
      <c r="C99" s="577" t="s">
        <v>528</v>
      </c>
      <c r="D99" s="577"/>
      <c r="E99" s="618"/>
      <c r="F99" s="577"/>
      <c r="G99" s="577"/>
      <c r="H99" s="577"/>
      <c r="I99" s="577"/>
      <c r="J99" s="577"/>
      <c r="K99" s="578"/>
      <c r="L99" s="544"/>
    </row>
    <row r="100" spans="1:12" ht="15" customHeight="1">
      <c r="A100" s="544"/>
      <c r="B100" s="574" t="s">
        <v>573</v>
      </c>
      <c r="C100" s="788">
        <v>2500000</v>
      </c>
      <c r="D100" s="788"/>
      <c r="E100" s="617" t="s">
        <v>660</v>
      </c>
      <c r="F100" s="579">
        <v>0.3</v>
      </c>
      <c r="G100" s="617" t="s">
        <v>493</v>
      </c>
      <c r="H100" s="616">
        <f>C100*F100</f>
        <v>750000</v>
      </c>
      <c r="I100" s="614" t="s">
        <v>522</v>
      </c>
      <c r="J100" s="614"/>
      <c r="K100" s="575"/>
      <c r="L100" s="544"/>
    </row>
    <row r="101" spans="1:12" ht="15" customHeight="1">
      <c r="A101" s="544"/>
      <c r="B101" s="574"/>
      <c r="C101" s="614"/>
      <c r="D101" s="614"/>
      <c r="E101" s="617"/>
      <c r="F101" s="614"/>
      <c r="G101" s="614"/>
      <c r="H101" s="614"/>
      <c r="I101" s="614"/>
      <c r="J101" s="614"/>
      <c r="K101" s="575"/>
      <c r="L101" s="544"/>
    </row>
    <row r="102" spans="1:12" ht="15" customHeight="1">
      <c r="A102" s="544"/>
      <c r="B102" s="576"/>
      <c r="C102" s="577" t="s">
        <v>523</v>
      </c>
      <c r="D102" s="577"/>
      <c r="E102" s="618"/>
      <c r="F102" s="577" t="s">
        <v>519</v>
      </c>
      <c r="G102" s="577"/>
      <c r="H102" s="577"/>
      <c r="I102" s="577"/>
      <c r="J102" s="577" t="s">
        <v>524</v>
      </c>
      <c r="K102" s="578"/>
      <c r="L102" s="544"/>
    </row>
    <row r="103" spans="1:12" ht="15" customHeight="1">
      <c r="A103" s="544"/>
      <c r="B103" s="574" t="s">
        <v>574</v>
      </c>
      <c r="C103" s="796">
        <f>H100</f>
        <v>750000</v>
      </c>
      <c r="D103" s="796"/>
      <c r="E103" s="617" t="s">
        <v>660</v>
      </c>
      <c r="F103" s="561">
        <f>H97</f>
        <v>0.16025641025641027</v>
      </c>
      <c r="G103" s="617" t="s">
        <v>494</v>
      </c>
      <c r="H103" s="617">
        <v>1000</v>
      </c>
      <c r="I103" s="617" t="s">
        <v>493</v>
      </c>
      <c r="J103" s="619">
        <f>C103*F103/H103</f>
        <v>120.19230769230771</v>
      </c>
      <c r="K103" s="575"/>
      <c r="L103" s="544"/>
    </row>
    <row r="104" spans="1:12" ht="15" customHeight="1" thickBot="1">
      <c r="A104" s="544"/>
      <c r="B104" s="580"/>
      <c r="C104" s="567"/>
      <c r="D104" s="567"/>
      <c r="E104" s="568"/>
      <c r="F104" s="569"/>
      <c r="G104" s="568"/>
      <c r="H104" s="568"/>
      <c r="I104" s="568"/>
      <c r="J104" s="570"/>
      <c r="K104" s="615"/>
      <c r="L104" s="544"/>
    </row>
    <row r="105" spans="1:12" ht="40.5" customHeight="1">
      <c r="A105" s="544"/>
      <c r="B105" s="783" t="s">
        <v>485</v>
      </c>
      <c r="C105" s="784"/>
      <c r="D105" s="784"/>
      <c r="E105" s="784"/>
      <c r="F105" s="784"/>
      <c r="G105" s="784"/>
      <c r="H105" s="784"/>
      <c r="I105" s="784"/>
      <c r="J105" s="784"/>
      <c r="K105" s="784"/>
      <c r="L105" s="544"/>
    </row>
    <row r="106" spans="1:12" ht="15" customHeight="1">
      <c r="A106" s="544"/>
      <c r="B106" s="785" t="s">
        <v>529</v>
      </c>
      <c r="C106" s="786"/>
      <c r="D106" s="786"/>
      <c r="E106" s="786"/>
      <c r="F106" s="786"/>
      <c r="G106" s="786"/>
      <c r="H106" s="786"/>
      <c r="I106" s="786"/>
      <c r="J106" s="786"/>
      <c r="K106" s="786"/>
      <c r="L106" s="544"/>
    </row>
    <row r="107" spans="1:12" ht="15" customHeight="1">
      <c r="A107" s="544"/>
      <c r="B107" s="614"/>
      <c r="C107" s="581"/>
      <c r="D107" s="581"/>
      <c r="E107" s="617"/>
      <c r="F107" s="561"/>
      <c r="G107" s="617"/>
      <c r="H107" s="617"/>
      <c r="I107" s="617"/>
      <c r="J107" s="619"/>
      <c r="K107" s="614"/>
      <c r="L107" s="544"/>
    </row>
    <row r="108" spans="1:12" ht="15" customHeight="1">
      <c r="A108" s="544"/>
      <c r="B108" s="785" t="s">
        <v>530</v>
      </c>
      <c r="C108" s="787"/>
      <c r="D108" s="787"/>
      <c r="E108" s="787"/>
      <c r="F108" s="787"/>
      <c r="G108" s="787"/>
      <c r="H108" s="787"/>
      <c r="I108" s="787"/>
      <c r="J108" s="787"/>
      <c r="K108" s="787"/>
      <c r="L108" s="544"/>
    </row>
    <row r="109" spans="1:12" ht="15" customHeight="1">
      <c r="A109" s="544"/>
      <c r="B109" s="614"/>
      <c r="C109" s="581"/>
      <c r="D109" s="581"/>
      <c r="E109" s="617"/>
      <c r="F109" s="561"/>
      <c r="G109" s="617"/>
      <c r="H109" s="617"/>
      <c r="I109" s="617"/>
      <c r="J109" s="619"/>
      <c r="K109" s="614"/>
      <c r="L109" s="544"/>
    </row>
    <row r="110" spans="1:12" ht="59.25" customHeight="1">
      <c r="A110" s="544"/>
      <c r="B110" s="797" t="s">
        <v>531</v>
      </c>
      <c r="C110" s="795"/>
      <c r="D110" s="795"/>
      <c r="E110" s="795"/>
      <c r="F110" s="795"/>
      <c r="G110" s="795"/>
      <c r="H110" s="795"/>
      <c r="I110" s="795"/>
      <c r="J110" s="795"/>
      <c r="K110" s="795"/>
      <c r="L110" s="544"/>
    </row>
    <row r="111" spans="1:12" ht="15" thickBot="1">
      <c r="A111" s="544"/>
      <c r="B111" s="612"/>
      <c r="C111" s="612"/>
      <c r="D111" s="612"/>
      <c r="E111" s="612"/>
      <c r="F111" s="612"/>
      <c r="G111" s="612"/>
      <c r="H111" s="612"/>
      <c r="I111" s="612"/>
      <c r="J111" s="612"/>
      <c r="K111" s="612"/>
      <c r="L111" s="582"/>
    </row>
    <row r="112" spans="1:12" ht="14.25">
      <c r="A112" s="544"/>
      <c r="B112" s="528" t="s">
        <v>489</v>
      </c>
      <c r="C112" s="548"/>
      <c r="D112" s="548"/>
      <c r="E112" s="548"/>
      <c r="F112" s="548"/>
      <c r="G112" s="548"/>
      <c r="H112" s="548"/>
      <c r="I112" s="548"/>
      <c r="J112" s="548"/>
      <c r="K112" s="549"/>
      <c r="L112" s="544"/>
    </row>
    <row r="113" spans="1:12" ht="14.25">
      <c r="A113" s="544"/>
      <c r="B113" s="559"/>
      <c r="C113" s="551" t="s">
        <v>495</v>
      </c>
      <c r="D113" s="551"/>
      <c r="E113" s="551"/>
      <c r="F113" s="551"/>
      <c r="G113" s="551"/>
      <c r="H113" s="551"/>
      <c r="I113" s="551"/>
      <c r="J113" s="551"/>
      <c r="K113" s="553"/>
      <c r="L113" s="544"/>
    </row>
    <row r="114" spans="1:12" ht="14.25">
      <c r="A114" s="544"/>
      <c r="B114" s="559" t="s">
        <v>516</v>
      </c>
      <c r="C114" s="788">
        <v>312000000</v>
      </c>
      <c r="D114" s="788"/>
      <c r="E114" s="617" t="s">
        <v>494</v>
      </c>
      <c r="F114" s="617">
        <v>1000</v>
      </c>
      <c r="G114" s="617" t="s">
        <v>493</v>
      </c>
      <c r="H114" s="616">
        <f>C114/F114</f>
        <v>312000</v>
      </c>
      <c r="I114" s="551" t="s">
        <v>517</v>
      </c>
      <c r="J114" s="551"/>
      <c r="K114" s="553"/>
      <c r="L114" s="544"/>
    </row>
    <row r="115" spans="1:12" ht="14.25">
      <c r="A115" s="544"/>
      <c r="B115" s="559"/>
      <c r="C115" s="551"/>
      <c r="D115" s="551"/>
      <c r="E115" s="617"/>
      <c r="F115" s="551"/>
      <c r="G115" s="551"/>
      <c r="H115" s="551"/>
      <c r="I115" s="551"/>
      <c r="J115" s="551"/>
      <c r="K115" s="553"/>
      <c r="L115" s="544"/>
    </row>
    <row r="116" spans="1:12" ht="14.25">
      <c r="A116" s="544"/>
      <c r="B116" s="559"/>
      <c r="C116" s="551" t="s">
        <v>518</v>
      </c>
      <c r="D116" s="551"/>
      <c r="E116" s="617"/>
      <c r="F116" s="551" t="s">
        <v>517</v>
      </c>
      <c r="G116" s="551"/>
      <c r="H116" s="551"/>
      <c r="I116" s="551"/>
      <c r="J116" s="551"/>
      <c r="K116" s="553"/>
      <c r="L116" s="544"/>
    </row>
    <row r="117" spans="1:12" ht="14.25">
      <c r="A117" s="544"/>
      <c r="B117" s="559" t="s">
        <v>521</v>
      </c>
      <c r="C117" s="788">
        <v>50000</v>
      </c>
      <c r="D117" s="788"/>
      <c r="E117" s="617" t="s">
        <v>494</v>
      </c>
      <c r="F117" s="616">
        <f>H114</f>
        <v>312000</v>
      </c>
      <c r="G117" s="617" t="s">
        <v>493</v>
      </c>
      <c r="H117" s="561">
        <f>C117/F117</f>
        <v>0.16025641025641027</v>
      </c>
      <c r="I117" s="551" t="s">
        <v>519</v>
      </c>
      <c r="J117" s="551"/>
      <c r="K117" s="553"/>
      <c r="L117" s="544"/>
    </row>
    <row r="118" spans="1:12" ht="14.25">
      <c r="A118" s="544"/>
      <c r="B118" s="559"/>
      <c r="C118" s="551"/>
      <c r="D118" s="551"/>
      <c r="E118" s="617"/>
      <c r="F118" s="551"/>
      <c r="G118" s="551"/>
      <c r="H118" s="551"/>
      <c r="I118" s="551"/>
      <c r="J118" s="551"/>
      <c r="K118" s="553"/>
      <c r="L118" s="544"/>
    </row>
    <row r="119" spans="1:12" ht="14.25">
      <c r="A119" s="544"/>
      <c r="B119" s="564"/>
      <c r="C119" s="565" t="s">
        <v>528</v>
      </c>
      <c r="D119" s="565"/>
      <c r="E119" s="618"/>
      <c r="F119" s="565"/>
      <c r="G119" s="565"/>
      <c r="H119" s="565"/>
      <c r="I119" s="565"/>
      <c r="J119" s="565"/>
      <c r="K119" s="566"/>
      <c r="L119" s="544"/>
    </row>
    <row r="120" spans="1:12" ht="14.25">
      <c r="A120" s="544"/>
      <c r="B120" s="559" t="s">
        <v>573</v>
      </c>
      <c r="C120" s="788">
        <v>2500000</v>
      </c>
      <c r="D120" s="788"/>
      <c r="E120" s="617" t="s">
        <v>660</v>
      </c>
      <c r="F120" s="579">
        <v>0.25</v>
      </c>
      <c r="G120" s="617" t="s">
        <v>493</v>
      </c>
      <c r="H120" s="616">
        <f>C120*F120</f>
        <v>625000</v>
      </c>
      <c r="I120" s="551" t="s">
        <v>522</v>
      </c>
      <c r="J120" s="551"/>
      <c r="K120" s="553"/>
      <c r="L120" s="544"/>
    </row>
    <row r="121" spans="1:12" ht="14.25">
      <c r="A121" s="544"/>
      <c r="B121" s="559"/>
      <c r="C121" s="551"/>
      <c r="D121" s="551"/>
      <c r="E121" s="617"/>
      <c r="F121" s="551"/>
      <c r="G121" s="551"/>
      <c r="H121" s="551"/>
      <c r="I121" s="551"/>
      <c r="J121" s="551"/>
      <c r="K121" s="553"/>
      <c r="L121" s="544"/>
    </row>
    <row r="122" spans="1:12" ht="14.25">
      <c r="A122" s="544"/>
      <c r="B122" s="564"/>
      <c r="C122" s="565" t="s">
        <v>523</v>
      </c>
      <c r="D122" s="565"/>
      <c r="E122" s="618"/>
      <c r="F122" s="565" t="s">
        <v>519</v>
      </c>
      <c r="G122" s="565"/>
      <c r="H122" s="565"/>
      <c r="I122" s="565"/>
      <c r="J122" s="565" t="s">
        <v>524</v>
      </c>
      <c r="K122" s="566"/>
      <c r="L122" s="544"/>
    </row>
    <row r="123" spans="1:12" ht="14.25">
      <c r="A123" s="544"/>
      <c r="B123" s="559" t="s">
        <v>574</v>
      </c>
      <c r="C123" s="796">
        <f>H120</f>
        <v>625000</v>
      </c>
      <c r="D123" s="796"/>
      <c r="E123" s="617" t="s">
        <v>660</v>
      </c>
      <c r="F123" s="561">
        <f>H117</f>
        <v>0.16025641025641027</v>
      </c>
      <c r="G123" s="617" t="s">
        <v>494</v>
      </c>
      <c r="H123" s="617">
        <v>1000</v>
      </c>
      <c r="I123" s="617" t="s">
        <v>493</v>
      </c>
      <c r="J123" s="619">
        <f>C123*F123/H123</f>
        <v>100.16025641025642</v>
      </c>
      <c r="K123" s="553"/>
      <c r="L123" s="544"/>
    </row>
    <row r="124" spans="1:12" ht="15" thickBot="1">
      <c r="A124" s="544"/>
      <c r="B124" s="554"/>
      <c r="C124" s="567"/>
      <c r="D124" s="567"/>
      <c r="E124" s="568"/>
      <c r="F124" s="569"/>
      <c r="G124" s="568"/>
      <c r="H124" s="568"/>
      <c r="I124" s="568"/>
      <c r="J124" s="570"/>
      <c r="K124" s="556"/>
      <c r="L124" s="544"/>
    </row>
    <row r="125" spans="1:12" ht="40.5" customHeight="1">
      <c r="A125" s="544"/>
      <c r="B125" s="783" t="s">
        <v>485</v>
      </c>
      <c r="C125" s="783"/>
      <c r="D125" s="783"/>
      <c r="E125" s="783"/>
      <c r="F125" s="783"/>
      <c r="G125" s="783"/>
      <c r="H125" s="783"/>
      <c r="I125" s="783"/>
      <c r="J125" s="783"/>
      <c r="K125" s="783"/>
      <c r="L125" s="582"/>
    </row>
    <row r="126" spans="1:12" ht="14.25">
      <c r="A126" s="544"/>
      <c r="B126" s="789" t="s">
        <v>532</v>
      </c>
      <c r="C126" s="789"/>
      <c r="D126" s="789"/>
      <c r="E126" s="789"/>
      <c r="F126" s="789"/>
      <c r="G126" s="789"/>
      <c r="H126" s="789"/>
      <c r="I126" s="789"/>
      <c r="J126" s="789"/>
      <c r="K126" s="789"/>
      <c r="L126" s="582"/>
    </row>
    <row r="127" spans="1:12" ht="14.25">
      <c r="A127" s="544"/>
      <c r="B127" s="612"/>
      <c r="C127" s="612"/>
      <c r="D127" s="612"/>
      <c r="E127" s="612"/>
      <c r="F127" s="612"/>
      <c r="G127" s="612"/>
      <c r="H127" s="612"/>
      <c r="I127" s="612"/>
      <c r="J127" s="612"/>
      <c r="K127" s="612"/>
      <c r="L127" s="582"/>
    </row>
    <row r="128" spans="1:12" ht="14.25">
      <c r="A128" s="544"/>
      <c r="B128" s="789" t="s">
        <v>533</v>
      </c>
      <c r="C128" s="789"/>
      <c r="D128" s="789"/>
      <c r="E128" s="789"/>
      <c r="F128" s="789"/>
      <c r="G128" s="789"/>
      <c r="H128" s="789"/>
      <c r="I128" s="789"/>
      <c r="J128" s="789"/>
      <c r="K128" s="789"/>
      <c r="L128" s="582"/>
    </row>
    <row r="129" spans="1:12" ht="14.25">
      <c r="A129" s="544"/>
      <c r="B129" s="611"/>
      <c r="C129" s="611"/>
      <c r="D129" s="611"/>
      <c r="E129" s="611"/>
      <c r="F129" s="611"/>
      <c r="G129" s="611"/>
      <c r="H129" s="611"/>
      <c r="I129" s="611"/>
      <c r="J129" s="611"/>
      <c r="K129" s="611"/>
      <c r="L129" s="582"/>
    </row>
    <row r="130" spans="1:12" ht="74.25" customHeight="1">
      <c r="A130" s="544"/>
      <c r="B130" s="792" t="s">
        <v>575</v>
      </c>
      <c r="C130" s="792"/>
      <c r="D130" s="792"/>
      <c r="E130" s="792"/>
      <c r="F130" s="792"/>
      <c r="G130" s="792"/>
      <c r="H130" s="792"/>
      <c r="I130" s="792"/>
      <c r="J130" s="792"/>
      <c r="K130" s="792"/>
      <c r="L130" s="582"/>
    </row>
    <row r="131" spans="1:12" ht="15" thickBot="1">
      <c r="A131" s="544"/>
      <c r="L131" s="544"/>
    </row>
    <row r="132" spans="1:12" ht="14.25">
      <c r="A132" s="544"/>
      <c r="B132" s="528" t="s">
        <v>489</v>
      </c>
      <c r="C132" s="548"/>
      <c r="D132" s="548"/>
      <c r="E132" s="548"/>
      <c r="F132" s="548"/>
      <c r="G132" s="548"/>
      <c r="H132" s="548"/>
      <c r="I132" s="548"/>
      <c r="J132" s="548"/>
      <c r="K132" s="549"/>
      <c r="L132" s="544"/>
    </row>
    <row r="133" spans="1:12" ht="14.25">
      <c r="A133" s="544"/>
      <c r="B133" s="559"/>
      <c r="C133" s="793" t="s">
        <v>534</v>
      </c>
      <c r="D133" s="793"/>
      <c r="E133" s="551"/>
      <c r="F133" s="617" t="s">
        <v>535</v>
      </c>
      <c r="G133" s="551"/>
      <c r="H133" s="793" t="s">
        <v>522</v>
      </c>
      <c r="I133" s="793"/>
      <c r="J133" s="551"/>
      <c r="K133" s="553"/>
      <c r="L133" s="544"/>
    </row>
    <row r="134" spans="1:12" ht="14.25">
      <c r="A134" s="544"/>
      <c r="B134" s="559" t="s">
        <v>516</v>
      </c>
      <c r="C134" s="788">
        <v>100000</v>
      </c>
      <c r="D134" s="788"/>
      <c r="E134" s="617" t="s">
        <v>660</v>
      </c>
      <c r="F134" s="617">
        <v>0.115</v>
      </c>
      <c r="G134" s="617" t="s">
        <v>493</v>
      </c>
      <c r="H134" s="780">
        <f>C134*F134</f>
        <v>11500</v>
      </c>
      <c r="I134" s="780"/>
      <c r="J134" s="551"/>
      <c r="K134" s="553"/>
      <c r="L134" s="544"/>
    </row>
    <row r="135" spans="1:12" ht="14.25">
      <c r="A135" s="544"/>
      <c r="B135" s="559"/>
      <c r="C135" s="551"/>
      <c r="D135" s="551"/>
      <c r="E135" s="551"/>
      <c r="F135" s="551"/>
      <c r="G135" s="551"/>
      <c r="H135" s="551"/>
      <c r="I135" s="551"/>
      <c r="J135" s="551"/>
      <c r="K135" s="553"/>
      <c r="L135" s="544"/>
    </row>
    <row r="136" spans="1:12" ht="14.25">
      <c r="A136" s="544"/>
      <c r="B136" s="564"/>
      <c r="C136" s="794" t="s">
        <v>522</v>
      </c>
      <c r="D136" s="794"/>
      <c r="E136" s="565"/>
      <c r="F136" s="618" t="s">
        <v>536</v>
      </c>
      <c r="G136" s="618"/>
      <c r="H136" s="565"/>
      <c r="I136" s="565"/>
      <c r="J136" s="565" t="s">
        <v>537</v>
      </c>
      <c r="K136" s="566"/>
      <c r="L136" s="544"/>
    </row>
    <row r="137" spans="1:12" ht="14.25">
      <c r="A137" s="544"/>
      <c r="B137" s="559" t="s">
        <v>521</v>
      </c>
      <c r="C137" s="780">
        <f>H134</f>
        <v>11500</v>
      </c>
      <c r="D137" s="780"/>
      <c r="E137" s="617" t="s">
        <v>660</v>
      </c>
      <c r="F137" s="583">
        <v>52.869</v>
      </c>
      <c r="G137" s="617" t="s">
        <v>494</v>
      </c>
      <c r="H137" s="617">
        <v>1000</v>
      </c>
      <c r="I137" s="617" t="s">
        <v>493</v>
      </c>
      <c r="J137" s="584">
        <f>C137*F137/H137</f>
        <v>607.9935</v>
      </c>
      <c r="K137" s="553"/>
      <c r="L137" s="544"/>
    </row>
    <row r="138" spans="1:12" ht="15" thickBot="1">
      <c r="A138" s="544"/>
      <c r="B138" s="554"/>
      <c r="C138" s="585"/>
      <c r="D138" s="585"/>
      <c r="E138" s="568"/>
      <c r="F138" s="586"/>
      <c r="G138" s="568"/>
      <c r="H138" s="568"/>
      <c r="I138" s="568"/>
      <c r="J138" s="587"/>
      <c r="K138" s="556"/>
      <c r="L138" s="544"/>
    </row>
    <row r="139" spans="1:12" ht="40.5" customHeight="1">
      <c r="A139" s="544"/>
      <c r="B139" s="532" t="s">
        <v>485</v>
      </c>
      <c r="C139" s="533"/>
      <c r="D139" s="533"/>
      <c r="E139" s="534"/>
      <c r="F139" s="535"/>
      <c r="G139" s="534"/>
      <c r="H139" s="534"/>
      <c r="I139" s="534"/>
      <c r="J139" s="536"/>
      <c r="K139" s="537"/>
      <c r="L139" s="544"/>
    </row>
    <row r="140" spans="1:12" ht="14.25">
      <c r="A140" s="544"/>
      <c r="B140" s="538" t="s">
        <v>576</v>
      </c>
      <c r="C140" s="539"/>
      <c r="D140" s="539"/>
      <c r="E140" s="540"/>
      <c r="F140" s="541"/>
      <c r="G140" s="540"/>
      <c r="H140" s="540"/>
      <c r="I140" s="540"/>
      <c r="J140" s="542"/>
      <c r="K140" s="543"/>
      <c r="L140" s="544"/>
    </row>
    <row r="141" spans="1:12" ht="14.25">
      <c r="A141" s="544"/>
      <c r="B141" s="559"/>
      <c r="C141" s="616"/>
      <c r="D141" s="616"/>
      <c r="E141" s="617"/>
      <c r="F141" s="588"/>
      <c r="G141" s="617"/>
      <c r="H141" s="617"/>
      <c r="I141" s="617"/>
      <c r="J141" s="584"/>
      <c r="K141" s="553"/>
      <c r="L141" s="544"/>
    </row>
    <row r="142" spans="1:12" ht="14.25">
      <c r="A142" s="544"/>
      <c r="B142" s="538" t="s">
        <v>577</v>
      </c>
      <c r="C142" s="539"/>
      <c r="D142" s="539"/>
      <c r="E142" s="540"/>
      <c r="F142" s="541"/>
      <c r="G142" s="540"/>
      <c r="H142" s="540"/>
      <c r="I142" s="540"/>
      <c r="J142" s="542"/>
      <c r="K142" s="543"/>
      <c r="L142" s="544"/>
    </row>
    <row r="143" spans="1:12" ht="14.25">
      <c r="A143" s="544"/>
      <c r="B143" s="559"/>
      <c r="C143" s="616"/>
      <c r="D143" s="616"/>
      <c r="E143" s="617"/>
      <c r="F143" s="588"/>
      <c r="G143" s="617"/>
      <c r="H143" s="617"/>
      <c r="I143" s="617"/>
      <c r="J143" s="584"/>
      <c r="K143" s="553"/>
      <c r="L143" s="544"/>
    </row>
    <row r="144" spans="1:12" ht="76.5" customHeight="1">
      <c r="A144" s="544"/>
      <c r="B144" s="777" t="s">
        <v>578</v>
      </c>
      <c r="C144" s="778"/>
      <c r="D144" s="778"/>
      <c r="E144" s="778"/>
      <c r="F144" s="778"/>
      <c r="G144" s="778"/>
      <c r="H144" s="778"/>
      <c r="I144" s="778"/>
      <c r="J144" s="778"/>
      <c r="K144" s="779"/>
      <c r="L144" s="544"/>
    </row>
    <row r="145" spans="1:12" ht="15" thickBot="1">
      <c r="A145" s="544"/>
      <c r="B145" s="559"/>
      <c r="C145" s="616"/>
      <c r="D145" s="616"/>
      <c r="E145" s="617"/>
      <c r="F145" s="588"/>
      <c r="G145" s="617"/>
      <c r="H145" s="617"/>
      <c r="I145" s="617"/>
      <c r="J145" s="584"/>
      <c r="K145" s="553"/>
      <c r="L145" s="544"/>
    </row>
    <row r="146" spans="1:12" ht="14.25">
      <c r="A146" s="544"/>
      <c r="B146" s="528" t="s">
        <v>489</v>
      </c>
      <c r="C146" s="589"/>
      <c r="D146" s="589"/>
      <c r="E146" s="590"/>
      <c r="F146" s="591"/>
      <c r="G146" s="590"/>
      <c r="H146" s="590"/>
      <c r="I146" s="590"/>
      <c r="J146" s="592"/>
      <c r="K146" s="549"/>
      <c r="L146" s="544"/>
    </row>
    <row r="147" spans="1:12" ht="14.25">
      <c r="A147" s="544"/>
      <c r="B147" s="559"/>
      <c r="C147" s="780" t="s">
        <v>579</v>
      </c>
      <c r="D147" s="780"/>
      <c r="E147" s="617"/>
      <c r="F147" s="588" t="s">
        <v>580</v>
      </c>
      <c r="G147" s="617"/>
      <c r="H147" s="617"/>
      <c r="I147" s="617"/>
      <c r="J147" s="781" t="s">
        <v>581</v>
      </c>
      <c r="K147" s="782"/>
      <c r="L147" s="544"/>
    </row>
    <row r="148" spans="1:12" ht="14.25">
      <c r="A148" s="544"/>
      <c r="B148" s="559"/>
      <c r="C148" s="790">
        <v>52.869</v>
      </c>
      <c r="D148" s="790"/>
      <c r="E148" s="617" t="s">
        <v>660</v>
      </c>
      <c r="F148" s="610">
        <v>312000000</v>
      </c>
      <c r="G148" s="593" t="s">
        <v>494</v>
      </c>
      <c r="H148" s="617">
        <v>1000</v>
      </c>
      <c r="I148" s="617" t="s">
        <v>493</v>
      </c>
      <c r="J148" s="781">
        <f>C148*(F148/1000)</f>
        <v>16495128</v>
      </c>
      <c r="K148" s="791"/>
      <c r="L148" s="544"/>
    </row>
    <row r="149" spans="1:12" ht="15" thickBot="1">
      <c r="A149" s="544"/>
      <c r="B149" s="554"/>
      <c r="C149" s="585"/>
      <c r="D149" s="585"/>
      <c r="E149" s="568"/>
      <c r="F149" s="586"/>
      <c r="G149" s="568"/>
      <c r="H149" s="568"/>
      <c r="I149" s="568"/>
      <c r="J149" s="587"/>
      <c r="K149" s="556"/>
      <c r="L149" s="544"/>
    </row>
    <row r="150" spans="1:12" ht="15" thickBot="1">
      <c r="A150" s="544"/>
      <c r="B150" s="554"/>
      <c r="C150" s="555"/>
      <c r="D150" s="555"/>
      <c r="E150" s="555"/>
      <c r="F150" s="555"/>
      <c r="G150" s="555"/>
      <c r="H150" s="555"/>
      <c r="I150" s="555"/>
      <c r="J150" s="555"/>
      <c r="K150" s="556"/>
      <c r="L150" s="544"/>
    </row>
    <row r="151" spans="1:12" ht="14.25">
      <c r="A151" s="544"/>
      <c r="B151" s="544"/>
      <c r="C151" s="544"/>
      <c r="D151" s="544"/>
      <c r="E151" s="544"/>
      <c r="F151" s="544"/>
      <c r="G151" s="544"/>
      <c r="H151" s="544"/>
      <c r="I151" s="544"/>
      <c r="J151" s="544"/>
      <c r="K151" s="544"/>
      <c r="L151" s="544"/>
    </row>
    <row r="152" spans="1:12" ht="14.25">
      <c r="A152" s="544"/>
      <c r="B152" s="544"/>
      <c r="C152" s="544"/>
      <c r="D152" s="544"/>
      <c r="E152" s="544"/>
      <c r="F152" s="544"/>
      <c r="G152" s="544"/>
      <c r="H152" s="544"/>
      <c r="I152" s="544"/>
      <c r="J152" s="544"/>
      <c r="K152" s="544"/>
      <c r="L152" s="544"/>
    </row>
    <row r="153" spans="1:12" ht="14.25">
      <c r="A153" s="544"/>
      <c r="B153" s="544"/>
      <c r="C153" s="544"/>
      <c r="D153" s="544"/>
      <c r="E153" s="544"/>
      <c r="F153" s="544"/>
      <c r="G153" s="544"/>
      <c r="H153" s="544"/>
      <c r="I153" s="544"/>
      <c r="J153" s="544"/>
      <c r="K153" s="544"/>
      <c r="L153" s="544"/>
    </row>
    <row r="154" spans="1:12" ht="14.25">
      <c r="A154" s="594"/>
      <c r="B154" s="594"/>
      <c r="C154" s="594"/>
      <c r="D154" s="594"/>
      <c r="E154" s="594"/>
      <c r="F154" s="594"/>
      <c r="G154" s="594"/>
      <c r="H154" s="594"/>
      <c r="I154" s="594"/>
      <c r="J154" s="594"/>
      <c r="K154" s="594"/>
      <c r="L154" s="594"/>
    </row>
    <row r="155" spans="1:12" ht="14.25">
      <c r="A155" s="594"/>
      <c r="B155" s="594"/>
      <c r="C155" s="594"/>
      <c r="D155" s="594"/>
      <c r="E155" s="594"/>
      <c r="F155" s="594"/>
      <c r="G155" s="594"/>
      <c r="H155" s="594"/>
      <c r="I155" s="594"/>
      <c r="J155" s="594"/>
      <c r="K155" s="594"/>
      <c r="L155" s="594"/>
    </row>
    <row r="156" spans="1:12" ht="14.25">
      <c r="A156" s="594"/>
      <c r="B156" s="594"/>
      <c r="C156" s="594"/>
      <c r="D156" s="594"/>
      <c r="E156" s="594"/>
      <c r="F156" s="594"/>
      <c r="G156" s="594"/>
      <c r="H156" s="594"/>
      <c r="I156" s="594"/>
      <c r="J156" s="594"/>
      <c r="K156" s="594"/>
      <c r="L156" s="594"/>
    </row>
    <row r="157" spans="1:12" ht="14.25">
      <c r="A157" s="594"/>
      <c r="B157" s="594"/>
      <c r="C157" s="594"/>
      <c r="D157" s="594"/>
      <c r="E157" s="594"/>
      <c r="F157" s="594"/>
      <c r="G157" s="594"/>
      <c r="H157" s="594"/>
      <c r="I157" s="594"/>
      <c r="J157" s="594"/>
      <c r="K157" s="594"/>
      <c r="L157" s="594"/>
    </row>
    <row r="158" spans="1:12" ht="14.25">
      <c r="A158" s="594"/>
      <c r="B158" s="594"/>
      <c r="C158" s="594"/>
      <c r="D158" s="594"/>
      <c r="E158" s="594"/>
      <c r="F158" s="594"/>
      <c r="G158" s="594"/>
      <c r="H158" s="594"/>
      <c r="I158" s="594"/>
      <c r="J158" s="594"/>
      <c r="K158" s="594"/>
      <c r="L158" s="594"/>
    </row>
    <row r="159" spans="1:12" ht="14.25">
      <c r="A159" s="594"/>
      <c r="B159" s="594"/>
      <c r="C159" s="594"/>
      <c r="D159" s="594"/>
      <c r="E159" s="594"/>
      <c r="F159" s="594"/>
      <c r="G159" s="594"/>
      <c r="H159" s="594"/>
      <c r="I159" s="594"/>
      <c r="J159" s="594"/>
      <c r="K159" s="594"/>
      <c r="L159" s="594"/>
    </row>
    <row r="160" spans="1:12" ht="14.25">
      <c r="A160" s="594"/>
      <c r="B160" s="594"/>
      <c r="C160" s="594"/>
      <c r="D160" s="594"/>
      <c r="E160" s="594"/>
      <c r="F160" s="594"/>
      <c r="G160" s="594"/>
      <c r="H160" s="594"/>
      <c r="I160" s="594"/>
      <c r="J160" s="594"/>
      <c r="K160" s="594"/>
      <c r="L160" s="594"/>
    </row>
    <row r="161" spans="1:12" ht="14.25">
      <c r="A161" s="594"/>
      <c r="B161" s="594"/>
      <c r="C161" s="594"/>
      <c r="D161" s="594"/>
      <c r="E161" s="594"/>
      <c r="F161" s="594"/>
      <c r="G161" s="594"/>
      <c r="H161" s="594"/>
      <c r="I161" s="594"/>
      <c r="J161" s="594"/>
      <c r="K161" s="594"/>
      <c r="L161" s="594"/>
    </row>
    <row r="162" spans="1:12" ht="14.25">
      <c r="A162" s="594"/>
      <c r="B162" s="594"/>
      <c r="C162" s="594"/>
      <c r="D162" s="594"/>
      <c r="E162" s="594"/>
      <c r="F162" s="594"/>
      <c r="G162" s="594"/>
      <c r="H162" s="594"/>
      <c r="I162" s="594"/>
      <c r="J162" s="594"/>
      <c r="K162" s="594"/>
      <c r="L162" s="594"/>
    </row>
    <row r="163" spans="1:12" ht="14.25">
      <c r="A163" s="594"/>
      <c r="B163" s="594"/>
      <c r="C163" s="594"/>
      <c r="D163" s="594"/>
      <c r="E163" s="594"/>
      <c r="F163" s="594"/>
      <c r="G163" s="594"/>
      <c r="H163" s="594"/>
      <c r="I163" s="594"/>
      <c r="J163" s="594"/>
      <c r="K163" s="594"/>
      <c r="L163" s="594"/>
    </row>
    <row r="164" spans="1:12" ht="14.25">
      <c r="A164" s="594"/>
      <c r="B164" s="594"/>
      <c r="C164" s="594"/>
      <c r="D164" s="594"/>
      <c r="E164" s="594"/>
      <c r="F164" s="594"/>
      <c r="G164" s="594"/>
      <c r="H164" s="594"/>
      <c r="I164" s="594"/>
      <c r="J164" s="594"/>
      <c r="K164" s="594"/>
      <c r="L164" s="594"/>
    </row>
    <row r="165" spans="1:12" ht="14.25">
      <c r="A165" s="594"/>
      <c r="B165" s="594"/>
      <c r="C165" s="594"/>
      <c r="D165" s="594"/>
      <c r="E165" s="594"/>
      <c r="F165" s="594"/>
      <c r="G165" s="594"/>
      <c r="H165" s="594"/>
      <c r="I165" s="594"/>
      <c r="J165" s="594"/>
      <c r="K165" s="594"/>
      <c r="L165" s="594"/>
    </row>
    <row r="166" spans="1:12" ht="14.25">
      <c r="A166" s="594"/>
      <c r="B166" s="594"/>
      <c r="C166" s="594"/>
      <c r="D166" s="594"/>
      <c r="E166" s="594"/>
      <c r="F166" s="594"/>
      <c r="G166" s="594"/>
      <c r="H166" s="594"/>
      <c r="I166" s="594"/>
      <c r="J166" s="594"/>
      <c r="K166" s="594"/>
      <c r="L166" s="594"/>
    </row>
    <row r="167" spans="1:12" ht="14.25">
      <c r="A167" s="594"/>
      <c r="B167" s="594"/>
      <c r="C167" s="594"/>
      <c r="D167" s="594"/>
      <c r="E167" s="594"/>
      <c r="F167" s="594"/>
      <c r="G167" s="594"/>
      <c r="H167" s="594"/>
      <c r="I167" s="594"/>
      <c r="J167" s="594"/>
      <c r="K167" s="594"/>
      <c r="L167" s="594"/>
    </row>
    <row r="168" spans="1:12" ht="14.25">
      <c r="A168" s="594"/>
      <c r="B168" s="594"/>
      <c r="C168" s="594"/>
      <c r="D168" s="594"/>
      <c r="E168" s="594"/>
      <c r="F168" s="594"/>
      <c r="G168" s="594"/>
      <c r="H168" s="594"/>
      <c r="I168" s="594"/>
      <c r="J168" s="594"/>
      <c r="K168" s="594"/>
      <c r="L168" s="594"/>
    </row>
    <row r="169" spans="1:12" ht="14.25">
      <c r="A169" s="594"/>
      <c r="B169" s="594"/>
      <c r="C169" s="594"/>
      <c r="D169" s="594"/>
      <c r="E169" s="594"/>
      <c r="F169" s="594"/>
      <c r="G169" s="594"/>
      <c r="H169" s="594"/>
      <c r="I169" s="594"/>
      <c r="J169" s="594"/>
      <c r="K169" s="594"/>
      <c r="L169" s="594"/>
    </row>
    <row r="170" spans="1:12" ht="14.25">
      <c r="A170" s="594"/>
      <c r="B170" s="594"/>
      <c r="C170" s="594"/>
      <c r="D170" s="594"/>
      <c r="E170" s="594"/>
      <c r="F170" s="594"/>
      <c r="G170" s="594"/>
      <c r="H170" s="594"/>
      <c r="I170" s="594"/>
      <c r="J170" s="594"/>
      <c r="K170" s="594"/>
      <c r="L170" s="594"/>
    </row>
    <row r="171" spans="1:12" ht="14.25">
      <c r="A171" s="594"/>
      <c r="B171" s="594"/>
      <c r="C171" s="594"/>
      <c r="D171" s="594"/>
      <c r="E171" s="594"/>
      <c r="F171" s="594"/>
      <c r="G171" s="594"/>
      <c r="H171" s="594"/>
      <c r="I171" s="594"/>
      <c r="J171" s="594"/>
      <c r="K171" s="594"/>
      <c r="L171" s="594"/>
    </row>
    <row r="172" spans="1:12" ht="14.25">
      <c r="A172" s="594"/>
      <c r="B172" s="594"/>
      <c r="C172" s="594"/>
      <c r="D172" s="594"/>
      <c r="E172" s="594"/>
      <c r="F172" s="594"/>
      <c r="G172" s="594"/>
      <c r="H172" s="594"/>
      <c r="I172" s="594"/>
      <c r="J172" s="594"/>
      <c r="K172" s="594"/>
      <c r="L172" s="594"/>
    </row>
    <row r="173" spans="1:12" ht="14.25">
      <c r="A173" s="594"/>
      <c r="B173" s="594"/>
      <c r="C173" s="594"/>
      <c r="D173" s="594"/>
      <c r="E173" s="594"/>
      <c r="F173" s="594"/>
      <c r="G173" s="594"/>
      <c r="H173" s="594"/>
      <c r="I173" s="594"/>
      <c r="J173" s="594"/>
      <c r="K173" s="594"/>
      <c r="L173" s="594"/>
    </row>
    <row r="174" spans="1:12" ht="14.25">
      <c r="A174" s="594"/>
      <c r="B174" s="594"/>
      <c r="C174" s="594"/>
      <c r="D174" s="594"/>
      <c r="E174" s="594"/>
      <c r="F174" s="594"/>
      <c r="G174" s="594"/>
      <c r="H174" s="594"/>
      <c r="I174" s="594"/>
      <c r="J174" s="594"/>
      <c r="K174" s="594"/>
      <c r="L174" s="594"/>
    </row>
    <row r="175" spans="1:12" ht="14.25">
      <c r="A175" s="594"/>
      <c r="B175" s="594"/>
      <c r="C175" s="594"/>
      <c r="D175" s="594"/>
      <c r="E175" s="594"/>
      <c r="F175" s="594"/>
      <c r="G175" s="594"/>
      <c r="H175" s="594"/>
      <c r="I175" s="594"/>
      <c r="J175" s="594"/>
      <c r="K175" s="594"/>
      <c r="L175" s="594"/>
    </row>
    <row r="176" spans="1:12" ht="14.25">
      <c r="A176" s="594"/>
      <c r="B176" s="594"/>
      <c r="C176" s="594"/>
      <c r="D176" s="594"/>
      <c r="E176" s="594"/>
      <c r="F176" s="594"/>
      <c r="G176" s="594"/>
      <c r="H176" s="594"/>
      <c r="I176" s="594"/>
      <c r="J176" s="594"/>
      <c r="K176" s="594"/>
      <c r="L176" s="594"/>
    </row>
    <row r="177" spans="1:12" ht="14.25">
      <c r="A177" s="594"/>
      <c r="B177" s="594"/>
      <c r="C177" s="594"/>
      <c r="D177" s="594"/>
      <c r="E177" s="594"/>
      <c r="F177" s="594"/>
      <c r="G177" s="594"/>
      <c r="H177" s="594"/>
      <c r="I177" s="594"/>
      <c r="J177" s="594"/>
      <c r="K177" s="594"/>
      <c r="L177" s="594"/>
    </row>
    <row r="178" spans="1:12" ht="14.25">
      <c r="A178" s="594"/>
      <c r="B178" s="594"/>
      <c r="C178" s="594"/>
      <c r="D178" s="594"/>
      <c r="E178" s="594"/>
      <c r="F178" s="594"/>
      <c r="G178" s="594"/>
      <c r="H178" s="594"/>
      <c r="I178" s="594"/>
      <c r="J178" s="594"/>
      <c r="K178" s="594"/>
      <c r="L178" s="594"/>
    </row>
    <row r="179" spans="1:12" ht="14.25">
      <c r="A179" s="594"/>
      <c r="B179" s="594"/>
      <c r="C179" s="594"/>
      <c r="D179" s="594"/>
      <c r="E179" s="594"/>
      <c r="F179" s="594"/>
      <c r="G179" s="594"/>
      <c r="H179" s="594"/>
      <c r="I179" s="594"/>
      <c r="J179" s="594"/>
      <c r="K179" s="594"/>
      <c r="L179" s="594"/>
    </row>
    <row r="180" spans="1:12" ht="14.25">
      <c r="A180" s="594"/>
      <c r="B180" s="594"/>
      <c r="C180" s="594"/>
      <c r="D180" s="594"/>
      <c r="E180" s="594"/>
      <c r="F180" s="594"/>
      <c r="G180" s="594"/>
      <c r="H180" s="594"/>
      <c r="I180" s="594"/>
      <c r="J180" s="594"/>
      <c r="K180" s="594"/>
      <c r="L180" s="594"/>
    </row>
    <row r="181" spans="1:12" ht="14.25">
      <c r="A181" s="594"/>
      <c r="B181" s="594"/>
      <c r="C181" s="594"/>
      <c r="D181" s="594"/>
      <c r="E181" s="594"/>
      <c r="F181" s="594"/>
      <c r="G181" s="594"/>
      <c r="H181" s="594"/>
      <c r="I181" s="594"/>
      <c r="J181" s="594"/>
      <c r="K181" s="594"/>
      <c r="L181" s="594"/>
    </row>
    <row r="182" spans="1:12" ht="14.25">
      <c r="A182" s="594"/>
      <c r="B182" s="594"/>
      <c r="C182" s="594"/>
      <c r="D182" s="594"/>
      <c r="E182" s="594"/>
      <c r="F182" s="594"/>
      <c r="G182" s="594"/>
      <c r="H182" s="594"/>
      <c r="I182" s="594"/>
      <c r="J182" s="594"/>
      <c r="K182" s="594"/>
      <c r="L182" s="594"/>
    </row>
    <row r="183" spans="1:12" ht="14.25">
      <c r="A183" s="594"/>
      <c r="B183" s="594"/>
      <c r="C183" s="594"/>
      <c r="D183" s="594"/>
      <c r="E183" s="594"/>
      <c r="F183" s="594"/>
      <c r="G183" s="594"/>
      <c r="H183" s="594"/>
      <c r="I183" s="594"/>
      <c r="J183" s="594"/>
      <c r="K183" s="594"/>
      <c r="L183" s="594"/>
    </row>
    <row r="184" spans="1:12" ht="14.25">
      <c r="A184" s="594"/>
      <c r="B184" s="594"/>
      <c r="C184" s="594"/>
      <c r="D184" s="594"/>
      <c r="E184" s="594"/>
      <c r="F184" s="594"/>
      <c r="G184" s="594"/>
      <c r="H184" s="594"/>
      <c r="I184" s="594"/>
      <c r="J184" s="594"/>
      <c r="K184" s="594"/>
      <c r="L184" s="594"/>
    </row>
    <row r="185" spans="1:12" ht="14.25">
      <c r="A185" s="594"/>
      <c r="B185" s="594"/>
      <c r="C185" s="594"/>
      <c r="D185" s="594"/>
      <c r="E185" s="594"/>
      <c r="F185" s="594"/>
      <c r="G185" s="594"/>
      <c r="H185" s="594"/>
      <c r="I185" s="594"/>
      <c r="J185" s="594"/>
      <c r="K185" s="594"/>
      <c r="L185" s="594"/>
    </row>
    <row r="186" spans="1:12" ht="14.25">
      <c r="A186" s="594"/>
      <c r="B186" s="594"/>
      <c r="C186" s="594"/>
      <c r="D186" s="594"/>
      <c r="E186" s="594"/>
      <c r="F186" s="594"/>
      <c r="G186" s="594"/>
      <c r="H186" s="594"/>
      <c r="I186" s="594"/>
      <c r="J186" s="594"/>
      <c r="K186" s="594"/>
      <c r="L186" s="594"/>
    </row>
    <row r="187" spans="1:12" ht="14.25">
      <c r="A187" s="594"/>
      <c r="B187" s="594"/>
      <c r="C187" s="594"/>
      <c r="D187" s="594"/>
      <c r="E187" s="594"/>
      <c r="F187" s="594"/>
      <c r="G187" s="594"/>
      <c r="H187" s="594"/>
      <c r="I187" s="594"/>
      <c r="J187" s="594"/>
      <c r="K187" s="594"/>
      <c r="L187" s="594"/>
    </row>
    <row r="188" spans="1:12" ht="14.25">
      <c r="A188" s="594"/>
      <c r="B188" s="594"/>
      <c r="C188" s="594"/>
      <c r="D188" s="594"/>
      <c r="E188" s="594"/>
      <c r="F188" s="594"/>
      <c r="G188" s="594"/>
      <c r="H188" s="594"/>
      <c r="I188" s="594"/>
      <c r="J188" s="594"/>
      <c r="K188" s="594"/>
      <c r="L188" s="594"/>
    </row>
    <row r="189" spans="1:12" ht="14.25">
      <c r="A189" s="594"/>
      <c r="B189" s="594"/>
      <c r="C189" s="594"/>
      <c r="D189" s="594"/>
      <c r="E189" s="594"/>
      <c r="F189" s="594"/>
      <c r="G189" s="594"/>
      <c r="H189" s="594"/>
      <c r="I189" s="594"/>
      <c r="J189" s="594"/>
      <c r="K189" s="594"/>
      <c r="L189" s="594"/>
    </row>
    <row r="190" spans="1:12" ht="14.25">
      <c r="A190" s="594"/>
      <c r="B190" s="594"/>
      <c r="C190" s="594"/>
      <c r="D190" s="594"/>
      <c r="E190" s="594"/>
      <c r="F190" s="594"/>
      <c r="G190" s="594"/>
      <c r="H190" s="594"/>
      <c r="I190" s="594"/>
      <c r="J190" s="594"/>
      <c r="K190" s="594"/>
      <c r="L190" s="594"/>
    </row>
    <row r="191" spans="1:12" ht="14.25">
      <c r="A191" s="594"/>
      <c r="B191" s="594"/>
      <c r="C191" s="594"/>
      <c r="D191" s="594"/>
      <c r="E191" s="594"/>
      <c r="F191" s="594"/>
      <c r="G191" s="594"/>
      <c r="H191" s="594"/>
      <c r="I191" s="594"/>
      <c r="J191" s="594"/>
      <c r="K191" s="594"/>
      <c r="L191" s="594"/>
    </row>
    <row r="192" spans="1:12" ht="14.25">
      <c r="A192" s="594"/>
      <c r="B192" s="594"/>
      <c r="C192" s="594"/>
      <c r="D192" s="594"/>
      <c r="E192" s="594"/>
      <c r="F192" s="594"/>
      <c r="G192" s="594"/>
      <c r="H192" s="594"/>
      <c r="I192" s="594"/>
      <c r="J192" s="594"/>
      <c r="K192" s="594"/>
      <c r="L192" s="594"/>
    </row>
    <row r="193" spans="1:12" ht="14.25">
      <c r="A193" s="594"/>
      <c r="B193" s="594"/>
      <c r="C193" s="594"/>
      <c r="D193" s="594"/>
      <c r="E193" s="594"/>
      <c r="F193" s="594"/>
      <c r="G193" s="594"/>
      <c r="H193" s="594"/>
      <c r="I193" s="594"/>
      <c r="J193" s="594"/>
      <c r="K193" s="594"/>
      <c r="L193" s="594"/>
    </row>
    <row r="194" spans="1:12" ht="14.25">
      <c r="A194" s="594"/>
      <c r="B194" s="594"/>
      <c r="C194" s="594"/>
      <c r="D194" s="594"/>
      <c r="E194" s="594"/>
      <c r="F194" s="594"/>
      <c r="G194" s="594"/>
      <c r="H194" s="594"/>
      <c r="I194" s="594"/>
      <c r="J194" s="594"/>
      <c r="K194" s="594"/>
      <c r="L194" s="594"/>
    </row>
    <row r="195" spans="1:12" ht="14.25">
      <c r="A195" s="594"/>
      <c r="B195" s="594"/>
      <c r="C195" s="594"/>
      <c r="D195" s="594"/>
      <c r="E195" s="594"/>
      <c r="F195" s="594"/>
      <c r="G195" s="594"/>
      <c r="H195" s="594"/>
      <c r="I195" s="594"/>
      <c r="J195" s="594"/>
      <c r="K195" s="594"/>
      <c r="L195" s="594"/>
    </row>
    <row r="196" spans="1:12" ht="14.25">
      <c r="A196" s="594"/>
      <c r="B196" s="594"/>
      <c r="C196" s="594"/>
      <c r="D196" s="594"/>
      <c r="E196" s="594"/>
      <c r="F196" s="594"/>
      <c r="G196" s="594"/>
      <c r="H196" s="594"/>
      <c r="I196" s="594"/>
      <c r="J196" s="594"/>
      <c r="K196" s="594"/>
      <c r="L196" s="594"/>
    </row>
    <row r="197" spans="1:12" ht="14.25">
      <c r="A197" s="594"/>
      <c r="B197" s="594"/>
      <c r="C197" s="594"/>
      <c r="D197" s="594"/>
      <c r="E197" s="594"/>
      <c r="F197" s="594"/>
      <c r="G197" s="594"/>
      <c r="H197" s="594"/>
      <c r="I197" s="594"/>
      <c r="J197" s="594"/>
      <c r="K197" s="594"/>
      <c r="L197" s="594"/>
    </row>
    <row r="198" spans="1:12" ht="14.25">
      <c r="A198" s="594"/>
      <c r="B198" s="594"/>
      <c r="C198" s="594"/>
      <c r="D198" s="594"/>
      <c r="E198" s="594"/>
      <c r="F198" s="594"/>
      <c r="G198" s="594"/>
      <c r="H198" s="594"/>
      <c r="I198" s="594"/>
      <c r="J198" s="594"/>
      <c r="K198" s="594"/>
      <c r="L198" s="594"/>
    </row>
    <row r="199" spans="1:12" ht="14.25">
      <c r="A199" s="594"/>
      <c r="B199" s="594"/>
      <c r="C199" s="594"/>
      <c r="D199" s="594"/>
      <c r="E199" s="594"/>
      <c r="F199" s="594"/>
      <c r="G199" s="594"/>
      <c r="H199" s="594"/>
      <c r="I199" s="594"/>
      <c r="J199" s="594"/>
      <c r="K199" s="594"/>
      <c r="L199" s="594"/>
    </row>
    <row r="200" spans="1:12" ht="14.25">
      <c r="A200" s="594"/>
      <c r="B200" s="594"/>
      <c r="C200" s="594"/>
      <c r="D200" s="594"/>
      <c r="E200" s="594"/>
      <c r="F200" s="594"/>
      <c r="G200" s="594"/>
      <c r="H200" s="594"/>
      <c r="I200" s="594"/>
      <c r="J200" s="594"/>
      <c r="K200" s="594"/>
      <c r="L200" s="594"/>
    </row>
    <row r="201" spans="1:12" ht="14.25">
      <c r="A201" s="594"/>
      <c r="B201" s="594"/>
      <c r="C201" s="594"/>
      <c r="D201" s="594"/>
      <c r="E201" s="594"/>
      <c r="F201" s="594"/>
      <c r="G201" s="594"/>
      <c r="H201" s="594"/>
      <c r="I201" s="594"/>
      <c r="J201" s="594"/>
      <c r="K201" s="594"/>
      <c r="L201" s="594"/>
    </row>
    <row r="202" spans="1:12" ht="14.25">
      <c r="A202" s="594"/>
      <c r="B202" s="594"/>
      <c r="C202" s="594"/>
      <c r="D202" s="594"/>
      <c r="E202" s="594"/>
      <c r="F202" s="594"/>
      <c r="G202" s="594"/>
      <c r="H202" s="594"/>
      <c r="I202" s="594"/>
      <c r="J202" s="594"/>
      <c r="K202" s="594"/>
      <c r="L202" s="594"/>
    </row>
    <row r="203" spans="1:12" ht="14.25">
      <c r="A203" s="594"/>
      <c r="B203" s="594"/>
      <c r="C203" s="594"/>
      <c r="D203" s="594"/>
      <c r="E203" s="594"/>
      <c r="F203" s="594"/>
      <c r="G203" s="594"/>
      <c r="H203" s="594"/>
      <c r="I203" s="594"/>
      <c r="J203" s="594"/>
      <c r="K203" s="594"/>
      <c r="L203" s="594"/>
    </row>
    <row r="204" spans="1:12" ht="14.25">
      <c r="A204" s="594"/>
      <c r="B204" s="594"/>
      <c r="C204" s="594"/>
      <c r="D204" s="594"/>
      <c r="E204" s="594"/>
      <c r="F204" s="594"/>
      <c r="G204" s="594"/>
      <c r="H204" s="594"/>
      <c r="I204" s="594"/>
      <c r="J204" s="594"/>
      <c r="K204" s="594"/>
      <c r="L204" s="594"/>
    </row>
    <row r="205" spans="1:12" ht="14.25">
      <c r="A205" s="594"/>
      <c r="B205" s="594"/>
      <c r="C205" s="594"/>
      <c r="D205" s="594"/>
      <c r="E205" s="594"/>
      <c r="F205" s="594"/>
      <c r="G205" s="594"/>
      <c r="H205" s="594"/>
      <c r="I205" s="594"/>
      <c r="J205" s="594"/>
      <c r="K205" s="594"/>
      <c r="L205" s="594"/>
    </row>
    <row r="206" spans="1:12" ht="14.25">
      <c r="A206" s="594"/>
      <c r="B206" s="594"/>
      <c r="C206" s="594"/>
      <c r="D206" s="594"/>
      <c r="E206" s="594"/>
      <c r="F206" s="594"/>
      <c r="G206" s="594"/>
      <c r="H206" s="594"/>
      <c r="I206" s="594"/>
      <c r="J206" s="594"/>
      <c r="K206" s="594"/>
      <c r="L206" s="594"/>
    </row>
    <row r="207" spans="1:12" ht="14.25">
      <c r="A207" s="594"/>
      <c r="B207" s="594"/>
      <c r="C207" s="594"/>
      <c r="D207" s="594"/>
      <c r="E207" s="594"/>
      <c r="F207" s="594"/>
      <c r="G207" s="594"/>
      <c r="H207" s="594"/>
      <c r="I207" s="594"/>
      <c r="J207" s="594"/>
      <c r="K207" s="594"/>
      <c r="L207" s="594"/>
    </row>
    <row r="208" spans="1:12" ht="14.25">
      <c r="A208" s="594"/>
      <c r="B208" s="594"/>
      <c r="C208" s="594"/>
      <c r="D208" s="594"/>
      <c r="E208" s="594"/>
      <c r="F208" s="594"/>
      <c r="G208" s="594"/>
      <c r="H208" s="594"/>
      <c r="I208" s="594"/>
      <c r="J208" s="594"/>
      <c r="K208" s="594"/>
      <c r="L208" s="594"/>
    </row>
    <row r="209" spans="1:12" ht="14.25">
      <c r="A209" s="594"/>
      <c r="B209" s="594"/>
      <c r="C209" s="594"/>
      <c r="D209" s="594"/>
      <c r="E209" s="594"/>
      <c r="F209" s="594"/>
      <c r="G209" s="594"/>
      <c r="H209" s="594"/>
      <c r="I209" s="594"/>
      <c r="J209" s="594"/>
      <c r="K209" s="594"/>
      <c r="L209" s="594"/>
    </row>
    <row r="210" spans="1:12" ht="14.25">
      <c r="A210" s="594"/>
      <c r="B210" s="594"/>
      <c r="C210" s="594"/>
      <c r="D210" s="594"/>
      <c r="E210" s="594"/>
      <c r="F210" s="594"/>
      <c r="G210" s="594"/>
      <c r="H210" s="594"/>
      <c r="I210" s="594"/>
      <c r="J210" s="594"/>
      <c r="K210" s="594"/>
      <c r="L210" s="594"/>
    </row>
    <row r="211" spans="1:12" ht="14.25">
      <c r="A211" s="594"/>
      <c r="B211" s="594"/>
      <c r="C211" s="594"/>
      <c r="D211" s="594"/>
      <c r="E211" s="594"/>
      <c r="F211" s="594"/>
      <c r="G211" s="594"/>
      <c r="H211" s="594"/>
      <c r="I211" s="594"/>
      <c r="J211" s="594"/>
      <c r="K211" s="594"/>
      <c r="L211" s="594"/>
    </row>
    <row r="212" spans="1:12" ht="14.25">
      <c r="A212" s="594"/>
      <c r="B212" s="594"/>
      <c r="C212" s="594"/>
      <c r="D212" s="594"/>
      <c r="E212" s="594"/>
      <c r="F212" s="594"/>
      <c r="G212" s="594"/>
      <c r="H212" s="594"/>
      <c r="I212" s="594"/>
      <c r="J212" s="594"/>
      <c r="K212" s="594"/>
      <c r="L212" s="594"/>
    </row>
    <row r="213" spans="1:12" ht="14.25">
      <c r="A213" s="594"/>
      <c r="B213" s="594"/>
      <c r="C213" s="594"/>
      <c r="D213" s="594"/>
      <c r="E213" s="594"/>
      <c r="F213" s="594"/>
      <c r="G213" s="594"/>
      <c r="H213" s="594"/>
      <c r="I213" s="594"/>
      <c r="J213" s="594"/>
      <c r="K213" s="594"/>
      <c r="L213" s="594"/>
    </row>
    <row r="214" spans="1:12" ht="14.25">
      <c r="A214" s="594"/>
      <c r="B214" s="594"/>
      <c r="C214" s="594"/>
      <c r="D214" s="594"/>
      <c r="E214" s="594"/>
      <c r="F214" s="594"/>
      <c r="G214" s="594"/>
      <c r="H214" s="594"/>
      <c r="I214" s="594"/>
      <c r="J214" s="594"/>
      <c r="K214" s="594"/>
      <c r="L214" s="594"/>
    </row>
    <row r="215" spans="1:12" ht="14.25">
      <c r="A215" s="594"/>
      <c r="B215" s="594"/>
      <c r="C215" s="594"/>
      <c r="D215" s="594"/>
      <c r="E215" s="594"/>
      <c r="F215" s="594"/>
      <c r="G215" s="594"/>
      <c r="H215" s="594"/>
      <c r="I215" s="594"/>
      <c r="J215" s="594"/>
      <c r="K215" s="594"/>
      <c r="L215" s="594"/>
    </row>
    <row r="216" spans="1:12" ht="14.25">
      <c r="A216" s="594"/>
      <c r="B216" s="594"/>
      <c r="C216" s="594"/>
      <c r="D216" s="594"/>
      <c r="E216" s="594"/>
      <c r="F216" s="594"/>
      <c r="G216" s="594"/>
      <c r="H216" s="594"/>
      <c r="I216" s="594"/>
      <c r="J216" s="594"/>
      <c r="K216" s="594"/>
      <c r="L216" s="594"/>
    </row>
    <row r="217" spans="1:12" ht="14.25">
      <c r="A217" s="594"/>
      <c r="B217" s="594"/>
      <c r="C217" s="594"/>
      <c r="D217" s="594"/>
      <c r="E217" s="594"/>
      <c r="F217" s="594"/>
      <c r="G217" s="594"/>
      <c r="H217" s="594"/>
      <c r="I217" s="594"/>
      <c r="J217" s="594"/>
      <c r="K217" s="594"/>
      <c r="L217" s="594"/>
    </row>
    <row r="218" spans="1:12" ht="14.25">
      <c r="A218" s="594"/>
      <c r="B218" s="594"/>
      <c r="C218" s="594"/>
      <c r="D218" s="594"/>
      <c r="E218" s="594"/>
      <c r="F218" s="594"/>
      <c r="G218" s="594"/>
      <c r="H218" s="594"/>
      <c r="I218" s="594"/>
      <c r="J218" s="594"/>
      <c r="K218" s="594"/>
      <c r="L218" s="594"/>
    </row>
    <row r="219" spans="1:12" ht="14.25">
      <c r="A219" s="594"/>
      <c r="B219" s="594"/>
      <c r="C219" s="594"/>
      <c r="D219" s="594"/>
      <c r="E219" s="594"/>
      <c r="F219" s="594"/>
      <c r="G219" s="594"/>
      <c r="H219" s="594"/>
      <c r="I219" s="594"/>
      <c r="J219" s="594"/>
      <c r="K219" s="594"/>
      <c r="L219" s="594"/>
    </row>
    <row r="220" spans="1:12" ht="14.25">
      <c r="A220" s="594"/>
      <c r="B220" s="594"/>
      <c r="C220" s="594"/>
      <c r="D220" s="594"/>
      <c r="E220" s="594"/>
      <c r="F220" s="594"/>
      <c r="G220" s="594"/>
      <c r="H220" s="594"/>
      <c r="I220" s="594"/>
      <c r="J220" s="594"/>
      <c r="K220" s="594"/>
      <c r="L220" s="594"/>
    </row>
    <row r="221" spans="1:12" ht="14.25">
      <c r="A221" s="594"/>
      <c r="B221" s="594"/>
      <c r="C221" s="594"/>
      <c r="D221" s="594"/>
      <c r="E221" s="594"/>
      <c r="F221" s="594"/>
      <c r="G221" s="594"/>
      <c r="H221" s="594"/>
      <c r="I221" s="594"/>
      <c r="J221" s="594"/>
      <c r="K221" s="594"/>
      <c r="L221" s="594"/>
    </row>
    <row r="222" spans="1:12" ht="14.25">
      <c r="A222" s="594"/>
      <c r="B222" s="594"/>
      <c r="C222" s="594"/>
      <c r="D222" s="594"/>
      <c r="E222" s="594"/>
      <c r="F222" s="594"/>
      <c r="G222" s="594"/>
      <c r="H222" s="594"/>
      <c r="I222" s="594"/>
      <c r="J222" s="594"/>
      <c r="K222" s="594"/>
      <c r="L222" s="594"/>
    </row>
    <row r="223" spans="1:12" ht="14.25">
      <c r="A223" s="594"/>
      <c r="B223" s="594"/>
      <c r="C223" s="594"/>
      <c r="D223" s="594"/>
      <c r="E223" s="594"/>
      <c r="F223" s="594"/>
      <c r="G223" s="594"/>
      <c r="H223" s="594"/>
      <c r="I223" s="594"/>
      <c r="J223" s="594"/>
      <c r="K223" s="594"/>
      <c r="L223" s="594"/>
    </row>
    <row r="224" spans="1:12" ht="14.25">
      <c r="A224" s="594"/>
      <c r="B224" s="594"/>
      <c r="C224" s="594"/>
      <c r="D224" s="594"/>
      <c r="E224" s="594"/>
      <c r="F224" s="594"/>
      <c r="G224" s="594"/>
      <c r="H224" s="594"/>
      <c r="I224" s="594"/>
      <c r="J224" s="594"/>
      <c r="K224" s="594"/>
      <c r="L224" s="594"/>
    </row>
    <row r="225" spans="1:12" ht="14.25">
      <c r="A225" s="594"/>
      <c r="B225" s="594"/>
      <c r="C225" s="594"/>
      <c r="D225" s="594"/>
      <c r="E225" s="594"/>
      <c r="F225" s="594"/>
      <c r="G225" s="594"/>
      <c r="H225" s="594"/>
      <c r="I225" s="594"/>
      <c r="J225" s="594"/>
      <c r="K225" s="594"/>
      <c r="L225" s="594"/>
    </row>
    <row r="226" spans="1:12" ht="14.25">
      <c r="A226" s="594"/>
      <c r="B226" s="594"/>
      <c r="C226" s="594"/>
      <c r="D226" s="594"/>
      <c r="E226" s="594"/>
      <c r="F226" s="594"/>
      <c r="G226" s="594"/>
      <c r="H226" s="594"/>
      <c r="I226" s="594"/>
      <c r="J226" s="594"/>
      <c r="K226" s="594"/>
      <c r="L226" s="594"/>
    </row>
    <row r="227" spans="1:12" ht="14.25">
      <c r="A227" s="594"/>
      <c r="B227" s="594"/>
      <c r="C227" s="594"/>
      <c r="D227" s="594"/>
      <c r="E227" s="594"/>
      <c r="F227" s="594"/>
      <c r="G227" s="594"/>
      <c r="H227" s="594"/>
      <c r="I227" s="594"/>
      <c r="J227" s="594"/>
      <c r="K227" s="594"/>
      <c r="L227" s="594"/>
    </row>
    <row r="228" spans="1:12" ht="14.25">
      <c r="A228" s="594"/>
      <c r="B228" s="594"/>
      <c r="C228" s="594"/>
      <c r="D228" s="594"/>
      <c r="E228" s="594"/>
      <c r="F228" s="594"/>
      <c r="G228" s="594"/>
      <c r="H228" s="594"/>
      <c r="I228" s="594"/>
      <c r="J228" s="594"/>
      <c r="K228" s="594"/>
      <c r="L228" s="594"/>
    </row>
    <row r="229" spans="1:12" ht="14.25">
      <c r="A229" s="594"/>
      <c r="B229" s="594"/>
      <c r="C229" s="594"/>
      <c r="D229" s="594"/>
      <c r="E229" s="594"/>
      <c r="F229" s="594"/>
      <c r="G229" s="594"/>
      <c r="H229" s="594"/>
      <c r="I229" s="594"/>
      <c r="J229" s="594"/>
      <c r="K229" s="594"/>
      <c r="L229" s="594"/>
    </row>
    <row r="230" spans="1:12" ht="14.25">
      <c r="A230" s="594"/>
      <c r="B230" s="594"/>
      <c r="C230" s="594"/>
      <c r="D230" s="594"/>
      <c r="E230" s="594"/>
      <c r="F230" s="594"/>
      <c r="G230" s="594"/>
      <c r="H230" s="594"/>
      <c r="I230" s="594"/>
      <c r="J230" s="594"/>
      <c r="K230" s="594"/>
      <c r="L230" s="594"/>
    </row>
    <row r="231" spans="1:12" ht="14.25">
      <c r="A231" s="594"/>
      <c r="B231" s="594"/>
      <c r="C231" s="594"/>
      <c r="D231" s="594"/>
      <c r="E231" s="594"/>
      <c r="F231" s="594"/>
      <c r="G231" s="594"/>
      <c r="H231" s="594"/>
      <c r="I231" s="594"/>
      <c r="J231" s="594"/>
      <c r="K231" s="594"/>
      <c r="L231" s="594"/>
    </row>
    <row r="232" spans="1:12" ht="14.25">
      <c r="A232" s="594"/>
      <c r="B232" s="594"/>
      <c r="C232" s="594"/>
      <c r="D232" s="594"/>
      <c r="E232" s="594"/>
      <c r="F232" s="594"/>
      <c r="G232" s="594"/>
      <c r="H232" s="594"/>
      <c r="I232" s="594"/>
      <c r="J232" s="594"/>
      <c r="K232" s="594"/>
      <c r="L232" s="594"/>
    </row>
    <row r="233" spans="1:12" ht="14.25">
      <c r="A233" s="594"/>
      <c r="B233" s="594"/>
      <c r="C233" s="594"/>
      <c r="D233" s="594"/>
      <c r="E233" s="594"/>
      <c r="F233" s="594"/>
      <c r="G233" s="594"/>
      <c r="H233" s="594"/>
      <c r="I233" s="594"/>
      <c r="J233" s="594"/>
      <c r="K233" s="594"/>
      <c r="L233" s="594"/>
    </row>
    <row r="234" spans="1:12" ht="14.25">
      <c r="A234" s="594"/>
      <c r="B234" s="594"/>
      <c r="C234" s="594"/>
      <c r="D234" s="594"/>
      <c r="E234" s="594"/>
      <c r="F234" s="594"/>
      <c r="G234" s="594"/>
      <c r="H234" s="594"/>
      <c r="I234" s="594"/>
      <c r="J234" s="594"/>
      <c r="K234" s="594"/>
      <c r="L234" s="594"/>
    </row>
    <row r="235" spans="1:12" ht="14.25">
      <c r="A235" s="594"/>
      <c r="B235" s="594"/>
      <c r="C235" s="594"/>
      <c r="D235" s="594"/>
      <c r="E235" s="594"/>
      <c r="F235" s="594"/>
      <c r="G235" s="594"/>
      <c r="H235" s="594"/>
      <c r="I235" s="594"/>
      <c r="J235" s="594"/>
      <c r="K235" s="594"/>
      <c r="L235" s="594"/>
    </row>
    <row r="236" spans="1:12" ht="14.25">
      <c r="A236" s="594"/>
      <c r="B236" s="594"/>
      <c r="C236" s="594"/>
      <c r="D236" s="594"/>
      <c r="E236" s="594"/>
      <c r="F236" s="594"/>
      <c r="G236" s="594"/>
      <c r="H236" s="594"/>
      <c r="I236" s="594"/>
      <c r="J236" s="594"/>
      <c r="K236" s="594"/>
      <c r="L236" s="594"/>
    </row>
    <row r="237" spans="1:12" ht="14.25">
      <c r="A237" s="594"/>
      <c r="B237" s="594"/>
      <c r="C237" s="594"/>
      <c r="D237" s="594"/>
      <c r="E237" s="594"/>
      <c r="F237" s="594"/>
      <c r="G237" s="594"/>
      <c r="H237" s="594"/>
      <c r="I237" s="594"/>
      <c r="J237" s="594"/>
      <c r="K237" s="594"/>
      <c r="L237" s="594"/>
    </row>
    <row r="238" spans="1:12" ht="14.25">
      <c r="A238" s="594"/>
      <c r="B238" s="594"/>
      <c r="C238" s="594"/>
      <c r="D238" s="594"/>
      <c r="E238" s="594"/>
      <c r="F238" s="594"/>
      <c r="G238" s="594"/>
      <c r="H238" s="594"/>
      <c r="I238" s="594"/>
      <c r="J238" s="594"/>
      <c r="K238" s="594"/>
      <c r="L238" s="594"/>
    </row>
    <row r="239" spans="1:12" ht="14.25">
      <c r="A239" s="594"/>
      <c r="B239" s="594"/>
      <c r="C239" s="594"/>
      <c r="D239" s="594"/>
      <c r="E239" s="594"/>
      <c r="F239" s="594"/>
      <c r="G239" s="594"/>
      <c r="H239" s="594"/>
      <c r="I239" s="594"/>
      <c r="J239" s="594"/>
      <c r="K239" s="594"/>
      <c r="L239" s="594"/>
    </row>
    <row r="240" spans="1:12" ht="14.25">
      <c r="A240" s="594"/>
      <c r="B240" s="594"/>
      <c r="C240" s="594"/>
      <c r="D240" s="594"/>
      <c r="E240" s="594"/>
      <c r="F240" s="594"/>
      <c r="G240" s="594"/>
      <c r="H240" s="594"/>
      <c r="I240" s="594"/>
      <c r="J240" s="594"/>
      <c r="K240" s="594"/>
      <c r="L240" s="594"/>
    </row>
    <row r="241" spans="1:12" ht="14.25">
      <c r="A241" s="594"/>
      <c r="B241" s="594"/>
      <c r="C241" s="594"/>
      <c r="D241" s="594"/>
      <c r="E241" s="594"/>
      <c r="F241" s="594"/>
      <c r="G241" s="594"/>
      <c r="H241" s="594"/>
      <c r="I241" s="594"/>
      <c r="J241" s="594"/>
      <c r="K241" s="594"/>
      <c r="L241" s="594"/>
    </row>
    <row r="242" spans="1:12" ht="14.25">
      <c r="A242" s="594"/>
      <c r="B242" s="594"/>
      <c r="C242" s="594"/>
      <c r="D242" s="594"/>
      <c r="E242" s="594"/>
      <c r="F242" s="594"/>
      <c r="G242" s="594"/>
      <c r="H242" s="594"/>
      <c r="I242" s="594"/>
      <c r="J242" s="594"/>
      <c r="K242" s="594"/>
      <c r="L242" s="594"/>
    </row>
    <row r="243" spans="1:12" ht="14.25">
      <c r="A243" s="594"/>
      <c r="B243" s="594"/>
      <c r="C243" s="594"/>
      <c r="D243" s="594"/>
      <c r="E243" s="594"/>
      <c r="F243" s="594"/>
      <c r="G243" s="594"/>
      <c r="H243" s="594"/>
      <c r="I243" s="594"/>
      <c r="J243" s="594"/>
      <c r="K243" s="594"/>
      <c r="L243" s="594"/>
    </row>
    <row r="244" spans="1:12" ht="14.25">
      <c r="A244" s="594"/>
      <c r="B244" s="594"/>
      <c r="C244" s="594"/>
      <c r="D244" s="594"/>
      <c r="E244" s="594"/>
      <c r="F244" s="594"/>
      <c r="G244" s="594"/>
      <c r="H244" s="594"/>
      <c r="I244" s="594"/>
      <c r="J244" s="594"/>
      <c r="K244" s="594"/>
      <c r="L244" s="594"/>
    </row>
    <row r="245" spans="1:12" ht="14.25">
      <c r="A245" s="594"/>
      <c r="B245" s="594"/>
      <c r="C245" s="594"/>
      <c r="D245" s="594"/>
      <c r="E245" s="594"/>
      <c r="F245" s="594"/>
      <c r="G245" s="594"/>
      <c r="H245" s="594"/>
      <c r="I245" s="594"/>
      <c r="J245" s="594"/>
      <c r="K245" s="594"/>
      <c r="L245" s="594"/>
    </row>
    <row r="246" spans="1:12" ht="14.25">
      <c r="A246" s="594"/>
      <c r="B246" s="594"/>
      <c r="C246" s="594"/>
      <c r="D246" s="594"/>
      <c r="E246" s="594"/>
      <c r="F246" s="594"/>
      <c r="G246" s="594"/>
      <c r="H246" s="594"/>
      <c r="I246" s="594"/>
      <c r="J246" s="594"/>
      <c r="K246" s="594"/>
      <c r="L246" s="594"/>
    </row>
    <row r="247" spans="1:12" ht="14.25">
      <c r="A247" s="594"/>
      <c r="B247" s="594"/>
      <c r="C247" s="594"/>
      <c r="D247" s="594"/>
      <c r="E247" s="594"/>
      <c r="F247" s="594"/>
      <c r="G247" s="594"/>
      <c r="H247" s="594"/>
      <c r="I247" s="594"/>
      <c r="J247" s="594"/>
      <c r="K247" s="594"/>
      <c r="L247" s="594"/>
    </row>
    <row r="248" spans="1:12" ht="14.25">
      <c r="A248" s="594"/>
      <c r="B248" s="594"/>
      <c r="C248" s="594"/>
      <c r="D248" s="594"/>
      <c r="E248" s="594"/>
      <c r="F248" s="594"/>
      <c r="G248" s="594"/>
      <c r="H248" s="594"/>
      <c r="I248" s="594"/>
      <c r="J248" s="594"/>
      <c r="K248" s="594"/>
      <c r="L248" s="594"/>
    </row>
    <row r="249" spans="1:12" ht="14.25">
      <c r="A249" s="594"/>
      <c r="B249" s="594"/>
      <c r="C249" s="594"/>
      <c r="D249" s="594"/>
      <c r="E249" s="594"/>
      <c r="F249" s="594"/>
      <c r="G249" s="594"/>
      <c r="H249" s="594"/>
      <c r="I249" s="594"/>
      <c r="J249" s="594"/>
      <c r="K249" s="594"/>
      <c r="L249" s="594"/>
    </row>
    <row r="250" spans="1:12" ht="14.25">
      <c r="A250" s="594"/>
      <c r="B250" s="594"/>
      <c r="C250" s="594"/>
      <c r="D250" s="594"/>
      <c r="E250" s="594"/>
      <c r="F250" s="594"/>
      <c r="G250" s="594"/>
      <c r="H250" s="594"/>
      <c r="I250" s="594"/>
      <c r="J250" s="594"/>
      <c r="K250" s="594"/>
      <c r="L250" s="594"/>
    </row>
    <row r="251" spans="1:12" ht="14.25">
      <c r="A251" s="594"/>
      <c r="B251" s="594"/>
      <c r="C251" s="594"/>
      <c r="D251" s="594"/>
      <c r="E251" s="594"/>
      <c r="F251" s="594"/>
      <c r="G251" s="594"/>
      <c r="H251" s="594"/>
      <c r="I251" s="594"/>
      <c r="J251" s="594"/>
      <c r="K251" s="594"/>
      <c r="L251" s="594"/>
    </row>
    <row r="252" spans="1:12" ht="14.25">
      <c r="A252" s="594"/>
      <c r="B252" s="594"/>
      <c r="C252" s="594"/>
      <c r="D252" s="594"/>
      <c r="E252" s="594"/>
      <c r="F252" s="594"/>
      <c r="G252" s="594"/>
      <c r="H252" s="594"/>
      <c r="I252" s="594"/>
      <c r="J252" s="594"/>
      <c r="K252" s="594"/>
      <c r="L252" s="594"/>
    </row>
    <row r="253" spans="1:12" ht="14.25">
      <c r="A253" s="594"/>
      <c r="B253" s="594"/>
      <c r="C253" s="594"/>
      <c r="D253" s="594"/>
      <c r="E253" s="594"/>
      <c r="F253" s="594"/>
      <c r="G253" s="594"/>
      <c r="H253" s="594"/>
      <c r="I253" s="594"/>
      <c r="J253" s="594"/>
      <c r="K253" s="594"/>
      <c r="L253" s="594"/>
    </row>
    <row r="254" spans="1:12" ht="14.25">
      <c r="A254" s="594"/>
      <c r="B254" s="594"/>
      <c r="C254" s="594"/>
      <c r="D254" s="594"/>
      <c r="E254" s="594"/>
      <c r="F254" s="594"/>
      <c r="G254" s="594"/>
      <c r="H254" s="594"/>
      <c r="I254" s="594"/>
      <c r="J254" s="594"/>
      <c r="K254" s="594"/>
      <c r="L254" s="594"/>
    </row>
    <row r="255" spans="1:12" ht="14.25">
      <c r="A255" s="594"/>
      <c r="B255" s="594"/>
      <c r="C255" s="594"/>
      <c r="D255" s="594"/>
      <c r="E255" s="594"/>
      <c r="F255" s="594"/>
      <c r="G255" s="594"/>
      <c r="H255" s="594"/>
      <c r="I255" s="594"/>
      <c r="J255" s="594"/>
      <c r="K255" s="594"/>
      <c r="L255" s="594"/>
    </row>
    <row r="256" spans="1:12" ht="14.25">
      <c r="A256" s="594"/>
      <c r="B256" s="594"/>
      <c r="C256" s="594"/>
      <c r="D256" s="594"/>
      <c r="E256" s="594"/>
      <c r="F256" s="594"/>
      <c r="G256" s="594"/>
      <c r="H256" s="594"/>
      <c r="I256" s="594"/>
      <c r="J256" s="594"/>
      <c r="K256" s="594"/>
      <c r="L256" s="594"/>
    </row>
    <row r="257" spans="1:12" ht="14.25">
      <c r="A257" s="594"/>
      <c r="B257" s="594"/>
      <c r="C257" s="594"/>
      <c r="D257" s="594"/>
      <c r="E257" s="594"/>
      <c r="F257" s="594"/>
      <c r="G257" s="594"/>
      <c r="H257" s="594"/>
      <c r="I257" s="594"/>
      <c r="J257" s="594"/>
      <c r="K257" s="594"/>
      <c r="L257" s="594"/>
    </row>
    <row r="258" spans="1:12" ht="14.25">
      <c r="A258" s="594"/>
      <c r="B258" s="594"/>
      <c r="C258" s="594"/>
      <c r="D258" s="594"/>
      <c r="E258" s="594"/>
      <c r="F258" s="594"/>
      <c r="G258" s="594"/>
      <c r="H258" s="594"/>
      <c r="I258" s="594"/>
      <c r="J258" s="594"/>
      <c r="K258" s="594"/>
      <c r="L258" s="594"/>
    </row>
    <row r="259" spans="1:12" ht="14.25">
      <c r="A259" s="594"/>
      <c r="B259" s="594"/>
      <c r="C259" s="594"/>
      <c r="D259" s="594"/>
      <c r="E259" s="594"/>
      <c r="F259" s="594"/>
      <c r="G259" s="594"/>
      <c r="H259" s="594"/>
      <c r="I259" s="594"/>
      <c r="J259" s="594"/>
      <c r="K259" s="594"/>
      <c r="L259" s="594"/>
    </row>
    <row r="260" spans="1:12" ht="14.25">
      <c r="A260" s="594"/>
      <c r="B260" s="594"/>
      <c r="C260" s="594"/>
      <c r="D260" s="594"/>
      <c r="E260" s="594"/>
      <c r="F260" s="594"/>
      <c r="G260" s="594"/>
      <c r="H260" s="594"/>
      <c r="I260" s="594"/>
      <c r="J260" s="594"/>
      <c r="K260" s="594"/>
      <c r="L260" s="594"/>
    </row>
    <row r="261" spans="1:12" ht="14.25">
      <c r="A261" s="594"/>
      <c r="B261" s="594"/>
      <c r="C261" s="594"/>
      <c r="D261" s="594"/>
      <c r="E261" s="594"/>
      <c r="F261" s="594"/>
      <c r="G261" s="594"/>
      <c r="H261" s="594"/>
      <c r="I261" s="594"/>
      <c r="J261" s="594"/>
      <c r="K261" s="594"/>
      <c r="L261" s="594"/>
    </row>
    <row r="262" spans="1:12" ht="14.25">
      <c r="A262" s="594"/>
      <c r="B262" s="594"/>
      <c r="C262" s="594"/>
      <c r="D262" s="594"/>
      <c r="E262" s="594"/>
      <c r="F262" s="594"/>
      <c r="G262" s="594"/>
      <c r="H262" s="594"/>
      <c r="I262" s="594"/>
      <c r="J262" s="594"/>
      <c r="K262" s="594"/>
      <c r="L262" s="594"/>
    </row>
    <row r="263" spans="1:12" ht="14.25">
      <c r="A263" s="594"/>
      <c r="B263" s="594"/>
      <c r="C263" s="594"/>
      <c r="D263" s="594"/>
      <c r="E263" s="594"/>
      <c r="F263" s="594"/>
      <c r="G263" s="594"/>
      <c r="H263" s="594"/>
      <c r="I263" s="594"/>
      <c r="J263" s="594"/>
      <c r="K263" s="594"/>
      <c r="L263" s="594"/>
    </row>
    <row r="264" spans="1:12" ht="14.25">
      <c r="A264" s="594"/>
      <c r="B264" s="594"/>
      <c r="C264" s="594"/>
      <c r="D264" s="594"/>
      <c r="E264" s="594"/>
      <c r="F264" s="594"/>
      <c r="G264" s="594"/>
      <c r="H264" s="594"/>
      <c r="I264" s="594"/>
      <c r="J264" s="594"/>
      <c r="K264" s="594"/>
      <c r="L264" s="594"/>
    </row>
    <row r="265" spans="1:12" ht="14.25">
      <c r="A265" s="594"/>
      <c r="B265" s="594"/>
      <c r="C265" s="594"/>
      <c r="D265" s="594"/>
      <c r="E265" s="594"/>
      <c r="F265" s="594"/>
      <c r="G265" s="594"/>
      <c r="H265" s="594"/>
      <c r="I265" s="594"/>
      <c r="J265" s="594"/>
      <c r="K265" s="594"/>
      <c r="L265" s="594"/>
    </row>
    <row r="266" spans="1:12" ht="14.25">
      <c r="A266" s="594"/>
      <c r="B266" s="594"/>
      <c r="C266" s="594"/>
      <c r="D266" s="594"/>
      <c r="E266" s="594"/>
      <c r="F266" s="594"/>
      <c r="G266" s="594"/>
      <c r="H266" s="594"/>
      <c r="I266" s="594"/>
      <c r="J266" s="594"/>
      <c r="K266" s="594"/>
      <c r="L266" s="594"/>
    </row>
    <row r="267" spans="1:12" ht="14.25">
      <c r="A267" s="594"/>
      <c r="B267" s="594"/>
      <c r="C267" s="594"/>
      <c r="D267" s="594"/>
      <c r="E267" s="594"/>
      <c r="F267" s="594"/>
      <c r="G267" s="594"/>
      <c r="H267" s="594"/>
      <c r="I267" s="594"/>
      <c r="J267" s="594"/>
      <c r="K267" s="594"/>
      <c r="L267" s="594"/>
    </row>
    <row r="268" spans="1:12" ht="14.25">
      <c r="A268" s="594"/>
      <c r="B268" s="594"/>
      <c r="C268" s="594"/>
      <c r="D268" s="594"/>
      <c r="E268" s="594"/>
      <c r="F268" s="594"/>
      <c r="G268" s="594"/>
      <c r="H268" s="594"/>
      <c r="I268" s="594"/>
      <c r="J268" s="594"/>
      <c r="K268" s="594"/>
      <c r="L268" s="594"/>
    </row>
    <row r="269" spans="1:12" ht="14.25">
      <c r="A269" s="594"/>
      <c r="B269" s="594"/>
      <c r="C269" s="594"/>
      <c r="D269" s="594"/>
      <c r="E269" s="594"/>
      <c r="F269" s="594"/>
      <c r="G269" s="594"/>
      <c r="H269" s="594"/>
      <c r="I269" s="594"/>
      <c r="J269" s="594"/>
      <c r="K269" s="594"/>
      <c r="L269" s="594"/>
    </row>
    <row r="270" spans="1:12" ht="14.25">
      <c r="A270" s="594"/>
      <c r="B270" s="594"/>
      <c r="C270" s="594"/>
      <c r="D270" s="594"/>
      <c r="E270" s="594"/>
      <c r="F270" s="594"/>
      <c r="G270" s="594"/>
      <c r="H270" s="594"/>
      <c r="I270" s="594"/>
      <c r="J270" s="594"/>
      <c r="K270" s="594"/>
      <c r="L270" s="594"/>
    </row>
    <row r="271" spans="1:12" ht="14.25">
      <c r="A271" s="594"/>
      <c r="B271" s="594"/>
      <c r="C271" s="594"/>
      <c r="D271" s="594"/>
      <c r="E271" s="594"/>
      <c r="F271" s="594"/>
      <c r="G271" s="594"/>
      <c r="H271" s="594"/>
      <c r="I271" s="594"/>
      <c r="J271" s="594"/>
      <c r="K271" s="594"/>
      <c r="L271" s="594"/>
    </row>
    <row r="272" spans="1:12" ht="14.25">
      <c r="A272" s="594"/>
      <c r="B272" s="594"/>
      <c r="C272" s="594"/>
      <c r="D272" s="594"/>
      <c r="E272" s="594"/>
      <c r="F272" s="594"/>
      <c r="G272" s="594"/>
      <c r="H272" s="594"/>
      <c r="I272" s="594"/>
      <c r="J272" s="594"/>
      <c r="K272" s="594"/>
      <c r="L272" s="594"/>
    </row>
    <row r="273" spans="1:12" ht="14.25">
      <c r="A273" s="594"/>
      <c r="B273" s="594"/>
      <c r="C273" s="594"/>
      <c r="D273" s="594"/>
      <c r="E273" s="594"/>
      <c r="F273" s="594"/>
      <c r="G273" s="594"/>
      <c r="H273" s="594"/>
      <c r="I273" s="594"/>
      <c r="J273" s="594"/>
      <c r="K273" s="594"/>
      <c r="L273" s="594"/>
    </row>
    <row r="274" spans="1:12" ht="14.25">
      <c r="A274" s="594"/>
      <c r="B274" s="594"/>
      <c r="C274" s="594"/>
      <c r="D274" s="594"/>
      <c r="E274" s="594"/>
      <c r="F274" s="594"/>
      <c r="G274" s="594"/>
      <c r="H274" s="594"/>
      <c r="I274" s="594"/>
      <c r="J274" s="594"/>
      <c r="K274" s="594"/>
      <c r="L274" s="594"/>
    </row>
    <row r="275" spans="1:12" ht="14.25">
      <c r="A275" s="594"/>
      <c r="B275" s="594"/>
      <c r="C275" s="594"/>
      <c r="D275" s="594"/>
      <c r="E275" s="594"/>
      <c r="F275" s="594"/>
      <c r="G275" s="594"/>
      <c r="H275" s="594"/>
      <c r="I275" s="594"/>
      <c r="J275" s="594"/>
      <c r="K275" s="594"/>
      <c r="L275" s="594"/>
    </row>
    <row r="276" spans="1:12" ht="14.25">
      <c r="A276" s="594"/>
      <c r="B276" s="594"/>
      <c r="C276" s="594"/>
      <c r="D276" s="594"/>
      <c r="E276" s="594"/>
      <c r="F276" s="594"/>
      <c r="G276" s="594"/>
      <c r="H276" s="594"/>
      <c r="I276" s="594"/>
      <c r="J276" s="594"/>
      <c r="K276" s="594"/>
      <c r="L276" s="594"/>
    </row>
    <row r="277" spans="1:12" ht="14.25">
      <c r="A277" s="594"/>
      <c r="B277" s="594"/>
      <c r="C277" s="594"/>
      <c r="D277" s="594"/>
      <c r="E277" s="594"/>
      <c r="F277" s="594"/>
      <c r="G277" s="594"/>
      <c r="H277" s="594"/>
      <c r="I277" s="594"/>
      <c r="J277" s="594"/>
      <c r="K277" s="594"/>
      <c r="L277" s="594"/>
    </row>
    <row r="278" spans="1:12" ht="14.25">
      <c r="A278" s="594"/>
      <c r="B278" s="594"/>
      <c r="C278" s="594"/>
      <c r="D278" s="594"/>
      <c r="E278" s="594"/>
      <c r="F278" s="594"/>
      <c r="G278" s="594"/>
      <c r="H278" s="594"/>
      <c r="I278" s="594"/>
      <c r="J278" s="594"/>
      <c r="K278" s="594"/>
      <c r="L278" s="594"/>
    </row>
    <row r="279" spans="1:12" ht="14.25">
      <c r="A279" s="594"/>
      <c r="B279" s="594"/>
      <c r="C279" s="594"/>
      <c r="D279" s="594"/>
      <c r="E279" s="594"/>
      <c r="F279" s="594"/>
      <c r="G279" s="594"/>
      <c r="H279" s="594"/>
      <c r="I279" s="594"/>
      <c r="J279" s="594"/>
      <c r="K279" s="594"/>
      <c r="L279" s="594"/>
    </row>
    <row r="280" spans="1:12" ht="14.25">
      <c r="A280" s="594"/>
      <c r="B280" s="594"/>
      <c r="C280" s="594"/>
      <c r="D280" s="594"/>
      <c r="E280" s="594"/>
      <c r="F280" s="594"/>
      <c r="G280" s="594"/>
      <c r="H280" s="594"/>
      <c r="I280" s="594"/>
      <c r="J280" s="594"/>
      <c r="K280" s="594"/>
      <c r="L280" s="594"/>
    </row>
    <row r="281" spans="1:12" ht="14.25">
      <c r="A281" s="594"/>
      <c r="B281" s="594"/>
      <c r="C281" s="594"/>
      <c r="D281" s="594"/>
      <c r="E281" s="594"/>
      <c r="F281" s="594"/>
      <c r="G281" s="594"/>
      <c r="H281" s="594"/>
      <c r="I281" s="594"/>
      <c r="J281" s="594"/>
      <c r="K281" s="594"/>
      <c r="L281" s="594"/>
    </row>
    <row r="282" spans="1:12" ht="14.25">
      <c r="A282" s="594"/>
      <c r="B282" s="594"/>
      <c r="C282" s="594"/>
      <c r="D282" s="594"/>
      <c r="E282" s="594"/>
      <c r="F282" s="594"/>
      <c r="G282" s="594"/>
      <c r="H282" s="594"/>
      <c r="I282" s="594"/>
      <c r="J282" s="594"/>
      <c r="K282" s="594"/>
      <c r="L282" s="594"/>
    </row>
    <row r="283" spans="1:12" ht="14.25">
      <c r="A283" s="594"/>
      <c r="B283" s="594"/>
      <c r="C283" s="594"/>
      <c r="D283" s="594"/>
      <c r="E283" s="594"/>
      <c r="F283" s="594"/>
      <c r="G283" s="594"/>
      <c r="H283" s="594"/>
      <c r="I283" s="594"/>
      <c r="J283" s="594"/>
      <c r="K283" s="594"/>
      <c r="L283" s="594"/>
    </row>
    <row r="284" spans="1:12" ht="14.25">
      <c r="A284" s="594"/>
      <c r="B284" s="594"/>
      <c r="C284" s="594"/>
      <c r="D284" s="594"/>
      <c r="E284" s="594"/>
      <c r="F284" s="594"/>
      <c r="G284" s="594"/>
      <c r="H284" s="594"/>
      <c r="I284" s="594"/>
      <c r="J284" s="594"/>
      <c r="K284" s="594"/>
      <c r="L284" s="594"/>
    </row>
    <row r="285" spans="1:12" ht="14.25">
      <c r="A285" s="594"/>
      <c r="B285" s="594"/>
      <c r="C285" s="594"/>
      <c r="D285" s="594"/>
      <c r="E285" s="594"/>
      <c r="F285" s="594"/>
      <c r="G285" s="594"/>
      <c r="H285" s="594"/>
      <c r="I285" s="594"/>
      <c r="J285" s="594"/>
      <c r="K285" s="594"/>
      <c r="L285" s="594"/>
    </row>
    <row r="286" spans="1:12" ht="14.25">
      <c r="A286" s="594"/>
      <c r="B286" s="594"/>
      <c r="C286" s="594"/>
      <c r="D286" s="594"/>
      <c r="E286" s="594"/>
      <c r="F286" s="594"/>
      <c r="G286" s="594"/>
      <c r="H286" s="594"/>
      <c r="I286" s="594"/>
      <c r="J286" s="594"/>
      <c r="K286" s="594"/>
      <c r="L286" s="594"/>
    </row>
    <row r="287" spans="1:12" ht="14.25">
      <c r="A287" s="594"/>
      <c r="B287" s="594"/>
      <c r="C287" s="594"/>
      <c r="D287" s="594"/>
      <c r="E287" s="594"/>
      <c r="F287" s="594"/>
      <c r="G287" s="594"/>
      <c r="H287" s="594"/>
      <c r="I287" s="594"/>
      <c r="J287" s="594"/>
      <c r="K287" s="594"/>
      <c r="L287" s="594"/>
    </row>
    <row r="288" spans="1:12" ht="14.25">
      <c r="A288" s="594"/>
      <c r="B288" s="594"/>
      <c r="C288" s="594"/>
      <c r="D288" s="594"/>
      <c r="E288" s="594"/>
      <c r="F288" s="594"/>
      <c r="G288" s="594"/>
      <c r="H288" s="594"/>
      <c r="I288" s="594"/>
      <c r="J288" s="594"/>
      <c r="K288" s="594"/>
      <c r="L288" s="594"/>
    </row>
    <row r="289" spans="1:12" ht="14.25">
      <c r="A289" s="594"/>
      <c r="B289" s="594"/>
      <c r="C289" s="594"/>
      <c r="D289" s="594"/>
      <c r="E289" s="594"/>
      <c r="F289" s="594"/>
      <c r="G289" s="594"/>
      <c r="H289" s="594"/>
      <c r="I289" s="594"/>
      <c r="J289" s="594"/>
      <c r="K289" s="594"/>
      <c r="L289" s="594"/>
    </row>
    <row r="290" spans="1:12" ht="14.25">
      <c r="A290" s="594"/>
      <c r="B290" s="594"/>
      <c r="C290" s="594"/>
      <c r="D290" s="594"/>
      <c r="E290" s="594"/>
      <c r="F290" s="594"/>
      <c r="G290" s="594"/>
      <c r="H290" s="594"/>
      <c r="I290" s="594"/>
      <c r="J290" s="594"/>
      <c r="K290" s="594"/>
      <c r="L290" s="594"/>
    </row>
    <row r="291" spans="1:12" ht="14.25">
      <c r="A291" s="594"/>
      <c r="B291" s="594"/>
      <c r="C291" s="594"/>
      <c r="D291" s="594"/>
      <c r="E291" s="594"/>
      <c r="F291" s="594"/>
      <c r="G291" s="594"/>
      <c r="H291" s="594"/>
      <c r="I291" s="594"/>
      <c r="J291" s="594"/>
      <c r="K291" s="594"/>
      <c r="L291" s="594"/>
    </row>
    <row r="292" spans="1:12" ht="14.25">
      <c r="A292" s="594"/>
      <c r="B292" s="594"/>
      <c r="C292" s="594"/>
      <c r="D292" s="594"/>
      <c r="E292" s="594"/>
      <c r="F292" s="594"/>
      <c r="G292" s="594"/>
      <c r="H292" s="594"/>
      <c r="I292" s="594"/>
      <c r="J292" s="594"/>
      <c r="K292" s="594"/>
      <c r="L292" s="594"/>
    </row>
    <row r="293" spans="1:12" ht="14.25">
      <c r="A293" s="594"/>
      <c r="B293" s="594"/>
      <c r="C293" s="594"/>
      <c r="D293" s="594"/>
      <c r="E293" s="594"/>
      <c r="F293" s="594"/>
      <c r="G293" s="594"/>
      <c r="H293" s="594"/>
      <c r="I293" s="594"/>
      <c r="J293" s="594"/>
      <c r="K293" s="594"/>
      <c r="L293" s="594"/>
    </row>
    <row r="294" spans="1:12" ht="14.25">
      <c r="A294" s="594"/>
      <c r="B294" s="594"/>
      <c r="C294" s="594"/>
      <c r="D294" s="594"/>
      <c r="E294" s="594"/>
      <c r="F294" s="594"/>
      <c r="G294" s="594"/>
      <c r="H294" s="594"/>
      <c r="I294" s="594"/>
      <c r="J294" s="594"/>
      <c r="K294" s="594"/>
      <c r="L294" s="594"/>
    </row>
    <row r="295" spans="1:12" ht="14.25">
      <c r="A295" s="594"/>
      <c r="B295" s="594"/>
      <c r="C295" s="594"/>
      <c r="D295" s="594"/>
      <c r="E295" s="594"/>
      <c r="F295" s="594"/>
      <c r="G295" s="594"/>
      <c r="H295" s="594"/>
      <c r="I295" s="594"/>
      <c r="J295" s="594"/>
      <c r="K295" s="594"/>
      <c r="L295" s="594"/>
    </row>
    <row r="296" spans="1:12" ht="14.25">
      <c r="A296" s="594"/>
      <c r="B296" s="594"/>
      <c r="C296" s="594"/>
      <c r="D296" s="594"/>
      <c r="E296" s="594"/>
      <c r="F296" s="594"/>
      <c r="G296" s="594"/>
      <c r="H296" s="594"/>
      <c r="I296" s="594"/>
      <c r="J296" s="594"/>
      <c r="K296" s="594"/>
      <c r="L296" s="594"/>
    </row>
    <row r="297" spans="1:12" ht="14.25">
      <c r="A297" s="594"/>
      <c r="B297" s="594"/>
      <c r="C297" s="594"/>
      <c r="D297" s="594"/>
      <c r="E297" s="594"/>
      <c r="F297" s="594"/>
      <c r="G297" s="594"/>
      <c r="H297" s="594"/>
      <c r="I297" s="594"/>
      <c r="J297" s="594"/>
      <c r="K297" s="594"/>
      <c r="L297" s="594"/>
    </row>
    <row r="298" spans="1:12" ht="14.25">
      <c r="A298" s="594"/>
      <c r="B298" s="594"/>
      <c r="C298" s="594"/>
      <c r="D298" s="594"/>
      <c r="E298" s="594"/>
      <c r="F298" s="594"/>
      <c r="G298" s="594"/>
      <c r="H298" s="594"/>
      <c r="I298" s="594"/>
      <c r="J298" s="594"/>
      <c r="K298" s="594"/>
      <c r="L298" s="594"/>
    </row>
    <row r="299" spans="1:12" ht="14.25">
      <c r="A299" s="594"/>
      <c r="B299" s="594"/>
      <c r="C299" s="594"/>
      <c r="D299" s="594"/>
      <c r="E299" s="594"/>
      <c r="F299" s="594"/>
      <c r="G299" s="594"/>
      <c r="H299" s="594"/>
      <c r="I299" s="594"/>
      <c r="J299" s="594"/>
      <c r="K299" s="594"/>
      <c r="L299" s="594"/>
    </row>
    <row r="300" spans="1:12" ht="14.25">
      <c r="A300" s="594"/>
      <c r="B300" s="594"/>
      <c r="C300" s="594"/>
      <c r="D300" s="594"/>
      <c r="E300" s="594"/>
      <c r="F300" s="594"/>
      <c r="G300" s="594"/>
      <c r="H300" s="594"/>
      <c r="I300" s="594"/>
      <c r="J300" s="594"/>
      <c r="K300" s="594"/>
      <c r="L300" s="594"/>
    </row>
    <row r="301" spans="1:12" ht="14.25">
      <c r="A301" s="594"/>
      <c r="B301" s="594"/>
      <c r="C301" s="594"/>
      <c r="D301" s="594"/>
      <c r="E301" s="594"/>
      <c r="F301" s="594"/>
      <c r="G301" s="594"/>
      <c r="H301" s="594"/>
      <c r="I301" s="594"/>
      <c r="J301" s="594"/>
      <c r="K301" s="594"/>
      <c r="L301" s="594"/>
    </row>
    <row r="302" spans="1:12" ht="14.25">
      <c r="A302" s="594"/>
      <c r="B302" s="594"/>
      <c r="C302" s="594"/>
      <c r="D302" s="594"/>
      <c r="E302" s="594"/>
      <c r="F302" s="594"/>
      <c r="G302" s="594"/>
      <c r="H302" s="594"/>
      <c r="I302" s="594"/>
      <c r="J302" s="594"/>
      <c r="K302" s="594"/>
      <c r="L302" s="594"/>
    </row>
    <row r="303" spans="1:12" ht="14.25">
      <c r="A303" s="594"/>
      <c r="B303" s="594"/>
      <c r="C303" s="594"/>
      <c r="D303" s="594"/>
      <c r="E303" s="594"/>
      <c r="F303" s="594"/>
      <c r="G303" s="594"/>
      <c r="H303" s="594"/>
      <c r="I303" s="594"/>
      <c r="J303" s="594"/>
      <c r="K303" s="594"/>
      <c r="L303" s="594"/>
    </row>
    <row r="304" spans="1:12" ht="14.25">
      <c r="A304" s="594"/>
      <c r="B304" s="594"/>
      <c r="C304" s="594"/>
      <c r="D304" s="594"/>
      <c r="E304" s="594"/>
      <c r="F304" s="594"/>
      <c r="G304" s="594"/>
      <c r="H304" s="594"/>
      <c r="I304" s="594"/>
      <c r="J304" s="594"/>
      <c r="K304" s="594"/>
      <c r="L304" s="594"/>
    </row>
    <row r="305" spans="1:12" ht="14.25">
      <c r="A305" s="594"/>
      <c r="B305" s="594"/>
      <c r="C305" s="594"/>
      <c r="D305" s="594"/>
      <c r="E305" s="594"/>
      <c r="F305" s="594"/>
      <c r="G305" s="594"/>
      <c r="H305" s="594"/>
      <c r="I305" s="594"/>
      <c r="J305" s="594"/>
      <c r="K305" s="594"/>
      <c r="L305" s="594"/>
    </row>
    <row r="306" spans="1:12" ht="14.25">
      <c r="A306" s="594"/>
      <c r="B306" s="594"/>
      <c r="C306" s="594"/>
      <c r="D306" s="594"/>
      <c r="E306" s="594"/>
      <c r="F306" s="594"/>
      <c r="G306" s="594"/>
      <c r="H306" s="594"/>
      <c r="I306" s="594"/>
      <c r="J306" s="594"/>
      <c r="K306" s="594"/>
      <c r="L306" s="594"/>
    </row>
    <row r="307" spans="1:12" ht="14.25">
      <c r="A307" s="594"/>
      <c r="B307" s="594"/>
      <c r="C307" s="594"/>
      <c r="D307" s="594"/>
      <c r="E307" s="594"/>
      <c r="F307" s="594"/>
      <c r="G307" s="594"/>
      <c r="H307" s="594"/>
      <c r="I307" s="594"/>
      <c r="J307" s="594"/>
      <c r="K307" s="594"/>
      <c r="L307" s="594"/>
    </row>
    <row r="308" spans="1:12" ht="14.25">
      <c r="A308" s="594"/>
      <c r="B308" s="594"/>
      <c r="C308" s="594"/>
      <c r="D308" s="594"/>
      <c r="E308" s="594"/>
      <c r="F308" s="594"/>
      <c r="G308" s="594"/>
      <c r="H308" s="594"/>
      <c r="I308" s="594"/>
      <c r="J308" s="594"/>
      <c r="K308" s="594"/>
      <c r="L308" s="594"/>
    </row>
    <row r="309" spans="1:12" ht="14.25">
      <c r="A309" s="594"/>
      <c r="B309" s="594"/>
      <c r="C309" s="594"/>
      <c r="D309" s="594"/>
      <c r="E309" s="594"/>
      <c r="F309" s="594"/>
      <c r="G309" s="594"/>
      <c r="H309" s="594"/>
      <c r="I309" s="594"/>
      <c r="J309" s="594"/>
      <c r="K309" s="594"/>
      <c r="L309" s="594"/>
    </row>
    <row r="310" spans="1:12" ht="14.25">
      <c r="A310" s="594"/>
      <c r="B310" s="594"/>
      <c r="C310" s="594"/>
      <c r="D310" s="594"/>
      <c r="E310" s="594"/>
      <c r="F310" s="594"/>
      <c r="G310" s="594"/>
      <c r="H310" s="594"/>
      <c r="I310" s="594"/>
      <c r="J310" s="594"/>
      <c r="K310" s="594"/>
      <c r="L310" s="594"/>
    </row>
    <row r="311" spans="1:12" ht="14.25">
      <c r="A311" s="594"/>
      <c r="B311" s="594"/>
      <c r="C311" s="594"/>
      <c r="D311" s="594"/>
      <c r="E311" s="594"/>
      <c r="F311" s="594"/>
      <c r="G311" s="594"/>
      <c r="H311" s="594"/>
      <c r="I311" s="594"/>
      <c r="J311" s="594"/>
      <c r="K311" s="594"/>
      <c r="L311" s="594"/>
    </row>
    <row r="312" spans="1:12" ht="14.25">
      <c r="A312" s="594"/>
      <c r="B312" s="594"/>
      <c r="C312" s="594"/>
      <c r="D312" s="594"/>
      <c r="E312" s="594"/>
      <c r="F312" s="594"/>
      <c r="G312" s="594"/>
      <c r="H312" s="594"/>
      <c r="I312" s="594"/>
      <c r="J312" s="594"/>
      <c r="K312" s="594"/>
      <c r="L312" s="594"/>
    </row>
    <row r="313" spans="1:12" ht="14.25">
      <c r="A313" s="594"/>
      <c r="B313" s="594"/>
      <c r="C313" s="594"/>
      <c r="D313" s="594"/>
      <c r="E313" s="594"/>
      <c r="F313" s="594"/>
      <c r="G313" s="594"/>
      <c r="H313" s="594"/>
      <c r="I313" s="594"/>
      <c r="J313" s="594"/>
      <c r="K313" s="594"/>
      <c r="L313" s="594"/>
    </row>
    <row r="314" spans="1:12" ht="14.25">
      <c r="A314" s="594"/>
      <c r="B314" s="594"/>
      <c r="C314" s="594"/>
      <c r="D314" s="594"/>
      <c r="E314" s="594"/>
      <c r="F314" s="594"/>
      <c r="G314" s="594"/>
      <c r="H314" s="594"/>
      <c r="I314" s="594"/>
      <c r="J314" s="594"/>
      <c r="K314" s="594"/>
      <c r="L314" s="594"/>
    </row>
    <row r="315" spans="1:12" ht="14.25">
      <c r="A315" s="594"/>
      <c r="B315" s="594"/>
      <c r="C315" s="594"/>
      <c r="D315" s="594"/>
      <c r="E315" s="594"/>
      <c r="F315" s="594"/>
      <c r="G315" s="594"/>
      <c r="H315" s="594"/>
      <c r="I315" s="594"/>
      <c r="J315" s="594"/>
      <c r="K315" s="594"/>
      <c r="L315" s="594"/>
    </row>
    <row r="316" spans="1:12" ht="14.25">
      <c r="A316" s="594"/>
      <c r="B316" s="594"/>
      <c r="C316" s="594"/>
      <c r="D316" s="594"/>
      <c r="E316" s="594"/>
      <c r="F316" s="594"/>
      <c r="G316" s="594"/>
      <c r="H316" s="594"/>
      <c r="I316" s="594"/>
      <c r="J316" s="594"/>
      <c r="K316" s="594"/>
      <c r="L316" s="594"/>
    </row>
    <row r="317" spans="1:12" ht="14.25">
      <c r="A317" s="594"/>
      <c r="B317" s="594"/>
      <c r="C317" s="594"/>
      <c r="D317" s="594"/>
      <c r="E317" s="594"/>
      <c r="F317" s="594"/>
      <c r="G317" s="594"/>
      <c r="H317" s="594"/>
      <c r="I317" s="594"/>
      <c r="J317" s="594"/>
      <c r="K317" s="594"/>
      <c r="L317" s="594"/>
    </row>
    <row r="318" spans="1:12" ht="14.25">
      <c r="A318" s="594"/>
      <c r="B318" s="594"/>
      <c r="C318" s="594"/>
      <c r="D318" s="594"/>
      <c r="E318" s="594"/>
      <c r="F318" s="594"/>
      <c r="G318" s="594"/>
      <c r="H318" s="594"/>
      <c r="I318" s="594"/>
      <c r="J318" s="594"/>
      <c r="K318" s="594"/>
      <c r="L318" s="594"/>
    </row>
    <row r="319" spans="1:12" ht="14.25">
      <c r="A319" s="594"/>
      <c r="B319" s="594"/>
      <c r="C319" s="594"/>
      <c r="D319" s="594"/>
      <c r="E319" s="594"/>
      <c r="F319" s="594"/>
      <c r="G319" s="594"/>
      <c r="H319" s="594"/>
      <c r="I319" s="594"/>
      <c r="J319" s="594"/>
      <c r="K319" s="594"/>
      <c r="L319" s="594"/>
    </row>
    <row r="320" spans="1:12" ht="14.25">
      <c r="A320" s="594"/>
      <c r="B320" s="594"/>
      <c r="C320" s="594"/>
      <c r="D320" s="594"/>
      <c r="E320" s="594"/>
      <c r="F320" s="594"/>
      <c r="G320" s="594"/>
      <c r="H320" s="594"/>
      <c r="I320" s="594"/>
      <c r="J320" s="594"/>
      <c r="K320" s="594"/>
      <c r="L320" s="594"/>
    </row>
    <row r="321" spans="1:12" ht="14.25">
      <c r="A321" s="594"/>
      <c r="B321" s="594"/>
      <c r="C321" s="594"/>
      <c r="D321" s="594"/>
      <c r="E321" s="594"/>
      <c r="F321" s="594"/>
      <c r="G321" s="594"/>
      <c r="H321" s="594"/>
      <c r="I321" s="594"/>
      <c r="J321" s="594"/>
      <c r="K321" s="594"/>
      <c r="L321" s="594"/>
    </row>
    <row r="322" spans="1:12" ht="14.25">
      <c r="A322" s="594"/>
      <c r="B322" s="594"/>
      <c r="C322" s="594"/>
      <c r="D322" s="594"/>
      <c r="E322" s="594"/>
      <c r="F322" s="594"/>
      <c r="G322" s="594"/>
      <c r="H322" s="594"/>
      <c r="I322" s="594"/>
      <c r="J322" s="594"/>
      <c r="K322" s="594"/>
      <c r="L322" s="594"/>
    </row>
    <row r="323" spans="1:12" ht="14.25">
      <c r="A323" s="594"/>
      <c r="B323" s="594"/>
      <c r="C323" s="594"/>
      <c r="D323" s="594"/>
      <c r="E323" s="594"/>
      <c r="F323" s="594"/>
      <c r="G323" s="594"/>
      <c r="H323" s="594"/>
      <c r="I323" s="594"/>
      <c r="J323" s="594"/>
      <c r="K323" s="594"/>
      <c r="L323" s="594"/>
    </row>
    <row r="324" spans="1:12" ht="14.25">
      <c r="A324" s="594"/>
      <c r="B324" s="594"/>
      <c r="C324" s="594"/>
      <c r="D324" s="594"/>
      <c r="E324" s="594"/>
      <c r="F324" s="594"/>
      <c r="G324" s="594"/>
      <c r="H324" s="594"/>
      <c r="I324" s="594"/>
      <c r="J324" s="594"/>
      <c r="K324" s="594"/>
      <c r="L324" s="594"/>
    </row>
    <row r="325" spans="1:12" ht="14.25">
      <c r="A325" s="594"/>
      <c r="B325" s="594"/>
      <c r="C325" s="594"/>
      <c r="D325" s="594"/>
      <c r="E325" s="594"/>
      <c r="F325" s="594"/>
      <c r="G325" s="594"/>
      <c r="H325" s="594"/>
      <c r="I325" s="594"/>
      <c r="J325" s="594"/>
      <c r="K325" s="594"/>
      <c r="L325" s="594"/>
    </row>
    <row r="326" spans="1:12" ht="14.25">
      <c r="A326" s="594"/>
      <c r="B326" s="594"/>
      <c r="C326" s="594"/>
      <c r="D326" s="594"/>
      <c r="E326" s="594"/>
      <c r="F326" s="594"/>
      <c r="G326" s="594"/>
      <c r="H326" s="594"/>
      <c r="I326" s="594"/>
      <c r="J326" s="594"/>
      <c r="K326" s="594"/>
      <c r="L326" s="594"/>
    </row>
    <row r="327" spans="1:12" ht="14.25">
      <c r="A327" s="594"/>
      <c r="B327" s="594"/>
      <c r="C327" s="594"/>
      <c r="D327" s="594"/>
      <c r="E327" s="594"/>
      <c r="F327" s="594"/>
      <c r="G327" s="594"/>
      <c r="H327" s="594"/>
      <c r="I327" s="594"/>
      <c r="J327" s="594"/>
      <c r="K327" s="594"/>
      <c r="L327" s="594"/>
    </row>
    <row r="328" spans="1:12" ht="14.25">
      <c r="A328" s="594"/>
      <c r="B328" s="594"/>
      <c r="C328" s="594"/>
      <c r="D328" s="594"/>
      <c r="E328" s="594"/>
      <c r="F328" s="594"/>
      <c r="G328" s="594"/>
      <c r="H328" s="594"/>
      <c r="I328" s="594"/>
      <c r="J328" s="594"/>
      <c r="K328" s="594"/>
      <c r="L328" s="594"/>
    </row>
    <row r="329" spans="1:12" ht="14.25">
      <c r="A329" s="594"/>
      <c r="B329" s="594"/>
      <c r="C329" s="594"/>
      <c r="D329" s="594"/>
      <c r="E329" s="594"/>
      <c r="F329" s="594"/>
      <c r="G329" s="594"/>
      <c r="H329" s="594"/>
      <c r="I329" s="594"/>
      <c r="J329" s="594"/>
      <c r="K329" s="594"/>
      <c r="L329" s="594"/>
    </row>
    <row r="330" spans="1:12" ht="14.25">
      <c r="A330" s="594"/>
      <c r="B330" s="594"/>
      <c r="C330" s="594"/>
      <c r="D330" s="594"/>
      <c r="E330" s="594"/>
      <c r="F330" s="594"/>
      <c r="G330" s="594"/>
      <c r="H330" s="594"/>
      <c r="I330" s="594"/>
      <c r="J330" s="594"/>
      <c r="K330" s="594"/>
      <c r="L330" s="594"/>
    </row>
    <row r="331" spans="1:12" ht="14.25">
      <c r="A331" s="594"/>
      <c r="B331" s="594"/>
      <c r="C331" s="594"/>
      <c r="D331" s="594"/>
      <c r="E331" s="594"/>
      <c r="F331" s="594"/>
      <c r="G331" s="594"/>
      <c r="H331" s="594"/>
      <c r="I331" s="594"/>
      <c r="J331" s="594"/>
      <c r="K331" s="594"/>
      <c r="L331" s="594"/>
    </row>
    <row r="332" spans="1:12" ht="14.25">
      <c r="A332" s="594"/>
      <c r="B332" s="594"/>
      <c r="C332" s="594"/>
      <c r="D332" s="594"/>
      <c r="E332" s="594"/>
      <c r="F332" s="594"/>
      <c r="G332" s="594"/>
      <c r="H332" s="594"/>
      <c r="I332" s="594"/>
      <c r="J332" s="594"/>
      <c r="K332" s="594"/>
      <c r="L332" s="594"/>
    </row>
    <row r="333" spans="1:12" ht="14.25">
      <c r="A333" s="594"/>
      <c r="B333" s="594"/>
      <c r="C333" s="594"/>
      <c r="D333" s="594"/>
      <c r="E333" s="594"/>
      <c r="F333" s="594"/>
      <c r="G333" s="594"/>
      <c r="H333" s="594"/>
      <c r="I333" s="594"/>
      <c r="J333" s="594"/>
      <c r="K333" s="594"/>
      <c r="L333" s="594"/>
    </row>
    <row r="334" spans="1:12" ht="14.25">
      <c r="A334" s="594"/>
      <c r="B334" s="594"/>
      <c r="C334" s="594"/>
      <c r="D334" s="594"/>
      <c r="E334" s="594"/>
      <c r="F334" s="594"/>
      <c r="G334" s="594"/>
      <c r="H334" s="594"/>
      <c r="I334" s="594"/>
      <c r="J334" s="594"/>
      <c r="K334" s="594"/>
      <c r="L334" s="594"/>
    </row>
    <row r="335" spans="1:12" ht="14.25">
      <c r="A335" s="594"/>
      <c r="B335" s="594"/>
      <c r="C335" s="594"/>
      <c r="D335" s="594"/>
      <c r="E335" s="594"/>
      <c r="F335" s="594"/>
      <c r="G335" s="594"/>
      <c r="H335" s="594"/>
      <c r="I335" s="594"/>
      <c r="J335" s="594"/>
      <c r="K335" s="594"/>
      <c r="L335" s="594"/>
    </row>
    <row r="336" spans="1:12" ht="14.25">
      <c r="A336" s="594"/>
      <c r="B336" s="594"/>
      <c r="C336" s="594"/>
      <c r="D336" s="594"/>
      <c r="E336" s="594"/>
      <c r="F336" s="594"/>
      <c r="G336" s="594"/>
      <c r="H336" s="594"/>
      <c r="I336" s="594"/>
      <c r="J336" s="594"/>
      <c r="K336" s="594"/>
      <c r="L336" s="594"/>
    </row>
    <row r="337" spans="1:12" ht="14.25">
      <c r="A337" s="594"/>
      <c r="B337" s="594"/>
      <c r="C337" s="594"/>
      <c r="D337" s="594"/>
      <c r="E337" s="594"/>
      <c r="F337" s="594"/>
      <c r="G337" s="594"/>
      <c r="H337" s="594"/>
      <c r="I337" s="594"/>
      <c r="J337" s="594"/>
      <c r="K337" s="594"/>
      <c r="L337" s="594"/>
    </row>
    <row r="338" spans="1:12" ht="14.25">
      <c r="A338" s="594"/>
      <c r="B338" s="594"/>
      <c r="C338" s="594"/>
      <c r="D338" s="594"/>
      <c r="E338" s="594"/>
      <c r="F338" s="594"/>
      <c r="G338" s="594"/>
      <c r="H338" s="594"/>
      <c r="I338" s="594"/>
      <c r="J338" s="594"/>
      <c r="K338" s="594"/>
      <c r="L338" s="594"/>
    </row>
    <row r="339" spans="1:12" ht="14.25">
      <c r="A339" s="594"/>
      <c r="B339" s="594"/>
      <c r="C339" s="594"/>
      <c r="D339" s="594"/>
      <c r="E339" s="594"/>
      <c r="F339" s="594"/>
      <c r="G339" s="594"/>
      <c r="H339" s="594"/>
      <c r="I339" s="594"/>
      <c r="J339" s="594"/>
      <c r="K339" s="594"/>
      <c r="L339" s="594"/>
    </row>
    <row r="340" spans="1:12" ht="14.25">
      <c r="A340" s="594"/>
      <c r="B340" s="594"/>
      <c r="C340" s="594"/>
      <c r="D340" s="594"/>
      <c r="E340" s="594"/>
      <c r="F340" s="594"/>
      <c r="G340" s="594"/>
      <c r="H340" s="594"/>
      <c r="I340" s="594"/>
      <c r="J340" s="594"/>
      <c r="K340" s="594"/>
      <c r="L340" s="594"/>
    </row>
    <row r="341" spans="1:12" ht="14.25">
      <c r="A341" s="594"/>
      <c r="B341" s="594"/>
      <c r="C341" s="594"/>
      <c r="D341" s="594"/>
      <c r="E341" s="594"/>
      <c r="F341" s="594"/>
      <c r="G341" s="594"/>
      <c r="H341" s="594"/>
      <c r="I341" s="594"/>
      <c r="J341" s="594"/>
      <c r="K341" s="594"/>
      <c r="L341" s="594"/>
    </row>
    <row r="342" spans="1:12" ht="14.25">
      <c r="A342" s="594"/>
      <c r="B342" s="594"/>
      <c r="C342" s="594"/>
      <c r="D342" s="594"/>
      <c r="E342" s="594"/>
      <c r="F342" s="594"/>
      <c r="G342" s="594"/>
      <c r="H342" s="594"/>
      <c r="I342" s="594"/>
      <c r="J342" s="594"/>
      <c r="K342" s="594"/>
      <c r="L342" s="594"/>
    </row>
    <row r="343" spans="1:12" ht="14.25">
      <c r="A343" s="594"/>
      <c r="B343" s="594"/>
      <c r="C343" s="594"/>
      <c r="D343" s="594"/>
      <c r="E343" s="594"/>
      <c r="F343" s="594"/>
      <c r="G343" s="594"/>
      <c r="H343" s="594"/>
      <c r="I343" s="594"/>
      <c r="J343" s="594"/>
      <c r="K343" s="594"/>
      <c r="L343" s="594"/>
    </row>
    <row r="344" spans="1:12" ht="14.25">
      <c r="A344" s="594"/>
      <c r="B344" s="594"/>
      <c r="C344" s="594"/>
      <c r="D344" s="594"/>
      <c r="E344" s="594"/>
      <c r="F344" s="594"/>
      <c r="G344" s="594"/>
      <c r="H344" s="594"/>
      <c r="I344" s="594"/>
      <c r="J344" s="594"/>
      <c r="K344" s="594"/>
      <c r="L344" s="594"/>
    </row>
    <row r="345" spans="1:12" ht="14.25">
      <c r="A345" s="594"/>
      <c r="B345" s="594"/>
      <c r="C345" s="594"/>
      <c r="D345" s="594"/>
      <c r="E345" s="594"/>
      <c r="F345" s="594"/>
      <c r="G345" s="594"/>
      <c r="H345" s="594"/>
      <c r="I345" s="594"/>
      <c r="J345" s="594"/>
      <c r="K345" s="594"/>
      <c r="L345" s="594"/>
    </row>
    <row r="346" spans="1:12" ht="14.25">
      <c r="A346" s="594"/>
      <c r="B346" s="594"/>
      <c r="C346" s="594"/>
      <c r="D346" s="594"/>
      <c r="E346" s="594"/>
      <c r="F346" s="594"/>
      <c r="G346" s="594"/>
      <c r="H346" s="594"/>
      <c r="I346" s="594"/>
      <c r="J346" s="594"/>
      <c r="K346" s="594"/>
      <c r="L346" s="594"/>
    </row>
    <row r="347" spans="1:12" ht="14.25">
      <c r="A347" s="594"/>
      <c r="B347" s="594"/>
      <c r="C347" s="594"/>
      <c r="D347" s="594"/>
      <c r="E347" s="594"/>
      <c r="F347" s="594"/>
      <c r="G347" s="594"/>
      <c r="H347" s="594"/>
      <c r="I347" s="594"/>
      <c r="J347" s="594"/>
      <c r="K347" s="594"/>
      <c r="L347" s="594"/>
    </row>
    <row r="348" spans="1:12" ht="14.25">
      <c r="A348" s="594"/>
      <c r="B348" s="594"/>
      <c r="C348" s="594"/>
      <c r="D348" s="594"/>
      <c r="E348" s="594"/>
      <c r="F348" s="594"/>
      <c r="G348" s="594"/>
      <c r="H348" s="594"/>
      <c r="I348" s="594"/>
      <c r="J348" s="594"/>
      <c r="K348" s="594"/>
      <c r="L348" s="594"/>
    </row>
    <row r="349" spans="1:12" ht="14.25">
      <c r="A349" s="594"/>
      <c r="B349" s="594"/>
      <c r="C349" s="594"/>
      <c r="D349" s="594"/>
      <c r="E349" s="594"/>
      <c r="F349" s="594"/>
      <c r="G349" s="594"/>
      <c r="H349" s="594"/>
      <c r="I349" s="594"/>
      <c r="J349" s="594"/>
      <c r="K349" s="594"/>
      <c r="L349" s="594"/>
    </row>
    <row r="350" spans="1:12" ht="14.25">
      <c r="A350" s="594"/>
      <c r="B350" s="594"/>
      <c r="C350" s="594"/>
      <c r="D350" s="594"/>
      <c r="E350" s="594"/>
      <c r="F350" s="594"/>
      <c r="G350" s="594"/>
      <c r="H350" s="594"/>
      <c r="I350" s="594"/>
      <c r="J350" s="594"/>
      <c r="K350" s="594"/>
      <c r="L350" s="594"/>
    </row>
    <row r="351" spans="1:12" ht="14.25">
      <c r="A351" s="594"/>
      <c r="B351" s="594"/>
      <c r="C351" s="594"/>
      <c r="D351" s="594"/>
      <c r="E351" s="594"/>
      <c r="F351" s="594"/>
      <c r="G351" s="594"/>
      <c r="H351" s="594"/>
      <c r="I351" s="594"/>
      <c r="J351" s="594"/>
      <c r="K351" s="594"/>
      <c r="L351" s="594"/>
    </row>
    <row r="352" spans="1:12" ht="14.25">
      <c r="A352" s="594"/>
      <c r="B352" s="594"/>
      <c r="C352" s="594"/>
      <c r="D352" s="594"/>
      <c r="E352" s="594"/>
      <c r="F352" s="594"/>
      <c r="G352" s="594"/>
      <c r="H352" s="594"/>
      <c r="I352" s="594"/>
      <c r="J352" s="594"/>
      <c r="K352" s="594"/>
      <c r="L352" s="594"/>
    </row>
    <row r="353" spans="1:12" ht="14.25">
      <c r="A353" s="594"/>
      <c r="B353" s="594"/>
      <c r="C353" s="594"/>
      <c r="D353" s="594"/>
      <c r="E353" s="594"/>
      <c r="F353" s="594"/>
      <c r="G353" s="594"/>
      <c r="H353" s="594"/>
      <c r="I353" s="594"/>
      <c r="J353" s="594"/>
      <c r="K353" s="594"/>
      <c r="L353" s="594"/>
    </row>
    <row r="354" spans="1:12" ht="14.25">
      <c r="A354" s="594"/>
      <c r="B354" s="594"/>
      <c r="C354" s="594"/>
      <c r="D354" s="594"/>
      <c r="E354" s="594"/>
      <c r="F354" s="594"/>
      <c r="G354" s="594"/>
      <c r="H354" s="594"/>
      <c r="I354" s="594"/>
      <c r="J354" s="594"/>
      <c r="K354" s="594"/>
      <c r="L354" s="594"/>
    </row>
  </sheetData>
  <sheetProtection sheet="1"/>
  <mergeCells count="55">
    <mergeCell ref="C97:D97"/>
    <mergeCell ref="C120:D120"/>
    <mergeCell ref="C123:D123"/>
    <mergeCell ref="C77:D77"/>
    <mergeCell ref="C80:D80"/>
    <mergeCell ref="C83:D83"/>
    <mergeCell ref="C100:D100"/>
    <mergeCell ref="B57:K57"/>
    <mergeCell ref="B52:K52"/>
    <mergeCell ref="B53:K53"/>
    <mergeCell ref="B6:K6"/>
    <mergeCell ref="B7:K7"/>
    <mergeCell ref="B8:K8"/>
    <mergeCell ref="B10:K10"/>
    <mergeCell ref="B48:C48"/>
    <mergeCell ref="G50:H50"/>
    <mergeCell ref="I51:K51"/>
    <mergeCell ref="B12:K12"/>
    <mergeCell ref="C25:D25"/>
    <mergeCell ref="B55:K55"/>
    <mergeCell ref="F23:G23"/>
    <mergeCell ref="B30:K30"/>
    <mergeCell ref="B31:K31"/>
    <mergeCell ref="B33:K33"/>
    <mergeCell ref="B35:K35"/>
    <mergeCell ref="C41:D41"/>
    <mergeCell ref="B58:K58"/>
    <mergeCell ref="C117:D117"/>
    <mergeCell ref="B85:K85"/>
    <mergeCell ref="B86:K86"/>
    <mergeCell ref="B88:K88"/>
    <mergeCell ref="B90:K90"/>
    <mergeCell ref="C103:D103"/>
    <mergeCell ref="C74:D74"/>
    <mergeCell ref="B110:K110"/>
    <mergeCell ref="C94:D94"/>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05:K105"/>
    <mergeCell ref="B106:K106"/>
    <mergeCell ref="B108:K108"/>
    <mergeCell ref="C114:D114"/>
    <mergeCell ref="B126:K126"/>
    <mergeCell ref="B125:K125"/>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L39"/>
    </sheetView>
  </sheetViews>
  <sheetFormatPr defaultColWidth="8.796875" defaultRowHeight="15"/>
  <cols>
    <col min="1" max="1" width="71.19921875" style="0" customWidth="1"/>
  </cols>
  <sheetData>
    <row r="1" ht="16.5">
      <c r="A1" s="500" t="s">
        <v>463</v>
      </c>
    </row>
    <row r="3" ht="31.5">
      <c r="A3" s="501" t="s">
        <v>464</v>
      </c>
    </row>
    <row r="4" ht="15.75">
      <c r="A4" s="502" t="s">
        <v>465</v>
      </c>
    </row>
    <row r="7" ht="31.5">
      <c r="A7" s="501" t="s">
        <v>466</v>
      </c>
    </row>
    <row r="8" ht="15.75">
      <c r="A8" s="502" t="s">
        <v>467</v>
      </c>
    </row>
    <row r="11" ht="15.75">
      <c r="A11" s="499" t="s">
        <v>468</v>
      </c>
    </row>
    <row r="12" ht="15.75">
      <c r="A12" s="502" t="s">
        <v>469</v>
      </c>
    </row>
    <row r="15" ht="15.75">
      <c r="A15" s="499" t="s">
        <v>470</v>
      </c>
    </row>
    <row r="16" ht="15.75">
      <c r="A16" s="502" t="s">
        <v>471</v>
      </c>
    </row>
    <row r="19" ht="15.75">
      <c r="A19" s="499" t="s">
        <v>472</v>
      </c>
    </row>
    <row r="20" ht="15.75">
      <c r="A20" s="502" t="s">
        <v>473</v>
      </c>
    </row>
    <row r="23" ht="15.75">
      <c r="A23" s="499" t="s">
        <v>474</v>
      </c>
    </row>
    <row r="24" ht="15.75">
      <c r="A24" s="502" t="s">
        <v>475</v>
      </c>
    </row>
    <row r="27" ht="15.75">
      <c r="A27" s="499" t="s">
        <v>476</v>
      </c>
    </row>
    <row r="28" ht="15.75">
      <c r="A28" s="502" t="s">
        <v>477</v>
      </c>
    </row>
    <row r="31" ht="15.75">
      <c r="A31" s="499" t="s">
        <v>478</v>
      </c>
    </row>
    <row r="32" ht="15.75">
      <c r="A32" s="502" t="s">
        <v>479</v>
      </c>
    </row>
    <row r="35" ht="15.75">
      <c r="A35" s="499" t="s">
        <v>480</v>
      </c>
    </row>
    <row r="36" ht="15.75">
      <c r="A36" s="502" t="s">
        <v>481</v>
      </c>
    </row>
    <row r="39" ht="15.75">
      <c r="A39" s="499" t="s">
        <v>482</v>
      </c>
    </row>
    <row r="40" ht="15.75">
      <c r="A40" s="502" t="s">
        <v>483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171"/>
  <sheetViews>
    <sheetView zoomScalePageLayoutView="0" workbookViewId="0" topLeftCell="A1">
      <selection activeCell="A1" sqref="A1:L39"/>
    </sheetView>
  </sheetViews>
  <sheetFormatPr defaultColWidth="8.796875" defaultRowHeight="15"/>
  <cols>
    <col min="1" max="1" width="80.09765625" style="52" customWidth="1"/>
    <col min="2" max="16384" width="8.8984375" style="52" customWidth="1"/>
  </cols>
  <sheetData>
    <row r="1" ht="15.75">
      <c r="A1" s="426" t="s">
        <v>57</v>
      </c>
    </row>
    <row r="2" ht="15.75">
      <c r="A2" s="52" t="s">
        <v>58</v>
      </c>
    </row>
    <row r="4" ht="15.75">
      <c r="A4" s="426" t="s">
        <v>54</v>
      </c>
    </row>
    <row r="5" ht="15.75">
      <c r="A5" s="692" t="s">
        <v>55</v>
      </c>
    </row>
    <row r="7" ht="15.75">
      <c r="A7" s="426" t="s">
        <v>606</v>
      </c>
    </row>
    <row r="8" ht="15.75">
      <c r="A8" s="692" t="s">
        <v>36</v>
      </c>
    </row>
    <row r="9" ht="15.75">
      <c r="A9" s="52" t="s">
        <v>8</v>
      </c>
    </row>
    <row r="10" ht="15.75">
      <c r="A10" s="52" t="s">
        <v>9</v>
      </c>
    </row>
    <row r="11" ht="15.75">
      <c r="A11" s="52" t="s">
        <v>38</v>
      </c>
    </row>
    <row r="12" ht="15.75">
      <c r="A12" s="52" t="s">
        <v>39</v>
      </c>
    </row>
    <row r="13" ht="15.75">
      <c r="A13" s="52" t="s">
        <v>40</v>
      </c>
    </row>
    <row r="14" ht="15.75">
      <c r="A14" s="52" t="s">
        <v>41</v>
      </c>
    </row>
    <row r="15" ht="15.75">
      <c r="A15" s="52" t="s">
        <v>42</v>
      </c>
    </row>
    <row r="16" ht="15.75">
      <c r="A16" s="52" t="s">
        <v>17</v>
      </c>
    </row>
    <row r="17" ht="15.75">
      <c r="A17" s="52" t="s">
        <v>18</v>
      </c>
    </row>
    <row r="18" ht="15.75">
      <c r="A18" s="52" t="s">
        <v>19</v>
      </c>
    </row>
    <row r="19" ht="15.75">
      <c r="A19" s="52" t="s">
        <v>20</v>
      </c>
    </row>
    <row r="20" ht="47.25">
      <c r="A20" s="54" t="s">
        <v>21</v>
      </c>
    </row>
    <row r="21" ht="31.5">
      <c r="A21" s="54" t="s">
        <v>22</v>
      </c>
    </row>
    <row r="22" ht="15.75">
      <c r="A22" s="52" t="s">
        <v>23</v>
      </c>
    </row>
    <row r="23" ht="15.75">
      <c r="A23" s="52" t="s">
        <v>24</v>
      </c>
    </row>
    <row r="24" ht="15.75">
      <c r="A24" s="52" t="s">
        <v>25</v>
      </c>
    </row>
    <row r="25" ht="15.75">
      <c r="A25" s="52" t="s">
        <v>26</v>
      </c>
    </row>
    <row r="26" ht="15.75">
      <c r="A26" s="52" t="s">
        <v>27</v>
      </c>
    </row>
    <row r="27" ht="15.75">
      <c r="A27" s="52" t="s">
        <v>28</v>
      </c>
    </row>
    <row r="28" ht="15.75">
      <c r="A28" s="52" t="s">
        <v>29</v>
      </c>
    </row>
    <row r="29" ht="15.75">
      <c r="A29" s="52" t="s">
        <v>30</v>
      </c>
    </row>
    <row r="30" ht="15.75">
      <c r="A30" s="52" t="s">
        <v>31</v>
      </c>
    </row>
    <row r="31" ht="15.75">
      <c r="A31" s="52" t="s">
        <v>32</v>
      </c>
    </row>
    <row r="32" ht="15.75">
      <c r="A32" s="52" t="s">
        <v>33</v>
      </c>
    </row>
    <row r="33" ht="15.75">
      <c r="A33" s="52" t="s">
        <v>34</v>
      </c>
    </row>
    <row r="36" ht="15.75">
      <c r="A36" s="426" t="s">
        <v>586</v>
      </c>
    </row>
    <row r="37" ht="15.75">
      <c r="A37" s="52" t="s">
        <v>587</v>
      </c>
    </row>
    <row r="39" ht="15.75">
      <c r="A39" s="426" t="s">
        <v>584</v>
      </c>
    </row>
    <row r="40" ht="15.75">
      <c r="A40" s="52" t="s">
        <v>585</v>
      </c>
    </row>
    <row r="42" ht="15.75">
      <c r="A42" s="426" t="s">
        <v>582</v>
      </c>
    </row>
    <row r="43" ht="15.75">
      <c r="A43" s="504" t="s">
        <v>583</v>
      </c>
    </row>
    <row r="45" ht="15.75">
      <c r="A45" s="426" t="s">
        <v>538</v>
      </c>
    </row>
    <row r="46" ht="15.75">
      <c r="A46" s="504" t="s">
        <v>544</v>
      </c>
    </row>
    <row r="47" ht="15.75">
      <c r="A47" s="504" t="s">
        <v>545</v>
      </c>
    </row>
    <row r="48" ht="15.75">
      <c r="A48" s="52" t="s">
        <v>546</v>
      </c>
    </row>
    <row r="49" ht="15.75">
      <c r="A49" s="504" t="s">
        <v>547</v>
      </c>
    </row>
    <row r="50" ht="15.75">
      <c r="A50" s="504" t="s">
        <v>548</v>
      </c>
    </row>
    <row r="51" ht="15.75">
      <c r="A51" s="504" t="s">
        <v>549</v>
      </c>
    </row>
    <row r="52" ht="15.75">
      <c r="A52" s="504" t="s">
        <v>550</v>
      </c>
    </row>
    <row r="53" ht="15.75">
      <c r="A53" s="504" t="s">
        <v>551</v>
      </c>
    </row>
    <row r="54" ht="15.75">
      <c r="A54" s="504" t="s">
        <v>552</v>
      </c>
    </row>
    <row r="55" ht="15.75">
      <c r="A55" s="504" t="s">
        <v>553</v>
      </c>
    </row>
    <row r="56" ht="15.75">
      <c r="A56" s="504" t="s">
        <v>554</v>
      </c>
    </row>
    <row r="57" ht="15.75">
      <c r="A57" s="504" t="s">
        <v>555</v>
      </c>
    </row>
    <row r="58" ht="15.75">
      <c r="A58" s="504" t="s">
        <v>556</v>
      </c>
    </row>
    <row r="59" ht="15.75">
      <c r="A59" s="504" t="s">
        <v>557</v>
      </c>
    </row>
    <row r="60" ht="15.75">
      <c r="A60" s="504" t="s">
        <v>558</v>
      </c>
    </row>
    <row r="61" ht="15.75">
      <c r="A61" s="504" t="s">
        <v>559</v>
      </c>
    </row>
    <row r="62" ht="15.75">
      <c r="A62" s="504" t="s">
        <v>560</v>
      </c>
    </row>
    <row r="63" ht="15.75">
      <c r="A63" s="504" t="s">
        <v>561</v>
      </c>
    </row>
    <row r="64" ht="15.75">
      <c r="A64" s="504" t="s">
        <v>562</v>
      </c>
    </row>
    <row r="65" ht="15.75">
      <c r="A65" s="504" t="s">
        <v>563</v>
      </c>
    </row>
    <row r="66" ht="15.75">
      <c r="A66" s="52" t="s">
        <v>564</v>
      </c>
    </row>
    <row r="70" ht="15.75">
      <c r="A70" s="426" t="s">
        <v>441</v>
      </c>
    </row>
    <row r="71" ht="15.75">
      <c r="A71" s="52" t="s">
        <v>442</v>
      </c>
    </row>
    <row r="72" ht="15.75">
      <c r="A72" s="52" t="s">
        <v>443</v>
      </c>
    </row>
    <row r="73" ht="15.75">
      <c r="A73" s="52" t="s">
        <v>444</v>
      </c>
    </row>
    <row r="75" ht="15.75">
      <c r="A75" s="432" t="s">
        <v>430</v>
      </c>
    </row>
    <row r="76" ht="15.75">
      <c r="A76" s="52" t="s">
        <v>440</v>
      </c>
    </row>
    <row r="78" ht="15.75">
      <c r="A78" s="426" t="s">
        <v>1041</v>
      </c>
    </row>
    <row r="79" ht="15.75">
      <c r="A79" s="429" t="s">
        <v>1042</v>
      </c>
    </row>
    <row r="80" ht="15.75">
      <c r="A80" s="429" t="s">
        <v>1043</v>
      </c>
    </row>
    <row r="81" ht="15.75">
      <c r="A81" s="429" t="s">
        <v>1044</v>
      </c>
    </row>
    <row r="82" ht="15.75">
      <c r="A82" s="52" t="s">
        <v>425</v>
      </c>
    </row>
    <row r="84" ht="15.75">
      <c r="A84" s="399" t="s">
        <v>978</v>
      </c>
    </row>
    <row r="85" ht="15.75">
      <c r="A85" s="52" t="s">
        <v>979</v>
      </c>
    </row>
    <row r="86" ht="15.75">
      <c r="A86" s="52" t="s">
        <v>980</v>
      </c>
    </row>
    <row r="87" ht="15.75">
      <c r="A87" s="52" t="s">
        <v>981</v>
      </c>
    </row>
    <row r="88" ht="15.75">
      <c r="A88" s="52" t="s">
        <v>982</v>
      </c>
    </row>
    <row r="89" ht="15.75">
      <c r="A89" s="52" t="s">
        <v>983</v>
      </c>
    </row>
    <row r="90" ht="15.75">
      <c r="A90" s="52" t="s">
        <v>1009</v>
      </c>
    </row>
    <row r="91" ht="15.75">
      <c r="A91" s="52" t="s">
        <v>1010</v>
      </c>
    </row>
    <row r="92" ht="15.75">
      <c r="A92" s="52" t="s">
        <v>1011</v>
      </c>
    </row>
    <row r="93" ht="15.75">
      <c r="A93" s="52" t="s">
        <v>1012</v>
      </c>
    </row>
    <row r="94" ht="15.75">
      <c r="A94" s="52" t="s">
        <v>1013</v>
      </c>
    </row>
    <row r="95" ht="15.75">
      <c r="A95" s="52" t="s">
        <v>1030</v>
      </c>
    </row>
    <row r="96" ht="15.75">
      <c r="A96" s="407" t="s">
        <v>1031</v>
      </c>
    </row>
    <row r="98" ht="15.75">
      <c r="A98" s="399" t="s">
        <v>973</v>
      </c>
    </row>
    <row r="99" ht="15.75">
      <c r="A99" s="52" t="s">
        <v>974</v>
      </c>
    </row>
    <row r="101" ht="15.75">
      <c r="A101" s="399" t="s">
        <v>970</v>
      </c>
    </row>
    <row r="102" ht="15.75">
      <c r="A102" s="52" t="s">
        <v>972</v>
      </c>
    </row>
    <row r="103" ht="15.75">
      <c r="A103" s="52" t="s">
        <v>971</v>
      </c>
    </row>
    <row r="105" ht="15.75">
      <c r="A105" s="399" t="s">
        <v>944</v>
      </c>
    </row>
    <row r="106" ht="15.75">
      <c r="A106" s="52" t="s">
        <v>930</v>
      </c>
    </row>
    <row r="107" ht="15.75">
      <c r="A107" s="52" t="s">
        <v>931</v>
      </c>
    </row>
    <row r="108" ht="15.75">
      <c r="A108" s="52" t="s">
        <v>932</v>
      </c>
    </row>
    <row r="109" ht="15.75">
      <c r="A109" s="52" t="s">
        <v>933</v>
      </c>
    </row>
    <row r="110" ht="15.75">
      <c r="A110" s="52" t="s">
        <v>934</v>
      </c>
    </row>
    <row r="111" ht="15.75">
      <c r="A111" s="52" t="s">
        <v>935</v>
      </c>
    </row>
    <row r="112" ht="31.5">
      <c r="A112" s="54" t="s">
        <v>936</v>
      </c>
    </row>
    <row r="113" ht="31.5">
      <c r="A113" s="54" t="s">
        <v>945</v>
      </c>
    </row>
    <row r="114" ht="15.75">
      <c r="A114" s="54" t="s">
        <v>937</v>
      </c>
    </row>
    <row r="115" ht="15.75">
      <c r="A115" s="54" t="s">
        <v>938</v>
      </c>
    </row>
    <row r="116" ht="31.5">
      <c r="A116" s="54" t="s">
        <v>939</v>
      </c>
    </row>
    <row r="117" ht="15.75">
      <c r="A117" s="52" t="s">
        <v>946</v>
      </c>
    </row>
    <row r="118" ht="31.5">
      <c r="A118" s="54" t="s">
        <v>940</v>
      </c>
    </row>
    <row r="119" ht="15.75">
      <c r="A119" s="52" t="s">
        <v>941</v>
      </c>
    </row>
    <row r="120" ht="15.75">
      <c r="A120" s="52" t="s">
        <v>942</v>
      </c>
    </row>
    <row r="121" ht="15.75">
      <c r="A121" s="52" t="s">
        <v>943</v>
      </c>
    </row>
    <row r="122" ht="15.75">
      <c r="A122" s="52" t="s">
        <v>949</v>
      </c>
    </row>
    <row r="123" ht="31.5">
      <c r="A123" s="54" t="s">
        <v>947</v>
      </c>
    </row>
    <row r="124" ht="15.75">
      <c r="A124" s="52" t="s">
        <v>948</v>
      </c>
    </row>
    <row r="126" ht="15.75">
      <c r="A126" s="399" t="s">
        <v>959</v>
      </c>
    </row>
    <row r="127" ht="15.75">
      <c r="A127" s="52" t="s">
        <v>967</v>
      </c>
    </row>
    <row r="128" ht="15.75">
      <c r="A128" s="52" t="s">
        <v>960</v>
      </c>
    </row>
    <row r="129" ht="15.75">
      <c r="A129" s="52" t="s">
        <v>961</v>
      </c>
    </row>
    <row r="130" ht="15.75">
      <c r="A130" s="52" t="s">
        <v>984</v>
      </c>
    </row>
    <row r="132" ht="15.75">
      <c r="A132" s="399" t="s">
        <v>954</v>
      </c>
    </row>
    <row r="133" ht="15.75">
      <c r="A133" s="52" t="s">
        <v>955</v>
      </c>
    </row>
    <row r="134" ht="31.5">
      <c r="A134" s="54" t="s">
        <v>956</v>
      </c>
    </row>
    <row r="135" ht="15.75">
      <c r="A135" s="52" t="s">
        <v>957</v>
      </c>
    </row>
    <row r="136" ht="15.75">
      <c r="A136" s="52" t="s">
        <v>958</v>
      </c>
    </row>
    <row r="139" ht="15.75">
      <c r="A139" s="399" t="s">
        <v>880</v>
      </c>
    </row>
    <row r="140" ht="47.25">
      <c r="A140" s="54" t="s">
        <v>900</v>
      </c>
    </row>
    <row r="141" ht="15.75">
      <c r="A141" s="52" t="s">
        <v>881</v>
      </c>
    </row>
    <row r="142" ht="15.75">
      <c r="A142" s="52" t="s">
        <v>888</v>
      </c>
    </row>
    <row r="143" ht="15.75">
      <c r="A143" s="52" t="s">
        <v>901</v>
      </c>
    </row>
    <row r="144" ht="15.75">
      <c r="A144" s="52" t="s">
        <v>882</v>
      </c>
    </row>
    <row r="145" ht="15.75">
      <c r="A145" s="52" t="s">
        <v>883</v>
      </c>
    </row>
    <row r="146" ht="15.75">
      <c r="A146" s="52" t="s">
        <v>889</v>
      </c>
    </row>
    <row r="147" ht="31.5">
      <c r="A147" s="54" t="s">
        <v>914</v>
      </c>
    </row>
    <row r="148" ht="15.75">
      <c r="A148" s="52" t="s">
        <v>624</v>
      </c>
    </row>
    <row r="149" ht="15.75">
      <c r="A149" s="52" t="s">
        <v>625</v>
      </c>
    </row>
    <row r="150" ht="15.75">
      <c r="A150" s="52" t="s">
        <v>626</v>
      </c>
    </row>
    <row r="151" ht="15.75">
      <c r="A151" s="52" t="s">
        <v>627</v>
      </c>
    </row>
    <row r="152" ht="15.75">
      <c r="A152" s="52" t="s">
        <v>628</v>
      </c>
    </row>
    <row r="153" ht="31.5">
      <c r="A153" s="54" t="s">
        <v>629</v>
      </c>
    </row>
    <row r="154" ht="15.75">
      <c r="A154" s="52" t="s">
        <v>630</v>
      </c>
    </row>
    <row r="155" ht="15.75">
      <c r="A155" s="52" t="s">
        <v>631</v>
      </c>
    </row>
    <row r="156" ht="31.5">
      <c r="A156" s="54" t="s">
        <v>632</v>
      </c>
    </row>
    <row r="157" ht="15.75">
      <c r="A157" s="52" t="s">
        <v>633</v>
      </c>
    </row>
    <row r="158" ht="15.75">
      <c r="A158" s="52" t="s">
        <v>634</v>
      </c>
    </row>
    <row r="159" ht="15.75">
      <c r="A159" s="52" t="s">
        <v>635</v>
      </c>
    </row>
    <row r="160" ht="15.75">
      <c r="A160" s="52" t="s">
        <v>636</v>
      </c>
    </row>
    <row r="161" ht="15.75">
      <c r="A161" s="52" t="s">
        <v>637</v>
      </c>
    </row>
    <row r="162" ht="15.75">
      <c r="A162" s="52" t="s">
        <v>985</v>
      </c>
    </row>
    <row r="163" ht="15.75">
      <c r="A163" s="52" t="s">
        <v>986</v>
      </c>
    </row>
    <row r="164" ht="15.75">
      <c r="A164" s="52" t="s">
        <v>902</v>
      </c>
    </row>
    <row r="165" ht="15.75">
      <c r="A165" s="52" t="s">
        <v>907</v>
      </c>
    </row>
    <row r="166" ht="15.75">
      <c r="A166" s="52" t="s">
        <v>908</v>
      </c>
    </row>
    <row r="167" ht="15.75">
      <c r="A167" s="52" t="s">
        <v>916</v>
      </c>
    </row>
    <row r="168" ht="15.75">
      <c r="A168" s="52" t="s">
        <v>917</v>
      </c>
    </row>
    <row r="169" ht="15.75">
      <c r="A169" s="52" t="s">
        <v>920</v>
      </c>
    </row>
    <row r="170" ht="15.75">
      <c r="A170" s="52" t="s">
        <v>953</v>
      </c>
    </row>
    <row r="171" ht="15.75">
      <c r="A171" s="52" t="s">
        <v>951</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74"/>
  <sheetViews>
    <sheetView zoomScale="90" zoomScaleNormal="90" zoomScalePageLayoutView="0" workbookViewId="0" topLeftCell="A7">
      <selection activeCell="F40" sqref="F40"/>
    </sheetView>
  </sheetViews>
  <sheetFormatPr defaultColWidth="8.796875" defaultRowHeight="15"/>
  <cols>
    <col min="1" max="1" width="8.8984375" style="52" customWidth="1"/>
    <col min="2" max="2" width="23.796875" style="52" customWidth="1"/>
    <col min="3" max="3" width="11.296875" style="52" customWidth="1"/>
    <col min="4" max="4" width="5.796875" style="52" customWidth="1"/>
    <col min="5" max="6" width="15.796875" style="52" customWidth="1"/>
    <col min="7" max="7" width="17.796875" style="52" customWidth="1"/>
    <col min="8" max="16384" width="8.8984375" style="52" customWidth="1"/>
  </cols>
  <sheetData>
    <row r="1" spans="2:7" ht="15.75">
      <c r="B1" s="107"/>
      <c r="C1" s="107"/>
      <c r="D1" s="107"/>
      <c r="E1" s="107"/>
      <c r="F1" s="107"/>
      <c r="G1" s="107">
        <f>inputPrYr!C5</f>
        <v>2015</v>
      </c>
    </row>
    <row r="2" spans="2:7" ht="15.75">
      <c r="B2" s="720" t="s">
        <v>741</v>
      </c>
      <c r="C2" s="720"/>
      <c r="D2" s="720"/>
      <c r="E2" s="720"/>
      <c r="F2" s="720"/>
      <c r="G2" s="720"/>
    </row>
    <row r="3" spans="2:7" ht="15.75">
      <c r="B3" s="66"/>
      <c r="C3" s="66"/>
      <c r="D3" s="66"/>
      <c r="E3" s="66"/>
      <c r="F3" s="66"/>
      <c r="G3" s="66"/>
    </row>
    <row r="4" spans="2:7" ht="15.75">
      <c r="B4" s="723" t="str">
        <f>CONCATENATE("To the Clerk of ",inputPrYr!C3,", State of Kansas")</f>
        <v>To the Clerk of Montgomery County, State of Kansas</v>
      </c>
      <c r="C4" s="724"/>
      <c r="D4" s="724"/>
      <c r="E4" s="724"/>
      <c r="F4" s="724"/>
      <c r="G4" s="724"/>
    </row>
    <row r="5" spans="2:7" ht="15.75">
      <c r="B5" s="143" t="s">
        <v>840</v>
      </c>
      <c r="C5" s="74"/>
      <c r="D5" s="74"/>
      <c r="E5" s="74"/>
      <c r="F5" s="74"/>
      <c r="G5" s="74"/>
    </row>
    <row r="6" spans="2:7" ht="15.75">
      <c r="B6" s="705" t="str">
        <f>(inputPrYr!C3)</f>
        <v>Montgomery County</v>
      </c>
      <c r="C6" s="722"/>
      <c r="D6" s="722"/>
      <c r="E6" s="722"/>
      <c r="F6" s="722"/>
      <c r="G6" s="722"/>
    </row>
    <row r="7" spans="2:7" ht="15.75">
      <c r="B7" s="143" t="s">
        <v>647</v>
      </c>
      <c r="C7" s="74"/>
      <c r="D7" s="74"/>
      <c r="E7" s="74"/>
      <c r="F7" s="74"/>
      <c r="G7" s="74"/>
    </row>
    <row r="8" spans="2:7" ht="15.75">
      <c r="B8" s="143" t="s">
        <v>648</v>
      </c>
      <c r="C8" s="74"/>
      <c r="D8" s="74"/>
      <c r="E8" s="74"/>
      <c r="F8" s="74"/>
      <c r="G8" s="74"/>
    </row>
    <row r="9" spans="2:7" ht="15.75">
      <c r="B9" s="143" t="str">
        <f>CONCATENATE("maximum expenditure for the various funds for the year ",G1,"; and")</f>
        <v>maximum expenditure for the various funds for the year 2015; and</v>
      </c>
      <c r="C9" s="74"/>
      <c r="D9" s="74"/>
      <c r="E9" s="74"/>
      <c r="F9" s="74"/>
      <c r="G9" s="74"/>
    </row>
    <row r="10" spans="2:7" ht="15.75">
      <c r="B10" s="143" t="str">
        <f>CONCATENATE("(3) the Amount(s) of ",G1-1," Ad Valorem Tax are within statutory limitations.")</f>
        <v>(3) the Amount(s) of 2014 Ad Valorem Tax are within statutory limitations.</v>
      </c>
      <c r="C10" s="74"/>
      <c r="D10" s="74"/>
      <c r="E10" s="74"/>
      <c r="F10" s="74"/>
      <c r="G10" s="74"/>
    </row>
    <row r="11" spans="2:7" ht="15.75">
      <c r="B11" s="65"/>
      <c r="C11" s="66"/>
      <c r="D11" s="66"/>
      <c r="E11" s="144"/>
      <c r="F11" s="144"/>
      <c r="G11" s="144"/>
    </row>
    <row r="12" spans="2:7" ht="15.75">
      <c r="B12" s="66"/>
      <c r="C12" s="66"/>
      <c r="D12" s="66"/>
      <c r="E12" s="145" t="str">
        <f>CONCATENATE("",G1," Adopted Budget")</f>
        <v>2015 Adopted Budget</v>
      </c>
      <c r="F12" s="146"/>
      <c r="G12" s="147"/>
    </row>
    <row r="13" spans="2:7" ht="21" customHeight="1">
      <c r="B13" s="66"/>
      <c r="C13" s="66"/>
      <c r="D13" s="148" t="s">
        <v>649</v>
      </c>
      <c r="E13" s="448" t="s">
        <v>445</v>
      </c>
      <c r="F13" s="721" t="str">
        <f>CONCATENATE("Amount of ",G1-1,"    Ad Valorem Tax")</f>
        <v>Amount of 2014    Ad Valorem Tax</v>
      </c>
      <c r="G13" s="148" t="s">
        <v>650</v>
      </c>
    </row>
    <row r="14" spans="2:7" ht="15.75">
      <c r="B14" s="150" t="s">
        <v>651</v>
      </c>
      <c r="C14" s="95"/>
      <c r="D14" s="151" t="s">
        <v>652</v>
      </c>
      <c r="E14" s="449" t="s">
        <v>446</v>
      </c>
      <c r="F14" s="713"/>
      <c r="G14" s="151" t="s">
        <v>654</v>
      </c>
    </row>
    <row r="15" spans="2:7" ht="15.75">
      <c r="B15" s="152" t="str">
        <f>CONCATENATE("Computation to Determine Limit for ",G1,"")</f>
        <v>Computation to Determine Limit for 2015</v>
      </c>
      <c r="C15" s="153"/>
      <c r="D15" s="151">
        <v>2</v>
      </c>
      <c r="E15" s="154"/>
      <c r="F15" s="154"/>
      <c r="G15" s="154"/>
    </row>
    <row r="16" spans="2:7" ht="15.75">
      <c r="B16" s="152" t="s">
        <v>14</v>
      </c>
      <c r="C16" s="153"/>
      <c r="D16" s="151">
        <v>3</v>
      </c>
      <c r="E16" s="154"/>
      <c r="F16" s="154"/>
      <c r="G16" s="154"/>
    </row>
    <row r="17" spans="2:7" ht="15.75">
      <c r="B17" s="152" t="s">
        <v>794</v>
      </c>
      <c r="C17" s="153"/>
      <c r="D17" s="151">
        <v>4</v>
      </c>
      <c r="E17" s="154"/>
      <c r="F17" s="154"/>
      <c r="G17" s="154"/>
    </row>
    <row r="18" spans="2:7" ht="15.75">
      <c r="B18" s="155" t="s">
        <v>655</v>
      </c>
      <c r="C18" s="156"/>
      <c r="D18" s="157">
        <v>5</v>
      </c>
      <c r="E18" s="158"/>
      <c r="F18" s="158"/>
      <c r="G18" s="158"/>
    </row>
    <row r="19" spans="2:7" ht="15.75">
      <c r="B19" s="152" t="s">
        <v>656</v>
      </c>
      <c r="C19" s="153"/>
      <c r="D19" s="159">
        <v>6</v>
      </c>
      <c r="E19" s="158"/>
      <c r="F19" s="158"/>
      <c r="G19" s="158"/>
    </row>
    <row r="20" spans="2:7" ht="15.75">
      <c r="B20" s="160" t="s">
        <v>657</v>
      </c>
      <c r="C20" s="161" t="s">
        <v>658</v>
      </c>
      <c r="D20" s="162"/>
      <c r="E20" s="163"/>
      <c r="F20" s="163"/>
      <c r="G20" s="163"/>
    </row>
    <row r="21" spans="2:7" ht="15.75">
      <c r="B21" s="85" t="s">
        <v>643</v>
      </c>
      <c r="C21" s="164" t="str">
        <f>inputPrYr!C16</f>
        <v>79-1946</v>
      </c>
      <c r="D21" s="157">
        <v>7</v>
      </c>
      <c r="E21" s="258">
        <f>IF(general!$E$115&lt;&gt;0,general!$E$115,"  ")</f>
        <v>8618878</v>
      </c>
      <c r="F21" s="526">
        <f>IF(general!$E$122&lt;&gt;0,general!$E$122,"  ")</f>
        <v>5551741.01</v>
      </c>
      <c r="G21" s="165" t="str">
        <f>IF(AND(general!E122=0,$G$60&gt;=0)," ",IF(AND(F21&gt;0,$G$60=0)," ",IF(AND(F21&gt;0,$G$60&gt;0),ROUND(F21/$G$60*1000,3))))</f>
        <v> </v>
      </c>
    </row>
    <row r="22" spans="2:7" ht="15.75">
      <c r="B22" s="85" t="s">
        <v>694</v>
      </c>
      <c r="C22" s="164" t="s">
        <v>832</v>
      </c>
      <c r="D22" s="157">
        <f>IF(DebtService!C59&gt;0,DebtService!C59,"")</f>
        <v>8</v>
      </c>
      <c r="E22" s="258" t="str">
        <f>IF(DebtService!$E$50&lt;&gt;0,DebtService!$E$50,"  ")</f>
        <v>  </v>
      </c>
      <c r="F22" s="526" t="str">
        <f>IF(DebtService!$E$57&lt;&gt;0,DebtService!$E$57,"  ")</f>
        <v>  </v>
      </c>
      <c r="G22" s="165" t="str">
        <f>IF(AND(DebtService!E57=0,$G$60&gt;=0)," ",IF(AND(F22&gt;0,$G$60=0)," ",IF(AND(F22&gt;0,$G$60&gt;0),ROUND(F22/$G$60*1000,3))))</f>
        <v> </v>
      </c>
    </row>
    <row r="23" spans="2:7" ht="15.75">
      <c r="B23" s="85" t="s">
        <v>698</v>
      </c>
      <c r="C23" s="164" t="s">
        <v>793</v>
      </c>
      <c r="D23" s="157">
        <f>IF(road!C57&gt;0,road!C57,"")</f>
        <v>9</v>
      </c>
      <c r="E23" s="258">
        <f>IF(road!$E$111&lt;&gt;0,road!$E$111,"  ")</f>
        <v>5422976</v>
      </c>
      <c r="F23" s="526">
        <f>IF(road!$E$118&lt;&gt;0,road!$E$118,"  ")</f>
        <v>2973371.64</v>
      </c>
      <c r="G23" s="165" t="str">
        <f>IF(AND(road!E118=0,$G$60&gt;=0)," ",IF(AND(F23&gt;0,$G$60=0)," ",IF(AND(F23&gt;0,$G$60&gt;0),ROUND(F23/$G$60*1000,3))))</f>
        <v> </v>
      </c>
    </row>
    <row r="24" spans="2:7" ht="15.75">
      <c r="B24" s="109" t="str">
        <f>IF((inputPrYr!$B19&gt;"  "),(inputPrYr!$B19),"  ")</f>
        <v>County Health</v>
      </c>
      <c r="C24" s="164" t="str">
        <f>IF((inputPrYr!C19&gt;0),(inputPrYr!C19),"  ")</f>
        <v>79-146</v>
      </c>
      <c r="D24" s="157">
        <f>IF('levy page10'!C81&gt;0,'levy page10'!C81,"  ")</f>
        <v>10</v>
      </c>
      <c r="E24" s="258">
        <f>IF('levy page10'!$E$33&lt;&gt;0,'levy page10'!$E$33,"  ")</f>
        <v>507761</v>
      </c>
      <c r="F24" s="526" t="str">
        <f>IF('levy page10'!$E$40&lt;&gt;0,'levy page10'!$E$40,"  ")</f>
        <v>  </v>
      </c>
      <c r="G24" s="165" t="str">
        <f>IF(AND('levy page10'!E40=0,$G$60&gt;=0)," ",IF(AND(F24&gt;0,$G$60=0)," ",IF(AND(F24&gt;0,$G$60&gt;0),ROUND(F24/$G$60*1000,3))))</f>
        <v> </v>
      </c>
    </row>
    <row r="25" spans="2:7" ht="15.75">
      <c r="B25" s="109" t="str">
        <f>IF((inputPrYr!$B20&gt;"  "),(inputPrYr!$B20),"  ")</f>
        <v>Special Bridge</v>
      </c>
      <c r="C25" s="164" t="str">
        <f>IF((inputPrYr!C20&gt;0),(inputPrYr!C20),"  ")</f>
        <v>68-1135</v>
      </c>
      <c r="D25" s="157">
        <f>IF('levy page10'!C81&gt;0,'levy page10'!C81,"  ")</f>
        <v>10</v>
      </c>
      <c r="E25" s="258">
        <f>IF('levy page10'!$E$73&lt;&gt;0,'levy page10'!$E$73,"  ")</f>
        <v>886867</v>
      </c>
      <c r="F25" s="526" t="str">
        <f>IF('levy page10'!$E$80&lt;&gt;0,'levy page10'!$E$80,"  ")</f>
        <v>  </v>
      </c>
      <c r="G25" s="165" t="str">
        <f>IF(AND('levy page10'!E80=0,$G$60&gt;=0)," ",IF(AND(F25&gt;0,$G$60=0)," ",IF(AND(F25&gt;0,$G$60&gt;0),ROUND(F25/$G$60*1000,3))))</f>
        <v> </v>
      </c>
    </row>
    <row r="26" spans="2:7" ht="15.75">
      <c r="B26" s="109" t="str">
        <f>IF((inputPrYr!$B21&gt;"  "),(inputPrYr!$B21),"  ")</f>
        <v>Mental Health</v>
      </c>
      <c r="C26" s="164" t="str">
        <f>IF((inputPrYr!C21&gt;0),(inputPrYr!C21),"  ")</f>
        <v>19-4007</v>
      </c>
      <c r="D26" s="157">
        <f>IF('levy page11'!C81&gt;0,'levy page11'!C81,"  ")</f>
        <v>11</v>
      </c>
      <c r="E26" s="258">
        <f>IF('levy page11'!$E$33&lt;&gt;0,'levy page11'!$E$33,"  ")</f>
        <v>157813</v>
      </c>
      <c r="F26" s="526">
        <f>IF('levy page11'!$E$40&lt;&gt;0,'levy page11'!$E$40,"  ")</f>
        <v>89218</v>
      </c>
      <c r="G26" s="165" t="str">
        <f>IF(AND('levy page11'!E40=0,$G$60&gt;=0)," ",IF(AND(F26&gt;0,$G$60=0)," ",IF(AND(F26&gt;0,$G$60&gt;0),ROUND(F26/$G$60*1000,3))))</f>
        <v> </v>
      </c>
    </row>
    <row r="27" spans="2:7" ht="15.75">
      <c r="B27" s="109" t="str">
        <f>IF((inputPrYr!$B22&gt;"  "),(inputPrYr!$B22),"  ")</f>
        <v>Mental Retardation</v>
      </c>
      <c r="C27" s="164" t="str">
        <f>IF((inputPrYr!C22&gt;0),(inputPrYr!C22),"  ")</f>
        <v>19-4007</v>
      </c>
      <c r="D27" s="157">
        <f>IF('levy page11'!C81&gt;0,'levy page11'!C81,"  ")</f>
        <v>11</v>
      </c>
      <c r="E27" s="258">
        <f>IF('levy page11'!$E$73&lt;&gt;0,'levy page11'!$E$73,"  ")</f>
        <v>87776</v>
      </c>
      <c r="F27" s="526">
        <f>IF('levy page11'!$E$80&lt;&gt;0,'levy page11'!$E$80,"  ")</f>
        <v>50849</v>
      </c>
      <c r="G27" s="165" t="str">
        <f>IF(AND('levy page11'!E80=0,$G$60&gt;=0)," ",IF(AND(F27&gt;0,$G$60=0)," ",IF(AND(F27&gt;0,$G$60&gt;0),ROUND(F27/$G$60*1000,3))))</f>
        <v> </v>
      </c>
    </row>
    <row r="28" spans="2:7" ht="15.75">
      <c r="B28" s="109" t="str">
        <f>IF((inputPrYr!$B23&gt;"  "),(inputPrYr!$B23),"  ")</f>
        <v>Council on Aging</v>
      </c>
      <c r="C28" s="164" t="str">
        <f>IF((inputPrYr!C23&gt;0),(inputPrYr!C23),"  ")</f>
        <v>12-1680</v>
      </c>
      <c r="D28" s="157">
        <f>IF('levy page12'!C81&gt;0,'levy page12'!C81,"  ")</f>
        <v>12</v>
      </c>
      <c r="E28" s="258">
        <f>IF('levy page12'!$E$33&lt;&gt;0,'levy page12'!$E$33,"  ")</f>
        <v>262097</v>
      </c>
      <c r="F28" s="526">
        <f>IF('levy page12'!$E$40&lt;&gt;0,'levy page12'!$E$40,"  ")</f>
        <v>143503</v>
      </c>
      <c r="G28" s="165" t="str">
        <f>IF(AND('levy page12'!E40=0,$G$60&gt;=0)," ",IF(AND(F28&gt;0,$G$60=0)," ",IF(AND(F28&gt;0,$G$60&gt;0),ROUND(F28/$G$60*1000,3))))</f>
        <v> </v>
      </c>
    </row>
    <row r="29" spans="2:7" ht="15.75">
      <c r="B29" s="109" t="str">
        <f>IF((inputPrYr!$B24&gt;"  "),(inputPrYr!$B24),"  ")</f>
        <v>Employee Benefits</v>
      </c>
      <c r="C29" s="164" t="str">
        <f>IF((inputPrYr!C24&gt;0),(inputPrYr!C24),"  ")</f>
        <v>12-16-120</v>
      </c>
      <c r="D29" s="157">
        <f>IF('levy page12'!C81&gt;0,'levy page12'!C81,"  ")</f>
        <v>12</v>
      </c>
      <c r="E29" s="258">
        <f>IF('levy page12'!$E$73&lt;&gt;0,'levy page12'!$E$73,"  ")</f>
        <v>4774508</v>
      </c>
      <c r="F29" s="526">
        <f>IF('levy page12'!$E$80&lt;&gt;0,'levy page12'!$E$80,"  ")</f>
        <v>2704954</v>
      </c>
      <c r="G29" s="165" t="str">
        <f>IF(AND('levy page12'!E80=0,$G$60&gt;=0)," ",IF(AND(F29&gt;0,$G$60=0)," ",IF(AND(F29&gt;0,$G$60&gt;0),ROUND(F29/$G$60*1000,3))))</f>
        <v> </v>
      </c>
    </row>
    <row r="30" spans="2:7" ht="15.75">
      <c r="B30" s="109" t="str">
        <f>IF((inputPrYr!$B25&gt;"  "),(inputPrYr!$B25),"  ")</f>
        <v>Noxious Weed</v>
      </c>
      <c r="C30" s="164" t="str">
        <f>IF((inputPrYr!C25&gt;0),(inputPrYr!C25),"  ")</f>
        <v>02-1318</v>
      </c>
      <c r="D30" s="157">
        <f>IF('levy page13'!C81&gt;0,'levy page13'!C81,"  ")</f>
        <v>13</v>
      </c>
      <c r="E30" s="258">
        <f>IF('levy page13'!$E$33&lt;&gt;0,'levy page13'!$E$33,"  ")</f>
        <v>227339</v>
      </c>
      <c r="F30" s="526">
        <f>IF('levy page13'!$E$40&lt;&gt;0,'levy page13'!$E$40,"  ")</f>
        <v>87302</v>
      </c>
      <c r="G30" s="165" t="str">
        <f>IF(AND('levy page13'!E40=0,$G$60&gt;=0)," ",IF(AND(F30&gt;0,$G$60=0)," ",IF(AND(F30&gt;0,$G$60&gt;0),ROUND(F30/$G$60*1000,3))))</f>
        <v> </v>
      </c>
    </row>
    <row r="31" spans="2:7" ht="15.75">
      <c r="B31" s="109" t="str">
        <f>IF((inputPrYr!$B26&gt;"  "),(inputPrYr!$B26),"  ")</f>
        <v>.Ambulance Services</v>
      </c>
      <c r="C31" s="164" t="str">
        <f>IF((inputPrYr!C26&gt;0),(inputPrYr!C26),"  ")</f>
        <v>65-6113</v>
      </c>
      <c r="D31" s="157">
        <f>IF('levy page13'!C81&gt;0,'levy page13'!C81,"  ")</f>
        <v>13</v>
      </c>
      <c r="E31" s="258">
        <f>IF('levy page13'!$E$73&lt;&gt;0,'levy page13'!$E$73,"  ")</f>
        <v>601527</v>
      </c>
      <c r="F31" s="526">
        <f>IF('levy page13'!$E$80&lt;&gt;0,'levy page13'!$E$80,"  ")</f>
        <v>438577</v>
      </c>
      <c r="G31" s="165" t="str">
        <f>IF(AND('levy page13'!E80=0,$G$60&gt;=0)," ",IF(AND(F31&gt;0,$G$60=0)," ",IF(AND(F31&gt;0,$G$60&gt;0),ROUND(F31/$G$60*1000,3))))</f>
        <v> </v>
      </c>
    </row>
    <row r="32" spans="2:7" ht="15.75">
      <c r="B32" s="109" t="str">
        <f>IF((inputPrYr!$B27&gt;"  "),(inputPrYr!$B27),"  ")</f>
        <v>Economic Development</v>
      </c>
      <c r="C32" s="164" t="str">
        <f>IF((inputPrYr!C27&gt;0),(inputPrYr!C27),"  ")</f>
        <v>19-4102</v>
      </c>
      <c r="D32" s="157">
        <f>IF('levy page14'!C81&gt;0,'levy page14'!C81,"  ")</f>
        <v>14</v>
      </c>
      <c r="E32" s="258">
        <f>IF('levy page14'!$E$33&lt;&gt;0,'levy page14'!$E$33,"  ")</f>
        <v>124265</v>
      </c>
      <c r="F32" s="526">
        <f>IF('levy page14'!$E$40&lt;&gt;0,'levy page14'!$E$40,"  ")</f>
        <v>74554</v>
      </c>
      <c r="G32" s="165" t="str">
        <f>IF(AND('levy page14'!E40=0,$G$60&gt;=0)," ",IF(AND(F32&gt;0,$G$60=0)," ",IF(AND(F32&gt;0,$G$60&gt;0),ROUND(F32/$G$60*1000,3))))</f>
        <v> </v>
      </c>
    </row>
    <row r="33" spans="2:7" ht="15.75">
      <c r="B33" s="109" t="str">
        <f>IF((inputPrYr!$B28&gt;"  "),(inputPrYr!$B28),"  ")</f>
        <v>Special Liability</v>
      </c>
      <c r="C33" s="164" t="str">
        <f>IF((inputPrYr!C28&gt;0),(inputPrYr!C28),"  ")</f>
        <v>75-6110</v>
      </c>
      <c r="D33" s="157">
        <f>IF('levy page14'!C81&gt;0,'levy page14'!C81,"  ")</f>
        <v>14</v>
      </c>
      <c r="E33" s="258">
        <f>IF('levy page14'!$E$73&lt;&gt;0,'levy page14'!$E$73,"  ")</f>
        <v>24504</v>
      </c>
      <c r="F33" s="526">
        <f>IF('levy page14'!$E$80&lt;&gt;0,'levy page14'!$E$80,"  ")</f>
        <v>17055</v>
      </c>
      <c r="G33" s="165" t="str">
        <f>IF(AND('levy page14'!E80=0,$G$60&gt;=0)," ",IF(AND(F33&gt;0,$G$60=0)," ",IF(AND(F33&gt;0,$G$60&gt;0),ROUND(F33/$G$60*1000,3))))</f>
        <v> </v>
      </c>
    </row>
    <row r="34" spans="2:7" ht="15.75">
      <c r="B34" s="109" t="str">
        <f>IF((inputPrYr!$B29&gt;"  "),(inputPrYr!$B29),"  ")</f>
        <v>No Fund Warr-B&amp;I</v>
      </c>
      <c r="C34" s="164" t="str">
        <f>IF((inputPrYr!C29&gt;0),(inputPrYr!C29),"  ")</f>
        <v>79-2938</v>
      </c>
      <c r="D34" s="157">
        <f>IF('levy page15'!C81&gt;0,'levy page15'!C81,"  ")</f>
        <v>15</v>
      </c>
      <c r="E34" s="258">
        <f>IF('levy page15'!$E$33&lt;&gt;0,'levy page15'!$E$33,"  ")</f>
        <v>16469</v>
      </c>
      <c r="F34" s="526" t="str">
        <f>IF('levy page15'!$E$40&lt;&gt;0,'levy page15'!$E$40,"  ")</f>
        <v>  </v>
      </c>
      <c r="G34" s="165" t="str">
        <f>IF(AND('levy page15'!E40=0,$G$60&gt;=0)," ",IF(AND(F34&gt;0,$G$60=0)," ",IF(AND(F34&gt;0,$G$60&gt;0),ROUND(F34/$G$60*1000,3))))</f>
        <v> </v>
      </c>
    </row>
    <row r="35" spans="2:7" ht="15.75">
      <c r="B35" s="109" t="str">
        <f>IF((inputPrYr!$B30&gt;"  "),(inputPrYr!$B30),"  ")</f>
        <v>  </v>
      </c>
      <c r="C35" s="164" t="str">
        <f>IF((inputPrYr!C30&gt;0),(inputPrYr!C30),"  ")</f>
        <v>  </v>
      </c>
      <c r="D35" s="157">
        <f>IF('levy page15'!C81&gt;0,'levy page15'!C81,"  ")</f>
        <v>15</v>
      </c>
      <c r="E35" s="258" t="str">
        <f>IF('levy page15'!$E$73&lt;&gt;0,'levy page15'!$E$73,"  ")</f>
        <v>  </v>
      </c>
      <c r="F35" s="526" t="str">
        <f>IF('levy page15'!$E$80&lt;&gt;0,'levy page15'!$E$80,"  ")</f>
        <v>  </v>
      </c>
      <c r="G35" s="165" t="str">
        <f>IF(AND('levy page15'!E80=0,$G$60&gt;=0)," ",IF(AND(F35&gt;0,$G$60=0)," ",IF(AND(F35&gt;0,$G$60&gt;0),ROUND(F35/$G$60*1000,3))))</f>
        <v> </v>
      </c>
    </row>
    <row r="36" spans="2:7" ht="15.75">
      <c r="B36" s="109" t="str">
        <f>IF((inputPrYr!$B31&gt;"  "),(inputPrYr!$B31),"  ")</f>
        <v>  </v>
      </c>
      <c r="C36" s="164" t="str">
        <f>IF((inputPrYr!C31&gt;0),(inputPrYr!C31),"  ")</f>
        <v>  </v>
      </c>
      <c r="D36" s="157"/>
      <c r="E36" s="258"/>
      <c r="F36" s="526"/>
      <c r="G36" s="165"/>
    </row>
    <row r="37" spans="2:7" ht="15.75">
      <c r="B37" s="109" t="str">
        <f>IF((inputPrYr!$B32&gt;"  "),(inputPrYr!$B32),"  ")</f>
        <v>  </v>
      </c>
      <c r="C37" s="164" t="str">
        <f>IF((inputPrYr!C32&gt;0),(inputPrYr!C32),"  ")</f>
        <v>  </v>
      </c>
      <c r="D37" s="157"/>
      <c r="E37" s="258"/>
      <c r="F37" s="526"/>
      <c r="G37" s="165"/>
    </row>
    <row r="38" spans="2:7" ht="15.75">
      <c r="B38" s="109" t="str">
        <f>IF((inputPrYr!$B33&gt;"  "),(inputPrYr!$B33),"  ")</f>
        <v>  </v>
      </c>
      <c r="C38" s="164" t="str">
        <f>IF((inputPrYr!C33&gt;0),(inputPrYr!C33),"  ")</f>
        <v>  </v>
      </c>
      <c r="D38" s="157"/>
      <c r="E38" s="258"/>
      <c r="F38" s="526"/>
      <c r="G38" s="165"/>
    </row>
    <row r="39" spans="2:7" ht="15.75">
      <c r="B39" s="109" t="str">
        <f>IF((inputPrYr!$B34&gt;"  "),(inputPrYr!$B34),"  ")</f>
        <v>  </v>
      </c>
      <c r="C39" s="164" t="str">
        <f>IF((inputPrYr!C34&gt;0),(inputPrYr!C34),"  ")</f>
        <v>  </v>
      </c>
      <c r="D39" s="157"/>
      <c r="E39" s="258"/>
      <c r="F39" s="526"/>
      <c r="G39" s="165"/>
    </row>
    <row r="40" spans="2:7" ht="15.75">
      <c r="B40" s="109" t="str">
        <f>IF((inputPrYr!$B35&gt;"  "),(inputPrYr!$B35),"  ")</f>
        <v>  </v>
      </c>
      <c r="C40" s="164" t="str">
        <f>IF((inputPrYr!C35&gt;0),(inputPrYr!C35),"  ")</f>
        <v>  </v>
      </c>
      <c r="D40" s="157"/>
      <c r="E40" s="258"/>
      <c r="F40" s="526"/>
      <c r="G40" s="165"/>
    </row>
    <row r="41" spans="2:7" ht="15.75">
      <c r="B41" s="109" t="str">
        <f>IF((inputPrYr!$B36&gt;"  "),(inputPrYr!$B36),"  ")</f>
        <v>  </v>
      </c>
      <c r="C41" s="164" t="str">
        <f>IF((inputPrYr!C36&gt;0),(inputPrYr!C36),"  ")</f>
        <v>  </v>
      </c>
      <c r="D41" s="157"/>
      <c r="E41" s="258"/>
      <c r="F41" s="526"/>
      <c r="G41" s="165"/>
    </row>
    <row r="42" spans="2:7" ht="15.75">
      <c r="B42" s="109" t="str">
        <f>IF((inputPrYr!$B37&gt;"  "),(inputPrYr!$B37),"  ")</f>
        <v>  </v>
      </c>
      <c r="C42" s="164" t="str">
        <f>IF((inputPrYr!C37&gt;0),(inputPrYr!C37),"  ")</f>
        <v>  </v>
      </c>
      <c r="D42" s="157"/>
      <c r="E42" s="258"/>
      <c r="F42" s="526"/>
      <c r="G42" s="165"/>
    </row>
    <row r="43" spans="2:7" ht="15.75">
      <c r="B43" s="109" t="str">
        <f>IF((inputPrYr!$B38&gt;"  "),(inputPrYr!$B38),"  ")</f>
        <v>  </v>
      </c>
      <c r="C43" s="164" t="str">
        <f>IF((inputPrYr!C38&gt;0),(inputPrYr!C38),"  ")</f>
        <v>  </v>
      </c>
      <c r="D43" s="157"/>
      <c r="E43" s="258"/>
      <c r="F43" s="526"/>
      <c r="G43" s="165"/>
    </row>
    <row r="44" spans="2:7" ht="15.75">
      <c r="B44" s="109" t="str">
        <f>IF((inputPrYr!$B39&gt;"  "),(inputPrYr!$B39),"  ")</f>
        <v>  </v>
      </c>
      <c r="C44" s="164" t="str">
        <f>IF((inputPrYr!C39&gt;0),(inputPrYr!C39),"  ")</f>
        <v>  </v>
      </c>
      <c r="D44" s="157"/>
      <c r="E44" s="258"/>
      <c r="F44" s="526"/>
      <c r="G44" s="165"/>
    </row>
    <row r="45" spans="2:7" ht="15.75">
      <c r="B45" s="109" t="str">
        <f>IF((inputPrYr!$B40&gt;"  "),(inputPrYr!$B40),"  ")</f>
        <v>  </v>
      </c>
      <c r="C45" s="164" t="str">
        <f>IF((inputPrYr!C40&gt;0),(inputPrYr!C40),"  ")</f>
        <v>  </v>
      </c>
      <c r="D45" s="157"/>
      <c r="E45" s="258"/>
      <c r="F45" s="526"/>
      <c r="G45" s="165"/>
    </row>
    <row r="46" spans="2:7" ht="15.75">
      <c r="B46" s="166" t="str">
        <f>IF((inputPrYr!$B44&gt;"  "),(inputPrYr!$B44),"  ")</f>
        <v>Waste Disposal</v>
      </c>
      <c r="C46" s="153"/>
      <c r="D46" s="167">
        <f>IF('no levy page 16'!C65&gt;0,'no levy page 16'!C65,"  ")</f>
        <v>16</v>
      </c>
      <c r="E46" s="258">
        <f>IF('no levy page 16'!$E$28&lt;&gt;0,'no levy page 16'!$E$28,"  ")</f>
        <v>56479</v>
      </c>
      <c r="F46" s="162"/>
      <c r="G46" s="165"/>
    </row>
    <row r="47" spans="2:7" ht="15.75">
      <c r="B47" s="168" t="str">
        <f>IF((inputPrYr!$B45&gt;"  "),(inputPrYr!$B45),"  ")</f>
        <v>Tourism &amp; Convention</v>
      </c>
      <c r="C47" s="153"/>
      <c r="D47" s="159">
        <f>IF('no levy page 16'!C65&gt;0,'no levy page 16'!C65,"  ")</f>
        <v>16</v>
      </c>
      <c r="E47" s="258">
        <f>IF('no levy page 16'!$E$59&lt;&gt;0,'no levy page 16'!$E$59,"  ")</f>
        <v>375000</v>
      </c>
      <c r="F47" s="162"/>
      <c r="G47" s="165"/>
    </row>
    <row r="48" spans="2:7" ht="15.75">
      <c r="B48" s="166" t="str">
        <f>IF((inputPrYr!$B46&gt;"  "),(inputPrYr!$B46),"  ")</f>
        <v>Sp Law Enforcement</v>
      </c>
      <c r="C48" s="169"/>
      <c r="D48" s="159">
        <f>IF('no levy page17'!C65&gt;0,'no levy page17'!C65,"  ")</f>
        <v>17</v>
      </c>
      <c r="E48" s="258">
        <f>IF('no levy page17'!$E$28&lt;&gt;0,'no levy page17'!$E$28,"  ")</f>
        <v>96363</v>
      </c>
      <c r="F48" s="162"/>
      <c r="G48" s="165"/>
    </row>
    <row r="49" spans="2:7" ht="15.75">
      <c r="B49" s="166" t="str">
        <f>IF((inputPrYr!$B47&gt;"  "),(inputPrYr!$B47),"  ")</f>
        <v>Sp Parks &amp; Rec</v>
      </c>
      <c r="C49" s="156"/>
      <c r="D49" s="159">
        <f>IF('no levy page17'!C65&gt;0,'no levy page17'!C65,"  ")</f>
        <v>17</v>
      </c>
      <c r="E49" s="258">
        <f>IF('no levy page17'!$E$59&lt;&gt;0,'no levy page17'!$E$59,"  ")</f>
        <v>20000</v>
      </c>
      <c r="F49" s="162"/>
      <c r="G49" s="165"/>
    </row>
    <row r="50" spans="2:7" ht="15.75">
      <c r="B50" s="166" t="str">
        <f>IF((inputPrYr!$B48&gt;"  "),(inputPrYr!$B48),"  ")</f>
        <v>Sp Alcohol Program</v>
      </c>
      <c r="C50" s="156"/>
      <c r="D50" s="159">
        <f>IF('no levy page18'!C65&gt;0,'no levy page18'!C65,"  ")</f>
        <v>18</v>
      </c>
      <c r="E50" s="258">
        <f>IF('no levy page18'!$E$28&lt;&gt;0,'no levy page18'!$E$28,"  ")</f>
        <v>30000</v>
      </c>
      <c r="F50" s="162"/>
      <c r="G50" s="165"/>
    </row>
    <row r="51" spans="2:7" ht="15.75">
      <c r="B51" s="166" t="str">
        <f>IF((inputPrYr!$B49&gt;"  "),(inputPrYr!$B49),"  ")</f>
        <v>Sp Assmts-Co Wide</v>
      </c>
      <c r="C51" s="156"/>
      <c r="D51" s="159">
        <f>IF('no levy page18'!C65&gt;0,'no levy page18'!C65,"  ")</f>
        <v>18</v>
      </c>
      <c r="E51" s="258" t="str">
        <f>IF('no levy page18'!$E$59&lt;&gt;0,'no levy page18'!$E$59,"  ")</f>
        <v>  </v>
      </c>
      <c r="F51" s="162"/>
      <c r="G51" s="165"/>
    </row>
    <row r="52" spans="2:7" ht="15.75">
      <c r="B52" s="166" t="str">
        <f>IF((inputPrYr!$B50&gt;"  "),(inputPrYr!$B50),"  ")</f>
        <v>Emergency 911</v>
      </c>
      <c r="C52" s="156"/>
      <c r="D52" s="159">
        <f>IF('no levy page19'!C65&gt;0,'no levy page19'!C65,"  ")</f>
        <v>19</v>
      </c>
      <c r="E52" s="258">
        <f>IF('no levy page19'!$E$28&lt;&gt;0,'no levy page19'!$E$28,"  ")</f>
        <v>3000</v>
      </c>
      <c r="F52" s="162"/>
      <c r="G52" s="165"/>
    </row>
    <row r="53" spans="2:7" ht="15.75">
      <c r="B53" s="168" t="str">
        <f>IF((inputPrYr!$B51&gt;"  "),(inputPrYr!$B51),"  ")</f>
        <v>VIN Fees</v>
      </c>
      <c r="C53" s="156"/>
      <c r="D53" s="159">
        <f>IF('no levy page19'!C65&gt;0,'no levy page19'!C65,"  ")</f>
        <v>19</v>
      </c>
      <c r="E53" s="258">
        <f>IF('no levy page19'!$E$59&lt;&gt;0,'no levy page19'!$E$59,"  ")</f>
        <v>80000</v>
      </c>
      <c r="F53" s="162"/>
      <c r="G53" s="165"/>
    </row>
    <row r="54" spans="2:7" ht="15.75">
      <c r="B54" s="166" t="str">
        <f>IF((inputPrYr!$B52&gt;"  "),(inputPrYr!$B52),"  ")</f>
        <v>Noxious Weed Cap. Outlay</v>
      </c>
      <c r="C54" s="156"/>
      <c r="D54" s="167">
        <f>IF('no levy page20'!C65&gt;0,'no levy page20'!C65,"  ")</f>
        <v>20</v>
      </c>
      <c r="E54" s="258">
        <f>IF('no levy page20'!$E$28&lt;&gt;0,'no levy page20'!$E$28,"  ")</f>
        <v>119379</v>
      </c>
      <c r="F54" s="162"/>
      <c r="G54" s="165"/>
    </row>
    <row r="55" spans="2:7" ht="15.75">
      <c r="B55" s="166" t="str">
        <f>IF((inputPrYr!$B53&gt;"  "),(inputPrYr!$B53),"  ")</f>
        <v>Risk Management Fund</v>
      </c>
      <c r="C55" s="156"/>
      <c r="D55" s="167">
        <f>IF('no levy page20'!C65&gt;0,'no levy page20'!C65,"  ")</f>
        <v>20</v>
      </c>
      <c r="E55" s="258">
        <f>IF('no levy page20'!$E$59&lt;&gt;0,'no levy page20'!$E$59,"  ")</f>
        <v>199017</v>
      </c>
      <c r="F55" s="162"/>
      <c r="G55" s="165"/>
    </row>
    <row r="56" spans="2:7" ht="15.75">
      <c r="B56" s="166" t="str">
        <f>IF((inputPrYr!$B57&gt;"  "),(NonBud!$A3),"  ")</f>
        <v>Non-Budgeted Funds</v>
      </c>
      <c r="C56" s="153"/>
      <c r="D56" s="167">
        <f>IF(NonBud!F33&gt;0,NonBud!F33,"  ")</f>
        <v>23</v>
      </c>
      <c r="E56" s="258"/>
      <c r="F56" s="162"/>
      <c r="G56" s="165"/>
    </row>
    <row r="57" spans="2:7" ht="16.5" thickBot="1">
      <c r="B57" s="170" t="s">
        <v>671</v>
      </c>
      <c r="C57" s="169"/>
      <c r="D57" s="171" t="s">
        <v>660</v>
      </c>
      <c r="E57" s="690">
        <f>SUM(E21:E56)</f>
        <v>22692018</v>
      </c>
      <c r="F57" s="690">
        <f>SUM(F21:F56)</f>
        <v>12131124.65</v>
      </c>
      <c r="G57" s="173">
        <f>IF(SUM(G21:G56)=0,"",SUM(G21:G56))</f>
      </c>
    </row>
    <row r="58" spans="2:7" ht="16.5" thickTop="1">
      <c r="B58" s="174" t="s">
        <v>890</v>
      </c>
      <c r="C58" s="153"/>
      <c r="D58" s="159">
        <f>summ!E68</f>
        <v>25</v>
      </c>
      <c r="E58" s="175"/>
      <c r="F58" s="175"/>
      <c r="G58" s="176"/>
    </row>
    <row r="59" spans="2:7" ht="15.75">
      <c r="B59" s="152" t="s">
        <v>919</v>
      </c>
      <c r="C59" s="153"/>
      <c r="D59" s="159" t="str">
        <f>IF(summ2!F42&gt;0,summ2!F42,"")</f>
        <v>25a</v>
      </c>
      <c r="E59" s="107"/>
      <c r="F59" s="66"/>
      <c r="G59" s="177" t="s">
        <v>824</v>
      </c>
    </row>
    <row r="60" spans="2:7" ht="15.75">
      <c r="B60" s="726" t="s">
        <v>910</v>
      </c>
      <c r="C60" s="727"/>
      <c r="D60" s="157">
        <f>IF(Nhood!C52&gt;0,Nhood!C52,"")</f>
        <v>26</v>
      </c>
      <c r="E60" s="178" t="s">
        <v>894</v>
      </c>
      <c r="F60" s="179" t="str">
        <f>IF(F57&gt;computation!J35,"Yes","No")</f>
        <v>Yes</v>
      </c>
      <c r="G60" s="180"/>
    </row>
    <row r="61" spans="2:7" ht="15.75">
      <c r="B61" s="152" t="s">
        <v>893</v>
      </c>
      <c r="C61" s="181"/>
      <c r="D61" s="157">
        <f>IF(Resolution!E55&gt;0,Resolution!E55,"")</f>
        <v>27</v>
      </c>
      <c r="E61" s="107"/>
      <c r="F61" s="68"/>
      <c r="G61" s="725" t="str">
        <f>CONCATENATE("November 1, ",G1-1," Total Assessed Valuation")</f>
        <v>November 1, 2014 Total Assessed Valuation</v>
      </c>
    </row>
    <row r="62" spans="2:7" ht="15.75">
      <c r="B62" s="72" t="s">
        <v>661</v>
      </c>
      <c r="C62" s="68"/>
      <c r="D62" s="72"/>
      <c r="E62" s="68"/>
      <c r="F62" s="66"/>
      <c r="G62" s="699"/>
    </row>
    <row r="63" spans="2:7" ht="15.75">
      <c r="B63" s="182"/>
      <c r="C63" s="68"/>
      <c r="D63" s="72"/>
      <c r="E63" s="68"/>
      <c r="F63" s="66"/>
      <c r="G63" s="68"/>
    </row>
    <row r="64" spans="2:7" ht="15.75">
      <c r="B64" s="72" t="s">
        <v>823</v>
      </c>
      <c r="C64" s="66"/>
      <c r="D64" s="68"/>
      <c r="E64" s="68"/>
      <c r="F64" s="443"/>
      <c r="G64" s="443"/>
    </row>
    <row r="65" spans="2:7" ht="15.75">
      <c r="B65" s="182"/>
      <c r="C65" s="106"/>
      <c r="D65" s="68" t="s">
        <v>589</v>
      </c>
      <c r="E65" s="68"/>
      <c r="F65" s="68"/>
      <c r="G65" s="68"/>
    </row>
    <row r="66" spans="2:7" ht="15.75">
      <c r="B66" s="183"/>
      <c r="C66" s="66"/>
      <c r="D66" s="68"/>
      <c r="E66" s="68"/>
      <c r="F66" s="609"/>
      <c r="G66" s="609"/>
    </row>
    <row r="67" spans="2:7" ht="15.75">
      <c r="B67" s="66" t="s">
        <v>588</v>
      </c>
      <c r="C67" s="184"/>
      <c r="D67" s="68" t="s">
        <v>589</v>
      </c>
      <c r="E67" s="68"/>
      <c r="F67" s="68"/>
      <c r="G67" s="68"/>
    </row>
    <row r="68" spans="2:7" ht="15.75">
      <c r="B68" s="183"/>
      <c r="C68" s="66"/>
      <c r="D68" s="68"/>
      <c r="E68" s="68"/>
      <c r="F68" s="609"/>
      <c r="G68" s="608"/>
    </row>
    <row r="69" spans="2:7" ht="15.75">
      <c r="B69" s="444" t="s">
        <v>891</v>
      </c>
      <c r="C69" s="185">
        <f>G1-1</f>
        <v>2014</v>
      </c>
      <c r="D69" s="68" t="s">
        <v>589</v>
      </c>
      <c r="E69" s="68"/>
      <c r="F69" s="68"/>
      <c r="G69" s="68"/>
    </row>
    <row r="70" spans="2:7" ht="15.75">
      <c r="B70" s="447"/>
      <c r="C70" s="66"/>
      <c r="D70" s="68"/>
      <c r="E70" s="68"/>
      <c r="F70" s="68"/>
      <c r="G70" s="68"/>
    </row>
    <row r="71" spans="2:7" ht="15.75">
      <c r="B71" s="445"/>
      <c r="C71" s="66"/>
      <c r="D71" s="68" t="s">
        <v>589</v>
      </c>
      <c r="E71" s="68"/>
      <c r="F71" s="68"/>
      <c r="G71" s="68"/>
    </row>
    <row r="72" spans="2:7" ht="15.75">
      <c r="B72" s="446" t="s">
        <v>663</v>
      </c>
      <c r="C72" s="66"/>
      <c r="D72" s="723" t="s">
        <v>662</v>
      </c>
      <c r="E72" s="728"/>
      <c r="F72" s="728"/>
      <c r="G72" s="728"/>
    </row>
    <row r="73" spans="2:7" ht="15.75">
      <c r="B73" s="719"/>
      <c r="C73" s="719"/>
      <c r="D73" s="719"/>
      <c r="E73" s="719"/>
      <c r="F73" s="719"/>
      <c r="G73" s="719"/>
    </row>
    <row r="74" spans="4:7" ht="15.75">
      <c r="D74" s="123"/>
      <c r="F74" s="123"/>
      <c r="G74" s="123"/>
    </row>
  </sheetData>
  <sheetProtection sheet="1"/>
  <mergeCells count="8">
    <mergeCell ref="B73:G73"/>
    <mergeCell ref="B2:G2"/>
    <mergeCell ref="F13:F14"/>
    <mergeCell ref="B6:G6"/>
    <mergeCell ref="B4:G4"/>
    <mergeCell ref="G61:G62"/>
    <mergeCell ref="B60:C60"/>
    <mergeCell ref="D72:G72"/>
  </mergeCells>
  <printOptions/>
  <pageMargins left="0.5" right="0.5" top="0.47" bottom="0.23" header="0.25" footer="0"/>
  <pageSetup blackAndWhite="1" fitToHeight="1" fitToWidth="1" horizontalDpi="120" verticalDpi="120" orientation="portrait" scale="62" r:id="rId1"/>
  <headerFooter alignWithMargins="0">
    <oddHeader>&amp;RState of Kansas
County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tabSelected="1" zoomScalePageLayoutView="0" workbookViewId="0" topLeftCell="A1">
      <selection activeCell="D26" sqref="D26"/>
    </sheetView>
  </sheetViews>
  <sheetFormatPr defaultColWidth="8.796875" defaultRowHeight="15"/>
  <cols>
    <col min="1" max="1" width="20.796875" style="52" customWidth="1"/>
    <col min="2" max="2" width="9.796875" style="52" customWidth="1"/>
    <col min="3" max="3" width="5.796875" style="52" customWidth="1"/>
    <col min="4" max="7" width="12.796875" style="52" customWidth="1"/>
    <col min="8" max="16384" width="8.8984375" style="52" customWidth="1"/>
  </cols>
  <sheetData>
    <row r="1" spans="1:7" ht="15.75">
      <c r="A1" s="187" t="str">
        <f>inputPrYr!C3</f>
        <v>Montgomery County</v>
      </c>
      <c r="B1" s="107"/>
      <c r="C1" s="107"/>
      <c r="D1" s="107"/>
      <c r="E1" s="107"/>
      <c r="F1" s="107"/>
      <c r="G1" s="107">
        <f>inputPrYr!C5</f>
        <v>2015</v>
      </c>
    </row>
    <row r="2" spans="1:7" ht="15.75">
      <c r="A2" s="720" t="s">
        <v>879</v>
      </c>
      <c r="B2" s="724"/>
      <c r="C2" s="724"/>
      <c r="D2" s="724"/>
      <c r="E2" s="724"/>
      <c r="F2" s="724"/>
      <c r="G2" s="724"/>
    </row>
    <row r="3" spans="1:7" ht="15.75">
      <c r="A3" s="143"/>
      <c r="B3" s="74"/>
      <c r="C3" s="74"/>
      <c r="D3" s="74"/>
      <c r="E3" s="74"/>
      <c r="F3" s="74"/>
      <c r="G3" s="74"/>
    </row>
    <row r="4" spans="1:7" ht="15.75">
      <c r="A4" s="143"/>
      <c r="B4" s="74"/>
      <c r="C4" s="74"/>
      <c r="D4" s="143"/>
      <c r="E4" s="143"/>
      <c r="F4" s="143"/>
      <c r="G4" s="143"/>
    </row>
    <row r="5" spans="1:7" ht="15.75">
      <c r="A5" s="66"/>
      <c r="B5" s="66"/>
      <c r="C5" s="66"/>
      <c r="D5" s="145" t="str">
        <f>CONCATENATE("",G1," Adopted Budget")</f>
        <v>2015 Adopted Budget</v>
      </c>
      <c r="E5" s="146"/>
      <c r="F5" s="146"/>
      <c r="G5" s="147"/>
    </row>
    <row r="6" spans="1:7" ht="21" customHeight="1">
      <c r="A6" s="66"/>
      <c r="B6" s="66"/>
      <c r="C6" s="148" t="s">
        <v>649</v>
      </c>
      <c r="D6" s="154" t="s">
        <v>445</v>
      </c>
      <c r="E6" s="721" t="str">
        <f>CONCATENATE("Amount of ",G1-1,"      Ad Valorem Tax")</f>
        <v>Amount of 2014      Ad Valorem Tax</v>
      </c>
      <c r="F6" s="149" t="s">
        <v>876</v>
      </c>
      <c r="G6" s="148" t="s">
        <v>650</v>
      </c>
    </row>
    <row r="7" spans="1:7" ht="15.75">
      <c r="A7" s="150" t="s">
        <v>877</v>
      </c>
      <c r="B7" s="95"/>
      <c r="C7" s="151" t="s">
        <v>652</v>
      </c>
      <c r="D7" s="151" t="s">
        <v>446</v>
      </c>
      <c r="E7" s="713"/>
      <c r="F7" s="188" t="s">
        <v>852</v>
      </c>
      <c r="G7" s="151" t="s">
        <v>654</v>
      </c>
    </row>
    <row r="8" spans="1:7" ht="15.75">
      <c r="A8" s="189" t="s">
        <v>878</v>
      </c>
      <c r="B8" s="190" t="s">
        <v>658</v>
      </c>
      <c r="C8" s="162"/>
      <c r="D8" s="162"/>
      <c r="E8" s="162"/>
      <c r="F8" s="162"/>
      <c r="G8" s="162"/>
    </row>
    <row r="9" spans="1:7" ht="15.75">
      <c r="A9" s="191" t="s">
        <v>132</v>
      </c>
      <c r="B9" s="192" t="s">
        <v>143</v>
      </c>
      <c r="C9" s="192"/>
      <c r="D9" s="192">
        <v>13316</v>
      </c>
      <c r="E9" s="192">
        <v>0</v>
      </c>
      <c r="F9" s="192"/>
      <c r="G9" s="165" t="b">
        <f>IF(AND(D9=0,F9&gt;=0)," ",IF(AND(E9&gt;0,F9=0)," ",IF(AND(E9&gt;0,F9&gt;0),ROUND(E9/F9*1000,3))))</f>
        <v>0</v>
      </c>
    </row>
    <row r="10" spans="1:7" ht="15.75">
      <c r="A10" s="128" t="s">
        <v>133</v>
      </c>
      <c r="B10" s="192" t="s">
        <v>143</v>
      </c>
      <c r="C10" s="192"/>
      <c r="D10" s="192">
        <v>308641</v>
      </c>
      <c r="E10" s="192">
        <v>0</v>
      </c>
      <c r="F10" s="192"/>
      <c r="G10" s="165" t="b">
        <f aca="true" t="shared" si="0" ref="G10:G37">IF(AND(D10=0,F10&gt;=0)," ",IF(AND(E10&gt;0,F10=0)," ",IF(AND(E10&gt;0,F10&gt;0),ROUND(E10/F10*1000,3))))</f>
        <v>0</v>
      </c>
    </row>
    <row r="11" spans="1:7" ht="15.75">
      <c r="A11" s="128" t="s">
        <v>134</v>
      </c>
      <c r="B11" s="192" t="s">
        <v>144</v>
      </c>
      <c r="C11" s="192"/>
      <c r="D11" s="192">
        <v>3242</v>
      </c>
      <c r="E11" s="192">
        <v>0</v>
      </c>
      <c r="F11" s="192"/>
      <c r="G11" s="165" t="b">
        <f t="shared" si="0"/>
        <v>0</v>
      </c>
    </row>
    <row r="12" spans="1:7" ht="15.75">
      <c r="A12" s="128" t="s">
        <v>135</v>
      </c>
      <c r="B12" s="192" t="s">
        <v>144</v>
      </c>
      <c r="C12" s="192"/>
      <c r="D12" s="192">
        <v>1000</v>
      </c>
      <c r="E12" s="192">
        <v>0</v>
      </c>
      <c r="F12" s="192"/>
      <c r="G12" s="165" t="b">
        <f t="shared" si="0"/>
        <v>0</v>
      </c>
    </row>
    <row r="13" spans="1:7" ht="15.75">
      <c r="A13" s="128"/>
      <c r="B13" s="192"/>
      <c r="C13" s="192"/>
      <c r="D13" s="192"/>
      <c r="E13" s="192"/>
      <c r="F13" s="192"/>
      <c r="G13" s="165" t="str">
        <f t="shared" si="0"/>
        <v> </v>
      </c>
    </row>
    <row r="14" spans="1:7" ht="15.75">
      <c r="A14" s="128" t="s">
        <v>136</v>
      </c>
      <c r="B14" s="192"/>
      <c r="C14" s="192"/>
      <c r="D14" s="192"/>
      <c r="E14" s="192"/>
      <c r="F14" s="192"/>
      <c r="G14" s="165" t="str">
        <f t="shared" si="0"/>
        <v> </v>
      </c>
    </row>
    <row r="15" spans="1:7" ht="15.75">
      <c r="A15" s="128" t="s">
        <v>137</v>
      </c>
      <c r="B15" s="192" t="s">
        <v>145</v>
      </c>
      <c r="C15" s="192"/>
      <c r="D15" s="192">
        <v>371355</v>
      </c>
      <c r="E15" s="192">
        <v>271447</v>
      </c>
      <c r="F15" s="192"/>
      <c r="G15" s="165" t="str">
        <f t="shared" si="0"/>
        <v> </v>
      </c>
    </row>
    <row r="16" spans="1:7" ht="15.75">
      <c r="A16" s="128" t="s">
        <v>138</v>
      </c>
      <c r="B16" s="192" t="s">
        <v>146</v>
      </c>
      <c r="C16" s="192"/>
      <c r="D16" s="192">
        <v>30420</v>
      </c>
      <c r="E16" s="192">
        <v>0</v>
      </c>
      <c r="F16" s="192"/>
      <c r="G16" s="165" t="b">
        <f t="shared" si="0"/>
        <v>0</v>
      </c>
    </row>
    <row r="17" spans="1:7" ht="15.75">
      <c r="A17" s="128" t="s">
        <v>139</v>
      </c>
      <c r="B17" s="192" t="s">
        <v>1088</v>
      </c>
      <c r="C17" s="192"/>
      <c r="D17" s="192">
        <v>67048</v>
      </c>
      <c r="E17" s="192">
        <v>0</v>
      </c>
      <c r="F17" s="192"/>
      <c r="G17" s="165" t="b">
        <f t="shared" si="0"/>
        <v>0</v>
      </c>
    </row>
    <row r="18" spans="1:7" ht="15.75">
      <c r="A18" s="128" t="s">
        <v>1089</v>
      </c>
      <c r="B18" s="192"/>
      <c r="C18" s="192"/>
      <c r="D18" s="192">
        <v>468823</v>
      </c>
      <c r="E18" s="192">
        <v>271447</v>
      </c>
      <c r="F18" s="192"/>
      <c r="G18" s="165" t="str">
        <f t="shared" si="0"/>
        <v> </v>
      </c>
    </row>
    <row r="19" spans="1:7" ht="15.75">
      <c r="A19" s="128" t="s">
        <v>140</v>
      </c>
      <c r="B19" s="192"/>
      <c r="C19" s="192"/>
      <c r="D19" s="192"/>
      <c r="E19" s="192"/>
      <c r="F19" s="192"/>
      <c r="G19" s="165" t="str">
        <f t="shared" si="0"/>
        <v> </v>
      </c>
    </row>
    <row r="20" spans="1:7" ht="15.75">
      <c r="A20" s="128" t="s">
        <v>142</v>
      </c>
      <c r="B20" s="192"/>
      <c r="C20" s="192"/>
      <c r="D20" s="192"/>
      <c r="E20" s="192"/>
      <c r="F20" s="192"/>
      <c r="G20" s="165" t="str">
        <f t="shared" si="0"/>
        <v> </v>
      </c>
    </row>
    <row r="21" spans="1:7" ht="15.75">
      <c r="A21" s="128" t="s">
        <v>147</v>
      </c>
      <c r="B21" s="192" t="s">
        <v>148</v>
      </c>
      <c r="C21" s="192"/>
      <c r="D21" s="192">
        <v>15500</v>
      </c>
      <c r="E21" s="192">
        <v>6763</v>
      </c>
      <c r="F21" s="192"/>
      <c r="G21" s="165" t="str">
        <f t="shared" si="0"/>
        <v> </v>
      </c>
    </row>
    <row r="22" spans="1:7" ht="15.75">
      <c r="A22" s="128" t="s">
        <v>149</v>
      </c>
      <c r="B22" s="192" t="s">
        <v>148</v>
      </c>
      <c r="C22" s="192"/>
      <c r="D22" s="192">
        <v>10410</v>
      </c>
      <c r="E22" s="192">
        <v>3990</v>
      </c>
      <c r="F22" s="192"/>
      <c r="G22" s="165" t="str">
        <f t="shared" si="0"/>
        <v> </v>
      </c>
    </row>
    <row r="23" spans="1:7" ht="15.75">
      <c r="A23" s="128" t="s">
        <v>150</v>
      </c>
      <c r="B23" s="192" t="s">
        <v>148</v>
      </c>
      <c r="C23" s="192"/>
      <c r="D23" s="192">
        <v>10000</v>
      </c>
      <c r="E23" s="192">
        <v>8705</v>
      </c>
      <c r="F23" s="192"/>
      <c r="G23" s="165" t="str">
        <f t="shared" si="0"/>
        <v> </v>
      </c>
    </row>
    <row r="24" spans="1:7" ht="15.75">
      <c r="A24" s="128" t="s">
        <v>151</v>
      </c>
      <c r="B24" s="192" t="s">
        <v>148</v>
      </c>
      <c r="C24" s="192"/>
      <c r="D24" s="192">
        <v>11000</v>
      </c>
      <c r="E24" s="192">
        <v>1196</v>
      </c>
      <c r="F24" s="192"/>
      <c r="G24" s="165" t="str">
        <f>IF(AND(D24=0,F24&gt;=0)," ",IF(AND(E24&gt;0,F24=0)," ",IF(AND(E24&gt;0,F24&gt;0),ROUND(E24/F24*1000,3))))</f>
        <v> </v>
      </c>
    </row>
    <row r="25" spans="1:7" ht="15.75">
      <c r="A25" s="128" t="s">
        <v>152</v>
      </c>
      <c r="B25" s="192" t="s">
        <v>148</v>
      </c>
      <c r="C25" s="192"/>
      <c r="D25" s="192">
        <v>43000</v>
      </c>
      <c r="E25" s="192">
        <v>5111</v>
      </c>
      <c r="F25" s="192"/>
      <c r="G25" s="165" t="str">
        <f>IF(AND(D25=0,F25&gt;=0)," ",IF(AND(E25&gt;0,F25=0)," ",IF(AND(E25&gt;0,F25&gt;0),ROUND(E25/F25*1000,3))))</f>
        <v> </v>
      </c>
    </row>
    <row r="26" spans="1:7" ht="15.75">
      <c r="A26" s="128" t="s">
        <v>153</v>
      </c>
      <c r="B26" s="192" t="s">
        <v>148</v>
      </c>
      <c r="C26" s="192"/>
      <c r="D26" s="192">
        <v>8000</v>
      </c>
      <c r="E26" s="192">
        <v>4073</v>
      </c>
      <c r="F26" s="192"/>
      <c r="G26" s="165" t="str">
        <f>IF(AND(D26=0,F26&gt;=0)," ",IF(AND(E26&gt;0,F26=0)," ",IF(AND(E26&gt;0,F26&gt;0),ROUND(E26/F26*1000,3))))</f>
        <v> </v>
      </c>
    </row>
    <row r="27" spans="1:7" ht="15.75">
      <c r="A27" s="128" t="s">
        <v>154</v>
      </c>
      <c r="B27" s="192" t="s">
        <v>148</v>
      </c>
      <c r="C27" s="192"/>
      <c r="D27" s="192">
        <v>10750</v>
      </c>
      <c r="E27" s="390">
        <v>7373</v>
      </c>
      <c r="F27" s="192"/>
      <c r="G27" s="165" t="str">
        <f>IF(AND(D27=0,F27&gt;=0)," ",IF(AND(E27&gt;0,F27=0)," ",IF(AND(E27&gt;0,F27&gt;0),ROUND(E27/F27*1000,3))))</f>
        <v> </v>
      </c>
    </row>
    <row r="28" spans="1:7" ht="15.75">
      <c r="A28" s="128" t="s">
        <v>155</v>
      </c>
      <c r="B28" s="192" t="s">
        <v>148</v>
      </c>
      <c r="C28" s="192"/>
      <c r="D28" s="192">
        <v>34000</v>
      </c>
      <c r="E28" s="390">
        <v>13625</v>
      </c>
      <c r="F28" s="193"/>
      <c r="G28" s="165" t="str">
        <f t="shared" si="0"/>
        <v> </v>
      </c>
    </row>
    <row r="29" spans="1:7" ht="15.75">
      <c r="A29" s="128" t="s">
        <v>156</v>
      </c>
      <c r="B29" s="192" t="s">
        <v>148</v>
      </c>
      <c r="C29" s="192"/>
      <c r="D29" s="192">
        <v>4275</v>
      </c>
      <c r="E29" s="390">
        <v>2668</v>
      </c>
      <c r="F29" s="193"/>
      <c r="G29" s="165" t="str">
        <f t="shared" si="0"/>
        <v> </v>
      </c>
    </row>
    <row r="30" spans="1:7" ht="15.75">
      <c r="A30" s="128" t="s">
        <v>157</v>
      </c>
      <c r="B30" s="192" t="s">
        <v>148</v>
      </c>
      <c r="C30" s="192"/>
      <c r="D30" s="192">
        <v>9000</v>
      </c>
      <c r="E30" s="390">
        <v>6898</v>
      </c>
      <c r="F30" s="193"/>
      <c r="G30" s="165" t="str">
        <f t="shared" si="0"/>
        <v> </v>
      </c>
    </row>
    <row r="31" spans="1:7" ht="15.75">
      <c r="A31" s="128" t="s">
        <v>158</v>
      </c>
      <c r="B31" s="192" t="s">
        <v>148</v>
      </c>
      <c r="C31" s="192"/>
      <c r="D31" s="192">
        <v>6000</v>
      </c>
      <c r="E31" s="390">
        <v>5902</v>
      </c>
      <c r="F31" s="193"/>
      <c r="G31" s="165" t="str">
        <f t="shared" si="0"/>
        <v> </v>
      </c>
    </row>
    <row r="32" spans="1:7" ht="15.75">
      <c r="A32" s="128" t="s">
        <v>159</v>
      </c>
      <c r="B32" s="192" t="s">
        <v>148</v>
      </c>
      <c r="C32" s="192"/>
      <c r="D32" s="192">
        <v>5750</v>
      </c>
      <c r="E32" s="390">
        <v>4493</v>
      </c>
      <c r="F32" s="193"/>
      <c r="G32" s="165" t="str">
        <f t="shared" si="0"/>
        <v> </v>
      </c>
    </row>
    <row r="33" spans="1:7" ht="15.75">
      <c r="A33" s="128" t="s">
        <v>160</v>
      </c>
      <c r="B33" s="192" t="s">
        <v>148</v>
      </c>
      <c r="C33" s="192"/>
      <c r="D33" s="192">
        <v>8000</v>
      </c>
      <c r="E33" s="390">
        <v>3533</v>
      </c>
      <c r="F33" s="193"/>
      <c r="G33" s="165" t="str">
        <f t="shared" si="0"/>
        <v> </v>
      </c>
    </row>
    <row r="34" spans="1:7" ht="15.75">
      <c r="A34" s="128" t="s">
        <v>161</v>
      </c>
      <c r="B34" s="192" t="s">
        <v>148</v>
      </c>
      <c r="C34" s="192"/>
      <c r="D34" s="192">
        <v>5500</v>
      </c>
      <c r="E34" s="390">
        <v>2120</v>
      </c>
      <c r="F34" s="193"/>
      <c r="G34" s="165" t="str">
        <f t="shared" si="0"/>
        <v> </v>
      </c>
    </row>
    <row r="35" spans="1:7" ht="15.75">
      <c r="A35" s="128" t="s">
        <v>162</v>
      </c>
      <c r="B35" s="192" t="s">
        <v>148</v>
      </c>
      <c r="C35" s="192"/>
      <c r="D35" s="192">
        <v>3900</v>
      </c>
      <c r="E35" s="390">
        <v>1560</v>
      </c>
      <c r="F35" s="193"/>
      <c r="G35" s="165" t="str">
        <f t="shared" si="0"/>
        <v> </v>
      </c>
    </row>
    <row r="36" spans="1:7" ht="15.75">
      <c r="A36" s="128"/>
      <c r="B36" s="193"/>
      <c r="C36" s="192"/>
      <c r="D36" s="192"/>
      <c r="E36" s="193"/>
      <c r="F36" s="193"/>
      <c r="G36" s="165" t="str">
        <f t="shared" si="0"/>
        <v> </v>
      </c>
    </row>
    <row r="37" spans="1:7" ht="15.75">
      <c r="A37" s="128" t="s">
        <v>701</v>
      </c>
      <c r="B37" s="193"/>
      <c r="C37" s="192"/>
      <c r="D37" s="192"/>
      <c r="E37" s="193"/>
      <c r="F37" s="193"/>
      <c r="G37" s="165" t="str">
        <f t="shared" si="0"/>
        <v> </v>
      </c>
    </row>
    <row r="38" spans="1:7" ht="16.5" thickBot="1">
      <c r="A38" s="152" t="s">
        <v>659</v>
      </c>
      <c r="B38" s="153"/>
      <c r="C38" s="194" t="s">
        <v>660</v>
      </c>
      <c r="D38" s="172">
        <f>SUM(D9:D37)</f>
        <v>1448930</v>
      </c>
      <c r="E38" s="172">
        <f>SUM(E9:E37)</f>
        <v>620904</v>
      </c>
      <c r="F38" s="195"/>
      <c r="G38" s="173">
        <f>SUM(G9:G37)</f>
        <v>0</v>
      </c>
    </row>
    <row r="39" spans="1:7" ht="16.5" thickTop="1">
      <c r="A39" s="72"/>
      <c r="B39" s="68"/>
      <c r="C39" s="443"/>
      <c r="D39" s="66"/>
      <c r="E39" s="66"/>
      <c r="F39" s="175"/>
      <c r="G39" s="66"/>
    </row>
    <row r="40" spans="1:7" ht="15.75">
      <c r="A40" s="72"/>
      <c r="B40" s="68"/>
      <c r="C40" s="175"/>
      <c r="D40" s="66"/>
      <c r="E40" s="66"/>
      <c r="F40" s="66"/>
      <c r="G40" s="66"/>
    </row>
    <row r="41" spans="1:7" ht="15.75">
      <c r="A41" s="72"/>
      <c r="B41" s="66"/>
      <c r="C41" s="66"/>
      <c r="D41" s="66"/>
      <c r="E41" s="66"/>
      <c r="F41" s="66"/>
      <c r="G41" s="66"/>
    </row>
    <row r="42" spans="1:7" ht="15.75">
      <c r="A42" s="196"/>
      <c r="B42" s="123"/>
      <c r="C42" s="123"/>
      <c r="D42" s="123"/>
      <c r="E42" s="123"/>
      <c r="F42" s="123"/>
      <c r="G42" s="123"/>
    </row>
    <row r="43" spans="1:7" ht="15.75">
      <c r="A43" s="197"/>
      <c r="B43" s="197"/>
      <c r="C43" s="197"/>
      <c r="D43" s="197"/>
      <c r="E43" s="197"/>
      <c r="F43" s="197"/>
      <c r="G43" s="197"/>
    </row>
    <row r="44" spans="1:7" ht="15.75">
      <c r="A44" s="123"/>
      <c r="B44" s="123"/>
      <c r="C44" s="123"/>
      <c r="D44" s="123"/>
      <c r="E44" s="123"/>
      <c r="F44" s="123"/>
      <c r="G44" s="198"/>
    </row>
    <row r="54" spans="1:7" ht="15.75">
      <c r="A54" s="123"/>
      <c r="B54" s="123"/>
      <c r="C54" s="123"/>
      <c r="D54" s="123"/>
      <c r="E54" s="123"/>
      <c r="F54" s="123"/>
      <c r="G54" s="123"/>
    </row>
    <row r="58" spans="1:7" ht="15.75">
      <c r="A58" s="123"/>
      <c r="B58" s="123"/>
      <c r="C58" s="123"/>
      <c r="D58" s="196"/>
      <c r="E58" s="123"/>
      <c r="F58" s="123"/>
      <c r="G58" s="123"/>
    </row>
  </sheetData>
  <sheetProtection sheet="1"/>
  <mergeCells count="2">
    <mergeCell ref="E6:E7"/>
    <mergeCell ref="A2:G2"/>
  </mergeCells>
  <printOptions/>
  <pageMargins left="0.5" right="0.5" top="0.72" bottom="0.23" header="0.25" footer="0"/>
  <pageSetup blackAndWhite="1" fitToHeight="1" fitToWidth="1" horizontalDpi="120" verticalDpi="120" orientation="portrait" scale="91"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B1">
      <selection activeCell="A1" sqref="A1:L39"/>
    </sheetView>
  </sheetViews>
  <sheetFormatPr defaultColWidth="8.796875" defaultRowHeight="15.75" customHeight="1"/>
  <cols>
    <col min="1" max="2" width="3.296875" style="52" customWidth="1"/>
    <col min="3" max="3" width="31.296875" style="52" customWidth="1"/>
    <col min="4" max="4" width="2.296875" style="52" customWidth="1"/>
    <col min="5" max="5" width="15.796875" style="52" customWidth="1"/>
    <col min="6" max="6" width="2" style="52" customWidth="1"/>
    <col min="7" max="7" width="15.796875" style="52" customWidth="1"/>
    <col min="8" max="8" width="1.8984375" style="52" customWidth="1"/>
    <col min="9" max="9" width="1.796875" style="52" customWidth="1"/>
    <col min="10" max="10" width="15.796875" style="52" customWidth="1"/>
    <col min="11" max="16384" width="8.8984375" style="52" customWidth="1"/>
  </cols>
  <sheetData>
    <row r="1" spans="1:10" ht="15.75" customHeight="1">
      <c r="A1" s="66"/>
      <c r="B1" s="66"/>
      <c r="C1" s="199" t="str">
        <f>inputPrYr!C3</f>
        <v>Montgomery County</v>
      </c>
      <c r="D1" s="66"/>
      <c r="E1" s="66"/>
      <c r="F1" s="66"/>
      <c r="G1" s="66"/>
      <c r="H1" s="66"/>
      <c r="I1" s="66"/>
      <c r="J1" s="66">
        <f>inputPrYr!C5</f>
        <v>2015</v>
      </c>
    </row>
    <row r="2" spans="1:10" ht="15.75" customHeight="1">
      <c r="A2" s="66"/>
      <c r="B2" s="66"/>
      <c r="C2" s="66"/>
      <c r="D2" s="66"/>
      <c r="E2" s="66"/>
      <c r="F2" s="66"/>
      <c r="G2" s="66"/>
      <c r="H2" s="66"/>
      <c r="I2" s="66"/>
      <c r="J2" s="66"/>
    </row>
    <row r="3" spans="1:10" ht="15.75">
      <c r="A3" s="720" t="str">
        <f>CONCATENATE("Computation to Determine Limit for ",J1,"")</f>
        <v>Computation to Determine Limit for 2015</v>
      </c>
      <c r="B3" s="730"/>
      <c r="C3" s="730"/>
      <c r="D3" s="730"/>
      <c r="E3" s="730"/>
      <c r="F3" s="730"/>
      <c r="G3" s="730"/>
      <c r="H3" s="730"/>
      <c r="I3" s="730"/>
      <c r="J3" s="730"/>
    </row>
    <row r="4" spans="1:10" ht="15.75">
      <c r="A4" s="66"/>
      <c r="B4" s="66"/>
      <c r="C4" s="66"/>
      <c r="D4" s="66"/>
      <c r="E4" s="730"/>
      <c r="F4" s="730"/>
      <c r="G4" s="730"/>
      <c r="H4" s="200"/>
      <c r="I4" s="66"/>
      <c r="J4" s="201" t="s">
        <v>754</v>
      </c>
    </row>
    <row r="5" spans="1:10" ht="15.75">
      <c r="A5" s="202" t="s">
        <v>755</v>
      </c>
      <c r="B5" s="66" t="str">
        <f>CONCATENATE("Total Tax Levy Amount in ",J1-1," Budget")</f>
        <v>Total Tax Levy Amount in 2014 Budget</v>
      </c>
      <c r="C5" s="66"/>
      <c r="D5" s="66"/>
      <c r="E5" s="126"/>
      <c r="F5" s="126"/>
      <c r="G5" s="126"/>
      <c r="H5" s="203" t="s">
        <v>756</v>
      </c>
      <c r="I5" s="126" t="s">
        <v>757</v>
      </c>
      <c r="J5" s="204">
        <f>inputPrYr!E41</f>
        <v>11799021</v>
      </c>
    </row>
    <row r="6" spans="1:10" ht="15.75">
      <c r="A6" s="202" t="s">
        <v>758</v>
      </c>
      <c r="B6" s="66" t="str">
        <f>CONCATENATE("Debt Service Levy in ",J1-1," Budget")</f>
        <v>Debt Service Levy in 2014 Budget</v>
      </c>
      <c r="C6" s="66"/>
      <c r="D6" s="66"/>
      <c r="E6" s="126"/>
      <c r="F6" s="126"/>
      <c r="G6" s="126"/>
      <c r="H6" s="205" t="s">
        <v>759</v>
      </c>
      <c r="I6" s="206" t="s">
        <v>757</v>
      </c>
      <c r="J6" s="207">
        <f>inputPrYr!E17</f>
        <v>0</v>
      </c>
    </row>
    <row r="7" spans="1:10" ht="15.75">
      <c r="A7" s="202" t="s">
        <v>760</v>
      </c>
      <c r="B7" s="208" t="s">
        <v>779</v>
      </c>
      <c r="C7" s="66"/>
      <c r="D7" s="66"/>
      <c r="E7" s="126"/>
      <c r="F7" s="126"/>
      <c r="G7" s="126"/>
      <c r="H7" s="206"/>
      <c r="I7" s="206" t="s">
        <v>757</v>
      </c>
      <c r="J7" s="209">
        <f>J5-J6</f>
        <v>11799021</v>
      </c>
    </row>
    <row r="8" spans="1:10" ht="15.75">
      <c r="A8" s="66"/>
      <c r="B8" s="66"/>
      <c r="C8" s="66"/>
      <c r="D8" s="66"/>
      <c r="E8" s="126"/>
      <c r="F8" s="126"/>
      <c r="G8" s="126"/>
      <c r="H8" s="206"/>
      <c r="I8" s="206"/>
      <c r="J8" s="206"/>
    </row>
    <row r="9" spans="1:10" ht="15.75">
      <c r="A9" s="66"/>
      <c r="B9" s="208" t="str">
        <f>CONCATENATE("",J1-1," Valuation Information for Valuation Adjustments:")</f>
        <v>2014 Valuation Information for Valuation Adjustments:</v>
      </c>
      <c r="C9" s="66"/>
      <c r="D9" s="66"/>
      <c r="E9" s="126"/>
      <c r="F9" s="126"/>
      <c r="G9" s="126"/>
      <c r="H9" s="206"/>
      <c r="I9" s="206"/>
      <c r="J9" s="206"/>
    </row>
    <row r="10" spans="1:10" ht="15.75">
      <c r="A10" s="66"/>
      <c r="B10" s="66"/>
      <c r="C10" s="208"/>
      <c r="D10" s="66"/>
      <c r="E10" s="126"/>
      <c r="F10" s="126"/>
      <c r="G10" s="126"/>
      <c r="H10" s="206"/>
      <c r="I10" s="206"/>
      <c r="J10" s="206"/>
    </row>
    <row r="11" spans="1:10" ht="15.75">
      <c r="A11" s="202" t="s">
        <v>761</v>
      </c>
      <c r="B11" s="208" t="str">
        <f>CONCATENATE("New Improvements for ",J1-1,":")</f>
        <v>New Improvements for 2014:</v>
      </c>
      <c r="C11" s="66"/>
      <c r="D11" s="66"/>
      <c r="E11" s="203"/>
      <c r="F11" s="203" t="s">
        <v>756</v>
      </c>
      <c r="G11" s="204">
        <f>inputOth!E6</f>
        <v>395049</v>
      </c>
      <c r="H11" s="210"/>
      <c r="I11" s="206"/>
      <c r="J11" s="206"/>
    </row>
    <row r="12" spans="1:10" ht="15.75">
      <c r="A12" s="202"/>
      <c r="B12" s="202"/>
      <c r="C12" s="66"/>
      <c r="D12" s="66"/>
      <c r="E12" s="203"/>
      <c r="F12" s="203"/>
      <c r="G12" s="99"/>
      <c r="H12" s="210"/>
      <c r="I12" s="206"/>
      <c r="J12" s="206"/>
    </row>
    <row r="13" spans="1:10" ht="15.75">
      <c r="A13" s="202" t="s">
        <v>762</v>
      </c>
      <c r="B13" s="208" t="str">
        <f>CONCATENATE("Increase in Personal Property for ",J1-1,":")</f>
        <v>Increase in Personal Property for 2014:</v>
      </c>
      <c r="C13" s="66"/>
      <c r="D13" s="66"/>
      <c r="E13" s="203"/>
      <c r="F13" s="203"/>
      <c r="G13" s="99"/>
      <c r="H13" s="210"/>
      <c r="I13" s="206"/>
      <c r="J13" s="206"/>
    </row>
    <row r="14" spans="1:10" ht="15.75">
      <c r="A14" s="66"/>
      <c r="B14" s="66" t="s">
        <v>763</v>
      </c>
      <c r="C14" s="66" t="str">
        <f>CONCATENATE("Personal Property ",J1-1,"")</f>
        <v>Personal Property 2014</v>
      </c>
      <c r="D14" s="202" t="s">
        <v>756</v>
      </c>
      <c r="E14" s="204">
        <f>inputOth!E7</f>
        <v>14172150</v>
      </c>
      <c r="F14" s="203"/>
      <c r="G14" s="126"/>
      <c r="H14" s="206"/>
      <c r="I14" s="210"/>
      <c r="J14" s="206"/>
    </row>
    <row r="15" spans="1:10" ht="15.75">
      <c r="A15" s="202"/>
      <c r="B15" s="66" t="s">
        <v>764</v>
      </c>
      <c r="C15" s="66" t="str">
        <f>CONCATENATE("Personal Property ",J1-2,"")</f>
        <v>Personal Property 2013</v>
      </c>
      <c r="D15" s="202" t="s">
        <v>759</v>
      </c>
      <c r="E15" s="131">
        <f>inputOth!E9</f>
        <v>17916762</v>
      </c>
      <c r="F15" s="203"/>
      <c r="G15" s="99"/>
      <c r="H15" s="210"/>
      <c r="I15" s="206"/>
      <c r="J15" s="206"/>
    </row>
    <row r="16" spans="1:10" ht="15.75">
      <c r="A16" s="202"/>
      <c r="B16" s="66" t="s">
        <v>765</v>
      </c>
      <c r="C16" s="66" t="s">
        <v>781</v>
      </c>
      <c r="D16" s="66"/>
      <c r="E16" s="126"/>
      <c r="F16" s="126" t="s">
        <v>756</v>
      </c>
      <c r="G16" s="204">
        <f>IF(E14&gt;E15,E14-E15,0)</f>
        <v>0</v>
      </c>
      <c r="H16" s="210"/>
      <c r="I16" s="206"/>
      <c r="J16" s="206"/>
    </row>
    <row r="17" spans="1:10" ht="15.75">
      <c r="A17" s="202"/>
      <c r="B17" s="202"/>
      <c r="C17" s="66"/>
      <c r="D17" s="66"/>
      <c r="E17" s="126"/>
      <c r="F17" s="126"/>
      <c r="G17" s="99" t="s">
        <v>771</v>
      </c>
      <c r="H17" s="210"/>
      <c r="I17" s="206"/>
      <c r="J17" s="206"/>
    </row>
    <row r="18" spans="1:10" ht="15.75">
      <c r="A18" s="202"/>
      <c r="B18" s="202"/>
      <c r="C18" s="66"/>
      <c r="D18" s="202"/>
      <c r="E18" s="99"/>
      <c r="F18" s="126"/>
      <c r="G18" s="99"/>
      <c r="H18" s="210"/>
      <c r="I18" s="206"/>
      <c r="J18" s="206"/>
    </row>
    <row r="19" spans="1:10" ht="15.75">
      <c r="A19" s="202" t="s">
        <v>766</v>
      </c>
      <c r="B19" s="208" t="str">
        <f>CONCATENATE("Valuation of Property that has Changed in Use during ",J1-1,":")</f>
        <v>Valuation of Property that has Changed in Use during 2014:</v>
      </c>
      <c r="C19" s="66"/>
      <c r="D19" s="66"/>
      <c r="E19" s="126"/>
      <c r="F19" s="126"/>
      <c r="G19" s="126">
        <f>inputOth!E8</f>
        <v>412976</v>
      </c>
      <c r="H19" s="206"/>
      <c r="I19" s="206"/>
      <c r="J19" s="206"/>
    </row>
    <row r="20" spans="1:10" ht="15.75">
      <c r="A20" s="202"/>
      <c r="B20" s="66"/>
      <c r="C20" s="66"/>
      <c r="D20" s="202"/>
      <c r="E20" s="99"/>
      <c r="F20" s="126"/>
      <c r="G20" s="211"/>
      <c r="H20" s="210"/>
      <c r="I20" s="206"/>
      <c r="J20" s="206"/>
    </row>
    <row r="21" spans="1:10" ht="15.75">
      <c r="A21" s="202" t="s">
        <v>775</v>
      </c>
      <c r="B21" s="208" t="s">
        <v>780</v>
      </c>
      <c r="C21" s="66"/>
      <c r="D21" s="66"/>
      <c r="E21" s="126"/>
      <c r="F21" s="126"/>
      <c r="G21" s="204">
        <f>G11+G16+G19</f>
        <v>808025</v>
      </c>
      <c r="H21" s="210"/>
      <c r="I21" s="206"/>
      <c r="J21" s="206"/>
    </row>
    <row r="22" spans="1:10" ht="15.75">
      <c r="A22" s="202"/>
      <c r="B22" s="202"/>
      <c r="C22" s="208"/>
      <c r="D22" s="66"/>
      <c r="E22" s="126"/>
      <c r="F22" s="126"/>
      <c r="G22" s="99"/>
      <c r="H22" s="210"/>
      <c r="I22" s="206"/>
      <c r="J22" s="206"/>
    </row>
    <row r="23" spans="1:10" ht="15.75">
      <c r="A23" s="202" t="s">
        <v>776</v>
      </c>
      <c r="B23" s="66" t="str">
        <f>CONCATENATE("Total Estimated Valuation July 1,",J1-1,"")</f>
        <v>Total Estimated Valuation July 1,2014</v>
      </c>
      <c r="C23" s="66"/>
      <c r="D23" s="66"/>
      <c r="E23" s="204">
        <f>inputOth!E5</f>
        <v>287000000</v>
      </c>
      <c r="F23" s="126"/>
      <c r="G23" s="126"/>
      <c r="H23" s="206"/>
      <c r="I23" s="205"/>
      <c r="J23" s="206"/>
    </row>
    <row r="24" spans="1:10" ht="15.75">
      <c r="A24" s="202"/>
      <c r="B24" s="202"/>
      <c r="C24" s="66"/>
      <c r="D24" s="66"/>
      <c r="E24" s="99"/>
      <c r="F24" s="126"/>
      <c r="G24" s="126"/>
      <c r="H24" s="206"/>
      <c r="I24" s="205"/>
      <c r="J24" s="206"/>
    </row>
    <row r="25" spans="1:10" ht="15.75">
      <c r="A25" s="202" t="s">
        <v>767</v>
      </c>
      <c r="B25" s="208" t="s">
        <v>784</v>
      </c>
      <c r="C25" s="66"/>
      <c r="D25" s="66"/>
      <c r="E25" s="126"/>
      <c r="F25" s="126"/>
      <c r="G25" s="204">
        <f>E23-G21</f>
        <v>286191975</v>
      </c>
      <c r="H25" s="210"/>
      <c r="I25" s="205"/>
      <c r="J25" s="206"/>
    </row>
    <row r="26" spans="1:10" ht="15.75">
      <c r="A26" s="202"/>
      <c r="B26" s="202"/>
      <c r="C26" s="208"/>
      <c r="D26" s="66"/>
      <c r="E26" s="66"/>
      <c r="F26" s="66"/>
      <c r="G26" s="212"/>
      <c r="H26" s="213"/>
      <c r="I26" s="214"/>
      <c r="J26" s="107"/>
    </row>
    <row r="27" spans="1:10" ht="15.75">
      <c r="A27" s="202" t="s">
        <v>768</v>
      </c>
      <c r="B27" s="66" t="s">
        <v>783</v>
      </c>
      <c r="C27" s="66"/>
      <c r="D27" s="66"/>
      <c r="E27" s="66"/>
      <c r="F27" s="66"/>
      <c r="G27" s="215">
        <f>IF(G21&gt;0,G21/G25,0)</f>
        <v>0.002823367077291388</v>
      </c>
      <c r="H27" s="213"/>
      <c r="I27" s="107"/>
      <c r="J27" s="107"/>
    </row>
    <row r="28" spans="1:10" ht="15.75">
      <c r="A28" s="202"/>
      <c r="B28" s="202"/>
      <c r="C28" s="66"/>
      <c r="D28" s="66"/>
      <c r="E28" s="66"/>
      <c r="F28" s="66"/>
      <c r="G28" s="68"/>
      <c r="H28" s="213"/>
      <c r="I28" s="107"/>
      <c r="J28" s="107"/>
    </row>
    <row r="29" spans="1:10" ht="15.75">
      <c r="A29" s="202" t="s">
        <v>769</v>
      </c>
      <c r="B29" s="66" t="s">
        <v>782</v>
      </c>
      <c r="C29" s="66"/>
      <c r="D29" s="66"/>
      <c r="E29" s="66"/>
      <c r="F29" s="66"/>
      <c r="G29" s="68"/>
      <c r="H29" s="216" t="s">
        <v>756</v>
      </c>
      <c r="I29" s="107" t="s">
        <v>757</v>
      </c>
      <c r="J29" s="217">
        <f>ROUND(G27*J7,0)</f>
        <v>33313</v>
      </c>
    </row>
    <row r="30" spans="1:10" ht="15.75">
      <c r="A30" s="202"/>
      <c r="B30" s="202"/>
      <c r="C30" s="66"/>
      <c r="D30" s="66"/>
      <c r="E30" s="66"/>
      <c r="F30" s="66"/>
      <c r="G30" s="68"/>
      <c r="H30" s="216"/>
      <c r="I30" s="107"/>
      <c r="J30" s="210"/>
    </row>
    <row r="31" spans="1:10" ht="16.5" thickBot="1">
      <c r="A31" s="202" t="s">
        <v>770</v>
      </c>
      <c r="B31" s="208" t="s">
        <v>787</v>
      </c>
      <c r="C31" s="66"/>
      <c r="D31" s="66"/>
      <c r="E31" s="66"/>
      <c r="F31" s="66"/>
      <c r="G31" s="66"/>
      <c r="H31" s="107"/>
      <c r="I31" s="107" t="s">
        <v>757</v>
      </c>
      <c r="J31" s="218">
        <f>J7+J29</f>
        <v>11832334</v>
      </c>
    </row>
    <row r="32" spans="1:10" ht="16.5" thickTop="1">
      <c r="A32" s="66"/>
      <c r="B32" s="66"/>
      <c r="C32" s="66"/>
      <c r="D32" s="66"/>
      <c r="E32" s="66"/>
      <c r="F32" s="66"/>
      <c r="G32" s="66"/>
      <c r="H32" s="66"/>
      <c r="I32" s="66"/>
      <c r="J32" s="107"/>
    </row>
    <row r="33" spans="1:10" ht="15.75">
      <c r="A33" s="202" t="s">
        <v>785</v>
      </c>
      <c r="B33" s="208" t="str">
        <f>CONCATENATE("Debt Service Levy in this ",J1-1," Budget")</f>
        <v>Debt Service Levy in this 2014 Budget</v>
      </c>
      <c r="C33" s="66"/>
      <c r="D33" s="66"/>
      <c r="E33" s="66"/>
      <c r="F33" s="66"/>
      <c r="G33" s="66"/>
      <c r="H33" s="66"/>
      <c r="I33" s="66"/>
      <c r="J33" s="219">
        <f>DebtService!E57</f>
        <v>0</v>
      </c>
    </row>
    <row r="34" spans="1:10" ht="15.75">
      <c r="A34" s="202"/>
      <c r="B34" s="208"/>
      <c r="C34" s="66"/>
      <c r="D34" s="66"/>
      <c r="E34" s="66"/>
      <c r="F34" s="66"/>
      <c r="G34" s="66"/>
      <c r="H34" s="66"/>
      <c r="I34" s="66"/>
      <c r="J34" s="68"/>
    </row>
    <row r="35" spans="1:10" ht="16.5" thickBot="1">
      <c r="A35" s="202" t="s">
        <v>786</v>
      </c>
      <c r="B35" s="208" t="s">
        <v>788</v>
      </c>
      <c r="C35" s="66"/>
      <c r="D35" s="66"/>
      <c r="E35" s="66"/>
      <c r="F35" s="66"/>
      <c r="G35" s="66"/>
      <c r="H35" s="66"/>
      <c r="I35" s="66"/>
      <c r="J35" s="220">
        <f>J31+J33</f>
        <v>11832334</v>
      </c>
    </row>
    <row r="36" spans="1:10" ht="16.5" thickTop="1">
      <c r="A36" s="66"/>
      <c r="B36" s="66"/>
      <c r="C36" s="66"/>
      <c r="D36" s="66"/>
      <c r="E36" s="66"/>
      <c r="F36" s="66"/>
      <c r="G36" s="66"/>
      <c r="H36" s="66"/>
      <c r="I36" s="66"/>
      <c r="J36" s="66"/>
    </row>
    <row r="37" spans="1:10" s="221" customFormat="1" ht="18.75">
      <c r="A37" s="729" t="str">
        <f>CONCATENATE("If the ",J1," budget includes tax levies exceeding the total on line 14, you must adopt a")</f>
        <v>If the 2015 budget includes tax levies exceeding the total on line 14, you must adopt a</v>
      </c>
      <c r="B37" s="729"/>
      <c r="C37" s="729"/>
      <c r="D37" s="729"/>
      <c r="E37" s="729"/>
      <c r="F37" s="729"/>
      <c r="G37" s="729"/>
      <c r="H37" s="729"/>
      <c r="I37" s="729"/>
      <c r="J37" s="729"/>
    </row>
    <row r="38" spans="1:10" s="221" customFormat="1" ht="18.75">
      <c r="A38" s="729" t="s">
        <v>841</v>
      </c>
      <c r="B38" s="729"/>
      <c r="C38" s="729"/>
      <c r="D38" s="729"/>
      <c r="E38" s="729"/>
      <c r="F38" s="729"/>
      <c r="G38" s="729"/>
      <c r="H38" s="729"/>
      <c r="I38" s="729"/>
      <c r="J38" s="729"/>
    </row>
  </sheetData>
  <sheetProtection sheet="1" objects="1" scenarios="1"/>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dimension ref="A1:I65"/>
  <sheetViews>
    <sheetView zoomScalePageLayoutView="0" workbookViewId="0" topLeftCell="A34">
      <selection activeCell="A1" sqref="A1:L39"/>
    </sheetView>
  </sheetViews>
  <sheetFormatPr defaultColWidth="8.796875" defaultRowHeight="15"/>
  <cols>
    <col min="1" max="1" width="8.8984375" style="52" customWidth="1"/>
    <col min="2" max="2" width="18.796875" style="52" customWidth="1"/>
    <col min="3" max="3" width="12.796875" style="52" customWidth="1"/>
    <col min="4" max="4" width="0.1015625" style="52" customWidth="1"/>
    <col min="5" max="5" width="11.8984375" style="52" customWidth="1"/>
    <col min="6" max="6" width="12.09765625" style="52" customWidth="1"/>
    <col min="7" max="8" width="11.796875" style="52" customWidth="1"/>
    <col min="9" max="16384" width="8.8984375" style="52" customWidth="1"/>
  </cols>
  <sheetData>
    <row r="1" spans="1:9" ht="15.75">
      <c r="A1" s="66"/>
      <c r="B1" s="66"/>
      <c r="C1" s="66"/>
      <c r="D1" s="66"/>
      <c r="E1" s="66"/>
      <c r="F1" s="66"/>
      <c r="G1" s="66"/>
      <c r="H1" s="66"/>
      <c r="I1" s="66"/>
    </row>
    <row r="2" spans="1:9" ht="15.75">
      <c r="A2" s="66"/>
      <c r="B2" s="66"/>
      <c r="C2" s="66"/>
      <c r="D2" s="66"/>
      <c r="E2" s="66"/>
      <c r="F2" s="66"/>
      <c r="G2" s="66"/>
      <c r="H2" s="66"/>
      <c r="I2" s="66"/>
    </row>
    <row r="3" spans="1:9" ht="15.75">
      <c r="A3" s="66"/>
      <c r="B3" s="199" t="str">
        <f>inputPrYr!C3</f>
        <v>Montgomery County</v>
      </c>
      <c r="C3" s="66"/>
      <c r="D3" s="66"/>
      <c r="E3" s="66"/>
      <c r="F3" s="66"/>
      <c r="G3" s="106"/>
      <c r="H3" s="107"/>
      <c r="I3" s="66"/>
    </row>
    <row r="4" spans="1:9" ht="15.75">
      <c r="A4" s="66"/>
      <c r="B4" s="66"/>
      <c r="C4" s="66"/>
      <c r="D4" s="66"/>
      <c r="E4" s="66"/>
      <c r="F4" s="66"/>
      <c r="G4" s="106"/>
      <c r="H4" s="107">
        <f>inputPrYr!C5</f>
        <v>2015</v>
      </c>
      <c r="I4" s="66"/>
    </row>
    <row r="5" spans="1:9" ht="15.75">
      <c r="A5" s="66"/>
      <c r="B5" s="720" t="s">
        <v>590</v>
      </c>
      <c r="C5" s="720"/>
      <c r="D5" s="720"/>
      <c r="E5" s="720"/>
      <c r="F5" s="720"/>
      <c r="G5" s="720"/>
      <c r="H5" s="66"/>
      <c r="I5" s="66"/>
    </row>
    <row r="6" spans="1:9" ht="15.75">
      <c r="A6" s="66"/>
      <c r="B6" s="63"/>
      <c r="C6" s="63"/>
      <c r="D6" s="63"/>
      <c r="E6" s="63"/>
      <c r="F6" s="63"/>
      <c r="G6" s="63"/>
      <c r="H6" s="125"/>
      <c r="I6" s="66"/>
    </row>
    <row r="7" spans="1:9" ht="15.75">
      <c r="A7" s="66"/>
      <c r="B7" s="143"/>
      <c r="C7" s="74"/>
      <c r="D7" s="74"/>
      <c r="E7" s="74"/>
      <c r="F7" s="74"/>
      <c r="G7" s="66"/>
      <c r="H7" s="107"/>
      <c r="I7" s="66"/>
    </row>
    <row r="8" spans="1:9" ht="21.75" customHeight="1">
      <c r="A8" s="66"/>
      <c r="B8" s="222"/>
      <c r="C8" s="721" t="str">
        <f>CONCATENATE("Budget Tax Levy Amount for ",H4-2,"")</f>
        <v>Budget Tax Levy Amount for 2013</v>
      </c>
      <c r="D8" s="731"/>
      <c r="E8" s="732" t="str">
        <f>CONCATENATE("Allocation for Year ",H4,"")</f>
        <v>Allocation for Year 2015</v>
      </c>
      <c r="F8" s="733"/>
      <c r="G8" s="734"/>
      <c r="H8" s="223"/>
      <c r="I8" s="66"/>
    </row>
    <row r="9" spans="1:9" ht="23.25" customHeight="1">
      <c r="A9" s="66"/>
      <c r="B9" s="154" t="str">
        <f>CONCATENATE("",H4-1," Budgeted Funds")</f>
        <v>2014 Budgeted Funds</v>
      </c>
      <c r="C9" s="713"/>
      <c r="D9" s="713"/>
      <c r="E9" s="151" t="s">
        <v>670</v>
      </c>
      <c r="F9" s="151" t="s">
        <v>751</v>
      </c>
      <c r="G9" s="151" t="s">
        <v>778</v>
      </c>
      <c r="H9" s="125"/>
      <c r="I9" s="66"/>
    </row>
    <row r="10" spans="1:9" ht="16.5" customHeight="1">
      <c r="A10" s="66"/>
      <c r="B10" s="109" t="str">
        <f>(inputPrYr!B16)</f>
        <v>General</v>
      </c>
      <c r="C10" s="157">
        <f>IF(inputPrYr!E16&gt;0,inputPrYr!E16,"  ")</f>
        <v>5276498</v>
      </c>
      <c r="D10" s="224">
        <f>IF(inputPrYr!F16&gt;0,(inputPrYr!F16),"  ")</f>
        <v>18.176</v>
      </c>
      <c r="E10" s="157">
        <f>IF(inputPrYr!$E$16=0,0,E37-SUM(E11:E34))</f>
        <v>591795</v>
      </c>
      <c r="F10" s="157">
        <f>IF(inputPrYr!E16=0,0,F39-SUM(F11:F34))</f>
        <v>6306</v>
      </c>
      <c r="G10" s="157">
        <f>IF(inputPrYr!$E16=0,0,G41-SUM(G11:G34))</f>
        <v>15935</v>
      </c>
      <c r="H10" s="125"/>
      <c r="I10" s="66"/>
    </row>
    <row r="11" spans="1:9" ht="15.75">
      <c r="A11" s="66"/>
      <c r="B11" s="109" t="str">
        <f>(inputPrYr!B17)</f>
        <v>Debt Service</v>
      </c>
      <c r="C11" s="157" t="str">
        <f>IF(inputPrYr!E17&gt;0,inputPrYr!E17,"  ")</f>
        <v>  </v>
      </c>
      <c r="D11" s="224" t="str">
        <f>IF(inputPrYr!F17&gt;0,(inputPrYr!F17),"  ")</f>
        <v>  </v>
      </c>
      <c r="E11" s="157" t="str">
        <f>IF(inputPrYr!$E$17&gt;0,ROUND(+C11*E$44,0)," ")</f>
        <v> </v>
      </c>
      <c r="F11" s="157" t="str">
        <f>IF(inputPrYr!$E$17&gt;0,ROUND(+C11*F$46,0)," ")</f>
        <v> </v>
      </c>
      <c r="G11" s="157" t="str">
        <f>IF(inputPrYr!$E$17&gt;0,ROUND(+C11*G$48,0)," ")</f>
        <v> </v>
      </c>
      <c r="H11" s="125"/>
      <c r="I11" s="66"/>
    </row>
    <row r="12" spans="1:9" ht="15.75">
      <c r="A12" s="66"/>
      <c r="B12" s="109" t="str">
        <f>(inputPrYr!B18)</f>
        <v>Road &amp; Bridge</v>
      </c>
      <c r="C12" s="157">
        <f>IF(inputPrYr!E18&gt;0,inputPrYr!E18,"  ")</f>
        <v>2666459</v>
      </c>
      <c r="D12" s="224">
        <f>IF(inputPrYr!F18&gt;0,(inputPrYr!F18),"  ")</f>
        <v>9.185</v>
      </c>
      <c r="E12" s="157">
        <f>IF(inputPrYr!$E$18&gt;0,ROUND(+C12*E$44,0)," ")</f>
        <v>299061</v>
      </c>
      <c r="F12" s="157">
        <f>IF(inputPrYr!$E$18&gt;0,ROUND(+C12*F$46,0)," ")</f>
        <v>3187</v>
      </c>
      <c r="G12" s="157">
        <f>IF(inputPrYr!$E$18&gt;0,ROUND(+C12*G$48,0)," ")</f>
        <v>8052</v>
      </c>
      <c r="H12" s="125"/>
      <c r="I12" s="66"/>
    </row>
    <row r="13" spans="1:9" ht="15.75">
      <c r="A13" s="66"/>
      <c r="B13" s="109" t="str">
        <f>IF((inputPrYr!$B19&gt;" "),(inputPrYr!$B19),"  ")</f>
        <v>County Health</v>
      </c>
      <c r="C13" s="157" t="str">
        <f>IF(inputPrYr!E19&gt;0,inputPrYr!E19,"  ")</f>
        <v>  </v>
      </c>
      <c r="D13" s="224" t="str">
        <f>IF(inputPrYr!F19&gt;0,(inputPrYr!F19),"  ")</f>
        <v>  </v>
      </c>
      <c r="E13" s="157" t="str">
        <f>IF(inputPrYr!$E$19&gt;0,ROUND(+C13*E$44,0)," ")</f>
        <v> </v>
      </c>
      <c r="F13" s="157" t="str">
        <f>IF(inputPrYr!$E$19&gt;0,ROUND(+C13*F$46,0)," ")</f>
        <v> </v>
      </c>
      <c r="G13" s="157" t="str">
        <f>IF(inputPrYr!$E$19&gt;0,ROUND(+C13*G$48,0)," ")</f>
        <v> </v>
      </c>
      <c r="H13" s="125"/>
      <c r="I13" s="66"/>
    </row>
    <row r="14" spans="1:9" ht="15.75">
      <c r="A14" s="66"/>
      <c r="B14" s="109" t="str">
        <f>IF((inputPrYr!$B20&gt;" "),(inputPrYr!$B20),"  ")</f>
        <v>Special Bridge</v>
      </c>
      <c r="C14" s="157">
        <f>IF(inputPrYr!E20&gt;0,inputPrYr!E20,"  ")</f>
        <v>478056</v>
      </c>
      <c r="D14" s="224">
        <f>IF(inputPrYr!F20&gt;0,(inputPrYr!F20),"  ")</f>
        <v>1.647</v>
      </c>
      <c r="E14" s="157">
        <f>IF(inputPrYr!E20&gt;0,ROUND(+C14*E$44,0)," ")</f>
        <v>53617</v>
      </c>
      <c r="F14" s="157">
        <f>IF(inputPrYr!$E$20&gt;0,ROUND(+C14*F$46,0)," ")</f>
        <v>571</v>
      </c>
      <c r="G14" s="157">
        <f>IF(inputPrYr!$E$20&gt;0,ROUND(+C14*G$48,0)," ")</f>
        <v>1444</v>
      </c>
      <c r="H14" s="125"/>
      <c r="I14" s="66"/>
    </row>
    <row r="15" spans="1:9" ht="15.75">
      <c r="A15" s="66"/>
      <c r="B15" s="109" t="str">
        <f>IF((inputPrYr!$B21&gt;" "),(inputPrYr!$B21),"  ")</f>
        <v>Mental Health</v>
      </c>
      <c r="C15" s="157">
        <f>IF(inputPrYr!E21&gt;0,inputPrYr!E21,"  ")</f>
        <v>55721</v>
      </c>
      <c r="D15" s="224">
        <f>IF(inputPrYr!F21&gt;0,(inputPrYr!F21),"  ")</f>
        <v>0.192</v>
      </c>
      <c r="E15" s="157">
        <f>IF(inputPrYr!E21&gt;0,ROUND(+C15*E$44,0),"  ")</f>
        <v>6249</v>
      </c>
      <c r="F15" s="157">
        <f>IF(inputPrYr!E21&gt;0,ROUND(+C15*F$46,0),"  ")</f>
        <v>67</v>
      </c>
      <c r="G15" s="157">
        <f>IF(inputPrYr!E21&gt;0,ROUND(+C15*G$48,0),"  ")</f>
        <v>168</v>
      </c>
      <c r="H15" s="125"/>
      <c r="I15" s="66"/>
    </row>
    <row r="16" spans="1:9" ht="15.75">
      <c r="A16" s="66"/>
      <c r="B16" s="109" t="str">
        <f>IF((inputPrYr!$B22&gt;" "),(inputPrYr!$B22),"  ")</f>
        <v>Mental Retardation</v>
      </c>
      <c r="C16" s="157">
        <f>IF(inputPrYr!E22&gt;0,inputPrYr!E22,"  ")</f>
        <v>27185</v>
      </c>
      <c r="D16" s="224">
        <f>IF(inputPrYr!F22&gt;0,(inputPrYr!F22),"  ")</f>
        <v>0.094</v>
      </c>
      <c r="E16" s="157">
        <f>IF(inputPrYr!E22&gt;0,ROUND(+C16*E$44,0),"  ")</f>
        <v>3049</v>
      </c>
      <c r="F16" s="157">
        <f>IF(inputPrYr!E22&gt;0,ROUND(+C16*F$46,0),"  ")</f>
        <v>32</v>
      </c>
      <c r="G16" s="157">
        <f>IF(inputPrYr!E22&gt;0,ROUND(+C16*G$48,0),"  ")</f>
        <v>82</v>
      </c>
      <c r="H16" s="125"/>
      <c r="I16" s="66"/>
    </row>
    <row r="17" spans="1:9" ht="15.75">
      <c r="A17" s="66"/>
      <c r="B17" s="109" t="str">
        <f>IF((inputPrYr!$B23&gt;" "),(inputPrYr!$B23),"  ")</f>
        <v>Council on Aging</v>
      </c>
      <c r="C17" s="157">
        <f>IF(inputPrYr!E23&gt;0,inputPrYr!E23,"  ")</f>
        <v>145058</v>
      </c>
      <c r="D17" s="224">
        <f>IF(inputPrYr!F23&gt;0,(inputPrYr!F23),"  ")</f>
        <v>0.5</v>
      </c>
      <c r="E17" s="157">
        <f>IF(inputPrYr!E23&gt;0,ROUND(+C17*E$44,0),"  ")</f>
        <v>16269</v>
      </c>
      <c r="F17" s="157">
        <f>IF(inputPrYr!E23&gt;0,ROUND(+C17*F$46,0),"  ")</f>
        <v>173</v>
      </c>
      <c r="G17" s="157">
        <f>IF(inputPrYr!E23&gt;0,ROUND(+C17*G$48,0),"  ")</f>
        <v>438</v>
      </c>
      <c r="H17" s="125"/>
      <c r="I17" s="66"/>
    </row>
    <row r="18" spans="1:9" ht="15.75">
      <c r="A18" s="66"/>
      <c r="B18" s="109" t="str">
        <f>IF((inputPrYr!$B24&gt;" "),(inputPrYr!$B24),"  ")</f>
        <v>Employee Benefits</v>
      </c>
      <c r="C18" s="157">
        <f>IF(inputPrYr!E24&gt;0,inputPrYr!E24,"  ")</f>
        <v>2581758</v>
      </c>
      <c r="D18" s="224">
        <f>IF(inputPrYr!F24&gt;0,(inputPrYr!F24),"  ")</f>
        <v>8.893</v>
      </c>
      <c r="E18" s="157">
        <f>IF(inputPrYr!E24&gt;0,ROUND(C18*E$44,0),"  ")</f>
        <v>289561</v>
      </c>
      <c r="F18" s="157">
        <f>IF(inputPrYr!E24&gt;0,ROUND(+C18*F$46,0),"  ")</f>
        <v>3085</v>
      </c>
      <c r="G18" s="157">
        <f>IF(inputPrYr!E24&gt;0,ROUND(+C18*G$48,0),"  ")</f>
        <v>7797</v>
      </c>
      <c r="H18" s="125"/>
      <c r="I18" s="66"/>
    </row>
    <row r="19" spans="1:9" ht="15.75">
      <c r="A19" s="66"/>
      <c r="B19" s="109" t="str">
        <f>IF((inputPrYr!$B25&gt;" "),(inputPrYr!$B25),"  ")</f>
        <v>Noxious Weed</v>
      </c>
      <c r="C19" s="157">
        <f>IF(inputPrYr!E25&gt;0,inputPrYr!E25,"  ")</f>
        <v>86835</v>
      </c>
      <c r="D19" s="224">
        <f>IF(inputPrYr!F25&gt;0,(inputPrYr!F25),"  ")</f>
        <v>0.299</v>
      </c>
      <c r="E19" s="157">
        <f>IF(inputPrYr!E25&gt;0,ROUND(+C19*E$44,0),"  ")</f>
        <v>9739</v>
      </c>
      <c r="F19" s="157">
        <f>IF(inputPrYr!E25&gt;0,ROUND(+C19*F$46,0),"  ")</f>
        <v>104</v>
      </c>
      <c r="G19" s="157">
        <f>IF(inputPrYr!E25&gt;0,ROUND(+C19*G$48,0),"  ")</f>
        <v>262</v>
      </c>
      <c r="H19" s="125"/>
      <c r="I19" s="66"/>
    </row>
    <row r="20" spans="1:9" ht="15.75">
      <c r="A20" s="66"/>
      <c r="B20" s="109" t="str">
        <f>IF((inputPrYr!$B26&gt;" "),(inputPrYr!$B26),"  ")</f>
        <v>.Ambulance Services</v>
      </c>
      <c r="C20" s="157">
        <f>IF(inputPrYr!E26&gt;0,inputPrYr!E26,"  ")</f>
        <v>392630</v>
      </c>
      <c r="D20" s="224">
        <f>IF(inputPrYr!F26&gt;0,(inputPrYr!F26),"  ")</f>
        <v>1.352</v>
      </c>
      <c r="E20" s="157">
        <f>IF(inputPrYr!E26&gt;0,ROUND(+C20*E$44,0),"  ")</f>
        <v>44036</v>
      </c>
      <c r="F20" s="157">
        <f>IF(inputPrYr!E26&gt;0,ROUND(+C20*F$46,0),"  ")</f>
        <v>469</v>
      </c>
      <c r="G20" s="157">
        <f>IF(inputPrYr!E26&gt;0,ROUND(+C20*G$48,0),"  ")</f>
        <v>1186</v>
      </c>
      <c r="H20" s="125"/>
      <c r="I20" s="66"/>
    </row>
    <row r="21" spans="1:9" ht="15.75">
      <c r="A21" s="66"/>
      <c r="B21" s="109" t="str">
        <f>IF((inputPrYr!$B27&gt;" "),(inputPrYr!$B27),"  ")</f>
        <v>Economic Development</v>
      </c>
      <c r="C21" s="157">
        <f>IF(inputPrYr!E27&gt;0,inputPrYr!E27,"  ")</f>
        <v>71590</v>
      </c>
      <c r="D21" s="224">
        <f>IF(inputPrYr!F27&gt;0,(inputPrYr!F27),"  ")</f>
        <v>0.247</v>
      </c>
      <c r="E21" s="157">
        <f>IF(inputPrYr!E27&gt;0,ROUND(+C21*E$44,0),"  ")</f>
        <v>8029</v>
      </c>
      <c r="F21" s="157">
        <f>IF(inputPrYr!E27&gt;0,ROUND(+C21*F$46,0),"  ")</f>
        <v>86</v>
      </c>
      <c r="G21" s="157">
        <f>IF(inputPrYr!E27&gt;0,ROUND(+C21*G$48,0),"  ")</f>
        <v>216</v>
      </c>
      <c r="H21" s="125"/>
      <c r="I21" s="66"/>
    </row>
    <row r="22" spans="1:9" ht="15.75">
      <c r="A22" s="66"/>
      <c r="B22" s="109" t="str">
        <f>IF((inputPrYr!$B28&gt;" "),(inputPrYr!$B28),"  ")</f>
        <v>Special Liability</v>
      </c>
      <c r="C22" s="157">
        <f>IF(inputPrYr!E28&gt;0,inputPrYr!E28,"  ")</f>
        <v>17231</v>
      </c>
      <c r="D22" s="224">
        <f>IF(inputPrYr!F28&gt;0,(inputPrYr!F28),"  ")</f>
        <v>0.059</v>
      </c>
      <c r="E22" s="157">
        <f>IF(inputPrYr!E28&gt;0,ROUND(+C22*E$44,0),"  ")</f>
        <v>1933</v>
      </c>
      <c r="F22" s="157">
        <f>IF(inputPrYr!E28&gt;0,ROUND(+C22*F$46,0),"  ")</f>
        <v>21</v>
      </c>
      <c r="G22" s="157">
        <f>IF(inputPrYr!E28&gt;0,ROUND(+C22*G$48,0),"  ")</f>
        <v>52</v>
      </c>
      <c r="H22" s="125"/>
      <c r="I22" s="66"/>
    </row>
    <row r="23" spans="1:9" ht="15.75">
      <c r="A23" s="66"/>
      <c r="B23" s="109" t="str">
        <f>IF((inputPrYr!$B29&gt;" "),(inputPrYr!$B29),"  ")</f>
        <v>No Fund Warr-B&amp;I</v>
      </c>
      <c r="C23" s="157" t="str">
        <f>IF(inputPrYr!E29&gt;0,inputPrYr!E29,"  ")</f>
        <v>  </v>
      </c>
      <c r="D23" s="224" t="str">
        <f>IF(inputPrYr!F29&gt;0,(inputPrYr!F29),"  ")</f>
        <v>  </v>
      </c>
      <c r="E23" s="157" t="str">
        <f>IF(inputPrYr!E29&gt;0,ROUND(+C23*E$44,0),"  ")</f>
        <v>  </v>
      </c>
      <c r="F23" s="157" t="str">
        <f>IF(inputPrYr!E29&gt;0,ROUND(+C23*F$46,0),"  ")</f>
        <v>  </v>
      </c>
      <c r="G23" s="157" t="str">
        <f>IF(inputPrYr!E29&gt;0,ROUND(+C23*G$48,0),"  ")</f>
        <v>  </v>
      </c>
      <c r="H23" s="125"/>
      <c r="I23" s="66"/>
    </row>
    <row r="24" spans="1:9" ht="15.75">
      <c r="A24" s="66"/>
      <c r="B24" s="109" t="str">
        <f>IF((inputPrYr!$B30&gt;" "),(inputPrYr!$B30),"  ")</f>
        <v>  </v>
      </c>
      <c r="C24" s="157" t="str">
        <f>IF(inputPrYr!E30&gt;0,inputPrYr!E30,"  ")</f>
        <v>  </v>
      </c>
      <c r="D24" s="224" t="str">
        <f>IF(inputPrYr!F30&gt;0,(inputPrYr!F30),"  ")</f>
        <v>  </v>
      </c>
      <c r="E24" s="157" t="str">
        <f>IF(inputPrYr!E30&gt;0,ROUND(+C24*E$44,0),"  ")</f>
        <v>  </v>
      </c>
      <c r="F24" s="157" t="str">
        <f>IF(inputPrYr!E30&gt;0,ROUND(+C24*F$46,0),"  ")</f>
        <v>  </v>
      </c>
      <c r="G24" s="157" t="str">
        <f>IF(inputPrYr!E30&gt;0,ROUND(+C24*G$48,0),"  ")</f>
        <v>  </v>
      </c>
      <c r="H24" s="125"/>
      <c r="I24" s="66"/>
    </row>
    <row r="25" spans="1:9" ht="15.75">
      <c r="A25" s="66"/>
      <c r="B25" s="109" t="str">
        <f>IF((inputPrYr!$B31&gt;" "),(inputPrYr!$B31),"  ")</f>
        <v>  </v>
      </c>
      <c r="C25" s="157" t="str">
        <f>IF(inputPrYr!E31&gt;0,inputPrYr!E31,"  ")</f>
        <v>  </v>
      </c>
      <c r="D25" s="224" t="str">
        <f>IF(inputPrYr!F31&gt;0,(inputPrYr!F31),"  ")</f>
        <v>  </v>
      </c>
      <c r="E25" s="157" t="str">
        <f>IF(inputPrYr!E31&gt;0,ROUND(+C25*E$44,0),"  ")</f>
        <v>  </v>
      </c>
      <c r="F25" s="157" t="str">
        <f>IF(inputPrYr!E31&gt;0,ROUND(C25*F$46,0),"  ")</f>
        <v>  </v>
      </c>
      <c r="G25" s="157" t="str">
        <f>IF(inputPrYr!E31&gt;0,ROUND(+C25*G$48,0),"  ")</f>
        <v>  </v>
      </c>
      <c r="H25" s="125"/>
      <c r="I25" s="66"/>
    </row>
    <row r="26" spans="1:9" ht="15.75">
      <c r="A26" s="66"/>
      <c r="B26" s="109" t="str">
        <f>IF((inputPrYr!$B32&gt;" "),(inputPrYr!$B32),"  ")</f>
        <v>  </v>
      </c>
      <c r="C26" s="157" t="str">
        <f>IF(inputPrYr!E32&gt;0,inputPrYr!E32,"  ")</f>
        <v>  </v>
      </c>
      <c r="D26" s="224" t="str">
        <f>IF(inputPrYr!F32&gt;0,(inputPrYr!F32),"  ")</f>
        <v>  </v>
      </c>
      <c r="E26" s="157" t="str">
        <f>IF(inputPrYr!E32&gt;0,ROUND(+C26*E$44,0),"  ")</f>
        <v>  </v>
      </c>
      <c r="F26" s="157" t="str">
        <f>IF(inputPrYr!E32&gt;0,ROUND(+C26*F$46,0),"  ")</f>
        <v>  </v>
      </c>
      <c r="G26" s="157" t="str">
        <f>IF(inputPrYr!E32&gt;0,ROUND(+C26*G$48,0),"  ")</f>
        <v>  </v>
      </c>
      <c r="H26" s="125"/>
      <c r="I26" s="66"/>
    </row>
    <row r="27" spans="1:9" ht="15.75">
      <c r="A27" s="66"/>
      <c r="B27" s="109" t="str">
        <f>IF((inputPrYr!$B33&gt;" "),(inputPrYr!$B33),"  ")</f>
        <v>  </v>
      </c>
      <c r="C27" s="157" t="str">
        <f>IF(inputPrYr!E33&gt;0,inputPrYr!E33,"  ")</f>
        <v>  </v>
      </c>
      <c r="D27" s="224" t="str">
        <f>IF(inputPrYr!F33&gt;0,(inputPrYr!F33),"  ")</f>
        <v>  </v>
      </c>
      <c r="E27" s="157" t="str">
        <f>IF(inputPrYr!E33&gt;0,ROUND(+C27*E$44,0),"  ")</f>
        <v>  </v>
      </c>
      <c r="F27" s="157" t="str">
        <f>IF(inputPrYr!E33&gt;0,ROUND(+C27*F$46,0),"  ")</f>
        <v>  </v>
      </c>
      <c r="G27" s="157" t="str">
        <f>IF(inputPrYr!E33&gt;0,ROUND(+C27*G$48,0),"  ")</f>
        <v>  </v>
      </c>
      <c r="H27" s="125"/>
      <c r="I27" s="66"/>
    </row>
    <row r="28" spans="1:9" ht="15.75">
      <c r="A28" s="66"/>
      <c r="B28" s="109" t="str">
        <f>IF((inputPrYr!$B34&gt;" "),(inputPrYr!$B34),"  ")</f>
        <v>  </v>
      </c>
      <c r="C28" s="157" t="str">
        <f>IF(inputPrYr!E34&gt;0,inputPrYr!E34,"  ")</f>
        <v>  </v>
      </c>
      <c r="D28" s="224" t="str">
        <f>IF(inputPrYr!F34&gt;0,(inputPrYr!F34),"  ")</f>
        <v>  </v>
      </c>
      <c r="E28" s="157" t="str">
        <f>IF(inputPrYr!E34&gt;0,ROUND(+C28*E$44,0),"  ")</f>
        <v>  </v>
      </c>
      <c r="F28" s="157" t="str">
        <f>IF(inputPrYr!E34&gt;0,ROUND(+C28*F$46,0),"  ")</f>
        <v>  </v>
      </c>
      <c r="G28" s="157" t="str">
        <f>IF(inputPrYr!E34&gt;0,ROUND(+C28*G$48,0),"  ")</f>
        <v>  </v>
      </c>
      <c r="H28" s="125"/>
      <c r="I28" s="66"/>
    </row>
    <row r="29" spans="1:9" ht="15.75">
      <c r="A29" s="66"/>
      <c r="B29" s="109" t="str">
        <f>IF((inputPrYr!$B35&gt;" "),(inputPrYr!$B35),"  ")</f>
        <v>  </v>
      </c>
      <c r="C29" s="157" t="str">
        <f>IF(inputPrYr!E35&gt;0,inputPrYr!E35,"  ")</f>
        <v>  </v>
      </c>
      <c r="D29" s="224" t="str">
        <f>IF(inputPrYr!F35&gt;0,(inputPrYr!F35),"  ")</f>
        <v>  </v>
      </c>
      <c r="E29" s="157" t="str">
        <f>IF(inputPrYr!E35&gt;0,ROUND(+C29*E$44,0),"  ")</f>
        <v>  </v>
      </c>
      <c r="F29" s="157" t="str">
        <f>IF(inputPrYr!E35&gt;0,ROUND(+C29*F$46,0),"  ")</f>
        <v>  </v>
      </c>
      <c r="G29" s="157" t="str">
        <f>IF(inputPrYr!E35&gt;0,ROUND(+C29*G$48,0),"  ")</f>
        <v>  </v>
      </c>
      <c r="H29" s="125"/>
      <c r="I29" s="66"/>
    </row>
    <row r="30" spans="1:9" ht="15.75">
      <c r="A30" s="66"/>
      <c r="B30" s="109" t="str">
        <f>IF((inputPrYr!$B36&gt;" "),(inputPrYr!$B36),"  ")</f>
        <v>  </v>
      </c>
      <c r="C30" s="157" t="str">
        <f>IF(inputPrYr!E36&gt;0,inputPrYr!E36,"  ")</f>
        <v>  </v>
      </c>
      <c r="D30" s="224" t="str">
        <f>IF(inputPrYr!F36&gt;0,(inputPrYr!F36),"  ")</f>
        <v>  </v>
      </c>
      <c r="E30" s="157" t="str">
        <f>IF(inputPrYr!E36&gt;0,ROUND(+C30*E$44,0),"  ")</f>
        <v>  </v>
      </c>
      <c r="F30" s="157" t="str">
        <f>IF(inputPrYr!E36&gt;0,ROUND(+C30*F$46,0),"  ")</f>
        <v>  </v>
      </c>
      <c r="G30" s="157" t="str">
        <f>IF(inputPrYr!E36&gt;0,ROUND(+C30*G$48,0),"  ")</f>
        <v>  </v>
      </c>
      <c r="H30" s="125"/>
      <c r="I30" s="66"/>
    </row>
    <row r="31" spans="1:9" ht="15.75">
      <c r="A31" s="66"/>
      <c r="B31" s="109" t="str">
        <f>IF((inputPrYr!$B37&gt;" "),(inputPrYr!$B37),"  ")</f>
        <v>  </v>
      </c>
      <c r="C31" s="157" t="str">
        <f>IF(inputPrYr!E37&gt;0,inputPrYr!E37,"  ")</f>
        <v>  </v>
      </c>
      <c r="D31" s="224" t="str">
        <f>IF(inputPrYr!F37&gt;0,(inputPrYr!F37),"  ")</f>
        <v>  </v>
      </c>
      <c r="E31" s="157" t="str">
        <f>IF(inputPrYr!E37&gt;0,ROUND(+C31*E$44,0),"  ")</f>
        <v>  </v>
      </c>
      <c r="F31" s="157" t="str">
        <f>IF(inputPrYr!E37&gt;0,ROUND(+C31*F$46,0),"  ")</f>
        <v>  </v>
      </c>
      <c r="G31" s="157" t="str">
        <f>IF(inputPrYr!E37&gt;0,ROUND(+C31*G$48,0),"  ")</f>
        <v>  </v>
      </c>
      <c r="H31" s="125"/>
      <c r="I31" s="66"/>
    </row>
    <row r="32" spans="1:9" ht="15.75">
      <c r="A32" s="66"/>
      <c r="B32" s="109" t="str">
        <f>IF((inputPrYr!$B38&gt;" "),(inputPrYr!$B38),"  ")</f>
        <v>  </v>
      </c>
      <c r="C32" s="157" t="str">
        <f>IF(inputPrYr!E38&gt;0,inputPrYr!E38,"  ")</f>
        <v>  </v>
      </c>
      <c r="D32" s="224" t="str">
        <f>IF(inputPrYr!F38&gt;0,(inputPrYr!F38),"  ")</f>
        <v>  </v>
      </c>
      <c r="E32" s="157" t="str">
        <f>IF(inputPrYr!E38&gt;0,ROUND(+C32*E$44,0),"  ")</f>
        <v>  </v>
      </c>
      <c r="F32" s="157" t="str">
        <f>IF(inputPrYr!E38&gt;0,ROUND(+C32*F$46,0),"  ")</f>
        <v>  </v>
      </c>
      <c r="G32" s="157" t="str">
        <f>IF(inputPrYr!E38&gt;0,ROUND(+C32*G$48,0),"  ")</f>
        <v>  </v>
      </c>
      <c r="H32" s="125"/>
      <c r="I32" s="66"/>
    </row>
    <row r="33" spans="1:9" ht="15.75">
      <c r="A33" s="66"/>
      <c r="B33" s="109" t="str">
        <f>IF((inputPrYr!$B39&gt;" "),(inputPrYr!$B39),"  ")</f>
        <v>  </v>
      </c>
      <c r="C33" s="157" t="str">
        <f>IF(inputPrYr!E39&gt;0,inputPrYr!E39,"  ")</f>
        <v>  </v>
      </c>
      <c r="D33" s="224" t="str">
        <f>IF(inputPrYr!F39&gt;0,(inputPrYr!F39),"  ")</f>
        <v>  </v>
      </c>
      <c r="E33" s="157" t="str">
        <f>IF(inputPrYr!E39&gt;0,ROUND(+C33*E$44,0),"  ")</f>
        <v>  </v>
      </c>
      <c r="F33" s="157" t="str">
        <f>IF(inputPrYr!E39&gt;0,ROUND(+C33*F$46,0),"  ")</f>
        <v>  </v>
      </c>
      <c r="G33" s="157" t="str">
        <f>IF(inputPrYr!E39&gt;0,ROUND(+C33*G$48,0),"  ")</f>
        <v>  </v>
      </c>
      <c r="H33" s="125"/>
      <c r="I33" s="66"/>
    </row>
    <row r="34" spans="1:9" ht="15.75">
      <c r="A34" s="66"/>
      <c r="B34" s="109" t="str">
        <f>IF((inputPrYr!$B40&gt;" "),(inputPrYr!$B40),"  ")</f>
        <v>  </v>
      </c>
      <c r="C34" s="157" t="str">
        <f>IF(inputPrYr!E40&gt;0,inputPrYr!E40,"  ")</f>
        <v>  </v>
      </c>
      <c r="D34" s="224" t="str">
        <f>IF(inputPrYr!F40&gt;0,(inputPrYr!F40),"  ")</f>
        <v>  </v>
      </c>
      <c r="E34" s="157" t="str">
        <f>IF(inputPrYr!E40&gt;0,ROUND(+C34*E$44,0),"  ")</f>
        <v>  </v>
      </c>
      <c r="F34" s="157" t="str">
        <f>IF(inputPrYr!E40&gt;0,ROUND(+C34*F$46,0),"  ")</f>
        <v>  </v>
      </c>
      <c r="G34" s="157" t="str">
        <f>IF(inputPrYr!E40&gt;0,ROUND(+C34*G$48,0),"  ")</f>
        <v>  </v>
      </c>
      <c r="H34" s="125"/>
      <c r="I34" s="66"/>
    </row>
    <row r="35" spans="1:9" ht="21.75" customHeight="1" thickBot="1">
      <c r="A35" s="66"/>
      <c r="B35" s="85" t="s">
        <v>666</v>
      </c>
      <c r="C35" s="225">
        <f>SUM(C10:C34)</f>
        <v>11799021</v>
      </c>
      <c r="D35" s="226">
        <f>SUM(D10:D34)</f>
        <v>40.64399999999999</v>
      </c>
      <c r="E35" s="225">
        <f>SUM(E10:E34)</f>
        <v>1323338</v>
      </c>
      <c r="F35" s="225">
        <f>SUM(F10:F34)</f>
        <v>14101</v>
      </c>
      <c r="G35" s="225">
        <f>SUM(G10:G34)</f>
        <v>35632</v>
      </c>
      <c r="H35" s="125"/>
      <c r="I35" s="66"/>
    </row>
    <row r="36" spans="1:9" ht="16.5" thickTop="1">
      <c r="A36" s="66"/>
      <c r="B36" s="66"/>
      <c r="C36" s="80"/>
      <c r="D36" s="80"/>
      <c r="E36" s="80"/>
      <c r="F36" s="80"/>
      <c r="G36" s="80"/>
      <c r="H36" s="227"/>
      <c r="I36" s="66"/>
    </row>
    <row r="37" spans="1:9" ht="19.5" customHeight="1">
      <c r="A37" s="66"/>
      <c r="B37" s="65" t="s">
        <v>667</v>
      </c>
      <c r="C37" s="228"/>
      <c r="D37" s="228"/>
      <c r="E37" s="229">
        <f>(inputOth!E14)</f>
        <v>1323338</v>
      </c>
      <c r="F37" s="228"/>
      <c r="G37" s="80"/>
      <c r="H37" s="227"/>
      <c r="I37" s="66"/>
    </row>
    <row r="38" spans="1:9" ht="15.75">
      <c r="A38" s="66"/>
      <c r="B38" s="65"/>
      <c r="C38" s="228"/>
      <c r="D38" s="228"/>
      <c r="E38" s="230"/>
      <c r="F38" s="228"/>
      <c r="G38" s="80"/>
      <c r="H38" s="227"/>
      <c r="I38" s="66"/>
    </row>
    <row r="39" spans="1:9" ht="19.5" customHeight="1">
      <c r="A39" s="66"/>
      <c r="B39" s="65" t="s">
        <v>668</v>
      </c>
      <c r="C39" s="80"/>
      <c r="D39" s="80"/>
      <c r="E39" s="80"/>
      <c r="F39" s="229">
        <f>(inputOth!E15)</f>
        <v>14101</v>
      </c>
      <c r="G39" s="80"/>
      <c r="H39" s="227"/>
      <c r="I39" s="66"/>
    </row>
    <row r="40" spans="1:9" ht="15.75">
      <c r="A40" s="66"/>
      <c r="B40" s="65"/>
      <c r="C40" s="80"/>
      <c r="D40" s="80"/>
      <c r="E40" s="80"/>
      <c r="F40" s="230"/>
      <c r="G40" s="80"/>
      <c r="H40" s="227"/>
      <c r="I40" s="66"/>
    </row>
    <row r="41" spans="1:9" ht="18.75" customHeight="1">
      <c r="A41" s="66"/>
      <c r="B41" s="65" t="s">
        <v>752</v>
      </c>
      <c r="C41" s="80"/>
      <c r="D41" s="80"/>
      <c r="E41" s="80"/>
      <c r="F41" s="80"/>
      <c r="G41" s="229">
        <f>inputOth!E16</f>
        <v>35632</v>
      </c>
      <c r="H41" s="227"/>
      <c r="I41" s="66"/>
    </row>
    <row r="42" spans="1:9" ht="15.75">
      <c r="A42" s="66"/>
      <c r="B42" s="66"/>
      <c r="C42" s="80"/>
      <c r="D42" s="80"/>
      <c r="E42" s="80"/>
      <c r="F42" s="80"/>
      <c r="G42" s="80"/>
      <c r="H42" s="227"/>
      <c r="I42" s="66"/>
    </row>
    <row r="43" spans="1:9" ht="15.75">
      <c r="A43" s="66"/>
      <c r="B43" s="66"/>
      <c r="C43" s="80"/>
      <c r="D43" s="80"/>
      <c r="E43" s="80"/>
      <c r="F43" s="80"/>
      <c r="G43" s="80"/>
      <c r="H43" s="227"/>
      <c r="I43" s="66"/>
    </row>
    <row r="44" spans="1:9" ht="20.25" customHeight="1">
      <c r="A44" s="66"/>
      <c r="B44" s="65" t="s">
        <v>669</v>
      </c>
      <c r="C44" s="80"/>
      <c r="D44" s="80"/>
      <c r="E44" s="232">
        <f>IF(C35=0,0,E37/C35)</f>
        <v>0.11215659333092128</v>
      </c>
      <c r="F44" s="80"/>
      <c r="G44" s="80"/>
      <c r="H44" s="227"/>
      <c r="I44" s="66"/>
    </row>
    <row r="45" spans="1:9" ht="15.75">
      <c r="A45" s="66"/>
      <c r="B45" s="65"/>
      <c r="C45" s="80"/>
      <c r="D45" s="80"/>
      <c r="E45" s="233"/>
      <c r="F45" s="80"/>
      <c r="G45" s="80"/>
      <c r="H45" s="227"/>
      <c r="I45" s="66"/>
    </row>
    <row r="46" spans="1:9" ht="19.5" customHeight="1">
      <c r="A46" s="66"/>
      <c r="B46" s="65" t="s">
        <v>813</v>
      </c>
      <c r="C46" s="80"/>
      <c r="D46" s="80"/>
      <c r="E46" s="80"/>
      <c r="F46" s="232">
        <f>IF(C35=0,0,F39/C35)</f>
        <v>0.00119509915271784</v>
      </c>
      <c r="G46" s="80"/>
      <c r="H46" s="227"/>
      <c r="I46" s="66"/>
    </row>
    <row r="47" spans="1:9" ht="15.75">
      <c r="A47" s="66"/>
      <c r="B47" s="65"/>
      <c r="C47" s="80"/>
      <c r="D47" s="80"/>
      <c r="E47" s="80"/>
      <c r="F47" s="233"/>
      <c r="G47" s="80"/>
      <c r="H47" s="227"/>
      <c r="I47" s="66"/>
    </row>
    <row r="48" spans="1:9" ht="20.25" customHeight="1">
      <c r="A48" s="66"/>
      <c r="B48" s="65" t="s">
        <v>812</v>
      </c>
      <c r="C48" s="80"/>
      <c r="D48" s="80"/>
      <c r="E48" s="80"/>
      <c r="F48" s="80"/>
      <c r="G48" s="232">
        <f>IF(G41=0,0,G41/C35)</f>
        <v>0.00301991156723935</v>
      </c>
      <c r="H48" s="227"/>
      <c r="I48" s="66"/>
    </row>
    <row r="49" spans="1:9" s="123" customFormat="1" ht="15" customHeight="1">
      <c r="A49" s="66"/>
      <c r="B49" s="125"/>
      <c r="C49" s="234"/>
      <c r="D49" s="234"/>
      <c r="E49" s="234"/>
      <c r="F49" s="234"/>
      <c r="G49" s="234"/>
      <c r="H49" s="234"/>
      <c r="I49" s="66"/>
    </row>
    <row r="50" spans="1:9" s="123" customFormat="1" ht="15" customHeight="1">
      <c r="A50" s="66"/>
      <c r="B50" s="125"/>
      <c r="C50" s="234"/>
      <c r="D50" s="234"/>
      <c r="E50" s="234"/>
      <c r="F50" s="234"/>
      <c r="G50" s="234"/>
      <c r="H50" s="234"/>
      <c r="I50" s="66"/>
    </row>
    <row r="51" spans="1:9" s="197" customFormat="1" ht="15" customHeight="1">
      <c r="A51" s="66"/>
      <c r="B51" s="125"/>
      <c r="C51" s="234"/>
      <c r="D51" s="234"/>
      <c r="E51" s="234"/>
      <c r="F51" s="234"/>
      <c r="G51" s="234"/>
      <c r="H51" s="234"/>
      <c r="I51" s="80"/>
    </row>
    <row r="52" spans="2:8" s="123" customFormat="1" ht="15" customHeight="1">
      <c r="B52" s="47"/>
      <c r="C52" s="47"/>
      <c r="D52" s="47"/>
      <c r="E52" s="47"/>
      <c r="F52" s="47"/>
      <c r="G52" s="47"/>
      <c r="H52" s="47"/>
    </row>
    <row r="53" spans="2:8" s="123" customFormat="1" ht="15" customHeight="1">
      <c r="B53" s="47"/>
      <c r="C53" s="47"/>
      <c r="D53" s="47"/>
      <c r="E53" s="47"/>
      <c r="F53" s="47"/>
      <c r="G53" s="47"/>
      <c r="H53" s="47"/>
    </row>
    <row r="54" spans="2:8" s="123" customFormat="1" ht="15" customHeight="1">
      <c r="B54" s="47"/>
      <c r="C54" s="47"/>
      <c r="D54" s="47"/>
      <c r="E54" s="47"/>
      <c r="F54" s="47"/>
      <c r="G54" s="47"/>
      <c r="H54" s="47"/>
    </row>
    <row r="55" spans="2:8" s="123" customFormat="1" ht="15" customHeight="1">
      <c r="B55" s="47"/>
      <c r="C55" s="47"/>
      <c r="D55" s="47"/>
      <c r="E55" s="47"/>
      <c r="F55" s="47"/>
      <c r="G55" s="47"/>
      <c r="H55" s="47"/>
    </row>
    <row r="56" spans="2:8" s="123" customFormat="1" ht="15" customHeight="1">
      <c r="B56" s="47"/>
      <c r="C56" s="47"/>
      <c r="D56" s="47"/>
      <c r="E56" s="47"/>
      <c r="F56" s="47"/>
      <c r="G56" s="47"/>
      <c r="H56" s="47"/>
    </row>
    <row r="57" spans="2:8" s="123" customFormat="1" ht="15" customHeight="1">
      <c r="B57" s="47"/>
      <c r="C57" s="47"/>
      <c r="D57" s="47"/>
      <c r="E57" s="47"/>
      <c r="F57" s="47"/>
      <c r="G57" s="47"/>
      <c r="H57" s="47"/>
    </row>
    <row r="58" spans="2:8" s="123" customFormat="1" ht="15" customHeight="1">
      <c r="B58" s="47"/>
      <c r="C58" s="47"/>
      <c r="D58" s="47"/>
      <c r="E58" s="47"/>
      <c r="F58" s="47"/>
      <c r="G58" s="47"/>
      <c r="H58" s="47"/>
    </row>
    <row r="59" spans="2:8" s="123" customFormat="1" ht="15" customHeight="1">
      <c r="B59" s="47"/>
      <c r="C59" s="47"/>
      <c r="D59" s="47"/>
      <c r="E59" s="47"/>
      <c r="F59" s="47"/>
      <c r="G59" s="47"/>
      <c r="H59" s="47"/>
    </row>
    <row r="60" spans="2:8" s="123" customFormat="1" ht="15" customHeight="1">
      <c r="B60" s="47"/>
      <c r="C60" s="47"/>
      <c r="D60" s="47"/>
      <c r="E60" s="47"/>
      <c r="F60" s="47"/>
      <c r="G60" s="47"/>
      <c r="H60" s="47"/>
    </row>
    <row r="61" spans="2:8" s="123" customFormat="1" ht="15" customHeight="1">
      <c r="B61" s="47"/>
      <c r="C61" s="47"/>
      <c r="D61" s="47"/>
      <c r="E61" s="47"/>
      <c r="F61" s="47"/>
      <c r="G61" s="47"/>
      <c r="H61" s="47"/>
    </row>
    <row r="62" spans="2:8" s="123" customFormat="1" ht="15" customHeight="1">
      <c r="B62" s="47"/>
      <c r="C62" s="47"/>
      <c r="D62" s="47"/>
      <c r="E62" s="47"/>
      <c r="F62" s="47"/>
      <c r="G62" s="47"/>
      <c r="H62" s="47"/>
    </row>
    <row r="63" spans="2:8" s="123" customFormat="1" ht="15" customHeight="1">
      <c r="B63" s="47"/>
      <c r="C63" s="47"/>
      <c r="D63" s="47"/>
      <c r="E63" s="47"/>
      <c r="F63" s="47"/>
      <c r="G63" s="47"/>
      <c r="H63" s="47"/>
    </row>
    <row r="64" spans="2:8" s="123" customFormat="1" ht="15" customHeight="1">
      <c r="B64" s="47"/>
      <c r="C64" s="47"/>
      <c r="D64" s="47"/>
      <c r="E64" s="47"/>
      <c r="F64" s="47"/>
      <c r="G64" s="47"/>
      <c r="H64" s="47"/>
    </row>
    <row r="65" spans="2:8" s="123" customFormat="1" ht="15" customHeight="1">
      <c r="B65" s="47"/>
      <c r="C65" s="47"/>
      <c r="D65" s="47"/>
      <c r="E65" s="47"/>
      <c r="F65" s="47"/>
      <c r="G65" s="47"/>
      <c r="H65" s="47"/>
    </row>
  </sheetData>
  <sheetProtection sheet="1"/>
  <mergeCells count="4">
    <mergeCell ref="C8:C9"/>
    <mergeCell ref="D8:D9"/>
    <mergeCell ref="E8:G8"/>
    <mergeCell ref="B5:G5"/>
  </mergeCells>
  <printOptions/>
  <pageMargins left="1.17" right="0.5" top="0.72" bottom="0.23" header="0.5" footer="0"/>
  <pageSetup blackAndWhite="1" horizontalDpi="120" verticalDpi="120" orientation="portrait" scale="75" r:id="rId1"/>
  <headerFooter alignWithMargins="0">
    <oddHeader>&amp;RState of Kansas
County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
  <cols>
    <col min="1" max="2" width="17.796875" style="123" customWidth="1"/>
    <col min="3" max="6" width="12.796875" style="123" customWidth="1"/>
    <col min="7" max="16384" width="8.8984375" style="123" customWidth="1"/>
  </cols>
  <sheetData>
    <row r="1" spans="1:6" ht="15.75">
      <c r="A1" s="199"/>
      <c r="B1" s="66"/>
      <c r="C1" s="66"/>
      <c r="D1" s="66"/>
      <c r="E1" s="106"/>
      <c r="F1" s="66">
        <f>inputPrYr!C5</f>
        <v>2015</v>
      </c>
    </row>
    <row r="2" spans="1:6" ht="15.75">
      <c r="A2" s="124" t="str">
        <f>inputPrYr!C3</f>
        <v>Montgomery County</v>
      </c>
      <c r="B2" s="124"/>
      <c r="C2" s="66"/>
      <c r="D2" s="66"/>
      <c r="E2" s="106"/>
      <c r="F2" s="66"/>
    </row>
    <row r="3" spans="1:6" ht="15.75">
      <c r="A3" s="199"/>
      <c r="B3" s="124"/>
      <c r="C3" s="66"/>
      <c r="D3" s="66"/>
      <c r="E3" s="106"/>
      <c r="F3" s="66"/>
    </row>
    <row r="4" spans="1:6" ht="15.75">
      <c r="A4" s="199"/>
      <c r="B4" s="66"/>
      <c r="C4" s="66"/>
      <c r="D4" s="66"/>
      <c r="E4" s="106"/>
      <c r="F4" s="66"/>
    </row>
    <row r="5" spans="1:6" ht="15" customHeight="1">
      <c r="A5" s="730" t="s">
        <v>794</v>
      </c>
      <c r="B5" s="730"/>
      <c r="C5" s="730"/>
      <c r="D5" s="730"/>
      <c r="E5" s="730"/>
      <c r="F5" s="730"/>
    </row>
    <row r="6" spans="1:6" ht="14.25" customHeight="1">
      <c r="A6" s="200"/>
      <c r="B6" s="235"/>
      <c r="C6" s="235"/>
      <c r="D6" s="235"/>
      <c r="E6" s="235"/>
      <c r="F6" s="235"/>
    </row>
    <row r="7" spans="1:6" ht="15" customHeight="1">
      <c r="A7" s="236" t="s">
        <v>435</v>
      </c>
      <c r="B7" s="236" t="s">
        <v>436</v>
      </c>
      <c r="C7" s="237" t="s">
        <v>702</v>
      </c>
      <c r="D7" s="237" t="s">
        <v>809</v>
      </c>
      <c r="E7" s="236" t="s">
        <v>810</v>
      </c>
      <c r="F7" s="236" t="s">
        <v>838</v>
      </c>
    </row>
    <row r="8" spans="1:6" ht="15" customHeight="1">
      <c r="A8" s="238" t="s">
        <v>437</v>
      </c>
      <c r="B8" s="238" t="s">
        <v>438</v>
      </c>
      <c r="C8" s="239" t="s">
        <v>837</v>
      </c>
      <c r="D8" s="239" t="s">
        <v>837</v>
      </c>
      <c r="E8" s="239" t="s">
        <v>837</v>
      </c>
      <c r="F8" s="239" t="s">
        <v>811</v>
      </c>
    </row>
    <row r="9" spans="1:6" s="197" customFormat="1" ht="15" customHeight="1" thickBot="1">
      <c r="A9" s="240" t="s">
        <v>835</v>
      </c>
      <c r="B9" s="241" t="s">
        <v>836</v>
      </c>
      <c r="C9" s="241">
        <f>F1-2</f>
        <v>2013</v>
      </c>
      <c r="D9" s="241">
        <f>F1-1</f>
        <v>2014</v>
      </c>
      <c r="E9" s="241">
        <f>F1</f>
        <v>2015</v>
      </c>
      <c r="F9" s="241" t="s">
        <v>642</v>
      </c>
    </row>
    <row r="10" spans="1:6" ht="15" customHeight="1" thickTop="1">
      <c r="A10" s="242" t="s">
        <v>235</v>
      </c>
      <c r="B10" s="242" t="s">
        <v>236</v>
      </c>
      <c r="C10" s="243">
        <v>0</v>
      </c>
      <c r="D10" s="243">
        <v>20431</v>
      </c>
      <c r="E10" s="243">
        <v>0</v>
      </c>
      <c r="F10" s="242" t="s">
        <v>239</v>
      </c>
    </row>
    <row r="11" spans="1:6" ht="15" customHeight="1">
      <c r="A11" s="90" t="s">
        <v>237</v>
      </c>
      <c r="B11" s="90" t="s">
        <v>236</v>
      </c>
      <c r="C11" s="244">
        <v>45000</v>
      </c>
      <c r="D11" s="244">
        <v>0</v>
      </c>
      <c r="E11" s="244">
        <v>0</v>
      </c>
      <c r="F11" s="242" t="s">
        <v>240</v>
      </c>
    </row>
    <row r="12" spans="1:6" ht="15" customHeight="1">
      <c r="A12" s="90" t="s">
        <v>698</v>
      </c>
      <c r="B12" s="90" t="s">
        <v>221</v>
      </c>
      <c r="C12" s="244">
        <v>0</v>
      </c>
      <c r="D12" s="244">
        <v>0</v>
      </c>
      <c r="E12" s="244">
        <v>300000</v>
      </c>
      <c r="F12" s="242" t="s">
        <v>238</v>
      </c>
    </row>
    <row r="13" spans="1:6" ht="15" customHeight="1">
      <c r="A13" s="90"/>
      <c r="B13" s="90"/>
      <c r="C13" s="244"/>
      <c r="D13" s="244"/>
      <c r="E13" s="244"/>
      <c r="F13" s="242"/>
    </row>
    <row r="14" spans="1:6" ht="15" customHeight="1">
      <c r="A14" s="90"/>
      <c r="B14" s="90"/>
      <c r="C14" s="244"/>
      <c r="D14" s="244"/>
      <c r="E14" s="244"/>
      <c r="F14" s="242"/>
    </row>
    <row r="15" spans="1:6" ht="15" customHeight="1">
      <c r="A15" s="90"/>
      <c r="B15" s="90"/>
      <c r="C15" s="244"/>
      <c r="D15" s="244"/>
      <c r="E15" s="244"/>
      <c r="F15" s="242"/>
    </row>
    <row r="16" spans="1:6" ht="15" customHeight="1">
      <c r="A16" s="90"/>
      <c r="B16" s="90"/>
      <c r="C16" s="244"/>
      <c r="D16" s="244"/>
      <c r="E16" s="244"/>
      <c r="F16" s="242"/>
    </row>
    <row r="17" spans="1:6" ht="15" customHeight="1">
      <c r="A17" s="90"/>
      <c r="B17" s="90"/>
      <c r="C17" s="244"/>
      <c r="D17" s="244"/>
      <c r="E17" s="244"/>
      <c r="F17" s="242"/>
    </row>
    <row r="18" spans="1:6" ht="15" customHeight="1">
      <c r="A18" s="90"/>
      <c r="B18" s="90"/>
      <c r="C18" s="244"/>
      <c r="D18" s="244"/>
      <c r="E18" s="244"/>
      <c r="F18" s="242"/>
    </row>
    <row r="19" spans="1:6" ht="15" customHeight="1">
      <c r="A19" s="90"/>
      <c r="B19" s="90"/>
      <c r="C19" s="244"/>
      <c r="D19" s="244"/>
      <c r="E19" s="244"/>
      <c r="F19" s="242"/>
    </row>
    <row r="20" spans="1:6" ht="15" customHeight="1">
      <c r="A20" s="90"/>
      <c r="B20" s="90"/>
      <c r="C20" s="244"/>
      <c r="D20" s="244"/>
      <c r="E20" s="244"/>
      <c r="F20" s="242"/>
    </row>
    <row r="21" spans="1:6" ht="15" customHeight="1">
      <c r="A21" s="90"/>
      <c r="B21" s="90"/>
      <c r="C21" s="244"/>
      <c r="D21" s="244"/>
      <c r="E21" s="244"/>
      <c r="F21" s="242"/>
    </row>
    <row r="22" spans="1:6" ht="15" customHeight="1">
      <c r="A22" s="90"/>
      <c r="B22" s="90"/>
      <c r="C22" s="244"/>
      <c r="D22" s="244"/>
      <c r="E22" s="244"/>
      <c r="F22" s="242"/>
    </row>
    <row r="23" spans="1:6" ht="15" customHeight="1">
      <c r="A23" s="90"/>
      <c r="B23" s="90"/>
      <c r="C23" s="244"/>
      <c r="D23" s="244"/>
      <c r="E23" s="244"/>
      <c r="F23" s="242"/>
    </row>
    <row r="24" spans="1:6" ht="15" customHeight="1">
      <c r="A24" s="90"/>
      <c r="B24" s="90"/>
      <c r="C24" s="244"/>
      <c r="D24" s="244"/>
      <c r="E24" s="244"/>
      <c r="F24" s="242"/>
    </row>
    <row r="25" spans="1:6" ht="15" customHeight="1">
      <c r="A25" s="90"/>
      <c r="B25" s="90"/>
      <c r="C25" s="244"/>
      <c r="D25" s="244"/>
      <c r="E25" s="244"/>
      <c r="F25" s="242"/>
    </row>
    <row r="26" spans="1:6" ht="15" customHeight="1">
      <c r="A26" s="90"/>
      <c r="B26" s="90"/>
      <c r="C26" s="244"/>
      <c r="D26" s="244"/>
      <c r="E26" s="244"/>
      <c r="F26" s="242"/>
    </row>
    <row r="27" spans="1:6" ht="15.75">
      <c r="A27" s="116"/>
      <c r="B27" s="245" t="s">
        <v>644</v>
      </c>
      <c r="C27" s="97">
        <f>SUM(C10:C26)</f>
        <v>45000</v>
      </c>
      <c r="D27" s="97">
        <f>SUM(D10:D26)</f>
        <v>20431</v>
      </c>
      <c r="E27" s="97">
        <f>SUM(E10:E26)</f>
        <v>300000</v>
      </c>
      <c r="F27" s="116"/>
    </row>
    <row r="28" spans="1:6" ht="15.75">
      <c r="A28" s="116"/>
      <c r="B28" s="246" t="s">
        <v>434</v>
      </c>
      <c r="C28" s="116"/>
      <c r="D28" s="90"/>
      <c r="E28" s="90"/>
      <c r="F28" s="116"/>
    </row>
    <row r="29" spans="1:6" ht="15.75">
      <c r="A29" s="116"/>
      <c r="B29" s="245" t="s">
        <v>839</v>
      </c>
      <c r="C29" s="97">
        <f>C27</f>
        <v>45000</v>
      </c>
      <c r="D29" s="97">
        <f>SUM(D27-D28)</f>
        <v>20431</v>
      </c>
      <c r="E29" s="97">
        <f>SUM(E27-E28)</f>
        <v>300000</v>
      </c>
      <c r="F29" s="116"/>
    </row>
    <row r="30" spans="1:6" ht="15.75">
      <c r="A30" s="116"/>
      <c r="B30" s="116"/>
      <c r="C30" s="116"/>
      <c r="D30" s="116"/>
      <c r="E30" s="116"/>
      <c r="F30" s="116"/>
    </row>
    <row r="31" spans="1:6" ht="15.75">
      <c r="A31" s="116"/>
      <c r="B31" s="116"/>
      <c r="C31" s="116"/>
      <c r="D31" s="116"/>
      <c r="E31" s="116"/>
      <c r="F31" s="116"/>
    </row>
    <row r="32" spans="1:6" ht="15.75">
      <c r="A32" s="433" t="s">
        <v>439</v>
      </c>
      <c r="B32" s="434" t="str">
        <f>CONCATENATE("Adjustments are required only if the transfer is being made in ",D9," and/or ",E9," from a non-budgeted fund.")</f>
        <v>Adjustments are required only if the transfer is being made in 2014 and/or 2015 from a non-budgeted fund.</v>
      </c>
      <c r="C32" s="116"/>
      <c r="D32" s="116"/>
      <c r="E32" s="116"/>
      <c r="F32" s="11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County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2014-07-03T21:04:41Z</cp:lastPrinted>
  <dcterms:created xsi:type="dcterms:W3CDTF">1998-08-26T13:26:11Z</dcterms:created>
  <dcterms:modified xsi:type="dcterms:W3CDTF">2014-12-09T18:23:23Z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