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summ"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2">'summ'!$A$1:$I$41</definedName>
  </definedNames>
  <calcPr fullCalcOnLoad="1"/>
</workbook>
</file>

<file path=xl/sharedStrings.xml><?xml version="1.0" encoding="utf-8"?>
<sst xmlns="http://schemas.openxmlformats.org/spreadsheetml/2006/main" count="1190" uniqueCount="813">
  <si>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</si>
  <si>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</si>
  <si>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</si>
  <si>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</si>
  <si>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</si>
  <si>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</si>
  <si>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</si>
  <si>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</si>
  <si>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</si>
  <si>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</si>
  <si>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</si>
  <si>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</si>
  <si>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</si>
  <si>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</si>
  <si>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</si>
  <si>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</si>
  <si>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</si>
  <si>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</si>
  <si>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</si>
  <si>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</si>
  <si>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</si>
  <si>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</si>
  <si>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</si>
  <si>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</si>
  <si>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</si>
  <si>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</si>
  <si>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</si>
  <si>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</si>
  <si>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</si>
  <si>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</si>
  <si>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</si>
  <si>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</si>
  <si>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</si>
  <si>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</si>
  <si>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</si>
  <si>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</si>
  <si>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</si>
  <si>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</si>
  <si>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</si>
  <si>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</si>
  <si>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</si>
  <si>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</si>
  <si>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</si>
  <si>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</si>
  <si>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</si>
  <si>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</si>
  <si>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</si>
  <si>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</si>
  <si>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</si>
  <si>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</si>
  <si>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</si>
  <si>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</si>
  <si>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</si>
  <si>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</si>
  <si>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</si>
  <si>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</si>
  <si>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</si>
  <si>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</si>
  <si>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</si>
  <si>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</si>
  <si>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</si>
  <si>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</si>
  <si>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</si>
  <si>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</si>
  <si>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</si>
  <si>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</si>
  <si>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</si>
  <si>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</si>
  <si>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</si>
  <si>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</si>
  <si>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</si>
  <si>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</si>
  <si>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</si>
  <si>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</si>
  <si>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</si>
  <si>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</si>
  <si>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</si>
  <si>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</si>
  <si>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</si>
  <si>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</si>
  <si>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</si>
  <si>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</si>
  <si>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</si>
  <si>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</si>
  <si>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</si>
  <si>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</si>
  <si>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</si>
  <si>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</si>
  <si>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</si>
  <si>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</si>
  <si>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</si>
  <si>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</si>
  <si>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</si>
  <si>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</si>
  <si>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</si>
  <si>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</si>
  <si>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</si>
  <si>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</si>
  <si>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</si>
  <si>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</si>
  <si>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</si>
  <si>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</si>
  <si>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</si>
  <si>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</si>
  <si>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</si>
  <si>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</si>
  <si>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</si>
  <si>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</si>
  <si>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</si>
  <si>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</si>
  <si>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</si>
  <si>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</si>
  <si>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</si>
  <si>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</si>
  <si>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</si>
  <si>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</si>
  <si>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</si>
  <si>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</si>
  <si>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</si>
  <si>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</si>
  <si>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</si>
  <si>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</si>
  <si>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</si>
  <si>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</si>
  <si>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</si>
  <si>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</si>
  <si>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</si>
  <si>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</si>
  <si>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</si>
  <si>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</si>
  <si>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</si>
  <si>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</si>
  <si>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</si>
  <si>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</si>
  <si>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</si>
  <si>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</si>
  <si>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</si>
  <si>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</si>
  <si>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</si>
  <si>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</si>
  <si>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</si>
  <si>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</si>
  <si>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</si>
  <si>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</si>
  <si>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</si>
  <si>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</si>
  <si>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</si>
  <si>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</si>
  <si>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</si>
  <si>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</si>
  <si>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</si>
  <si>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</si>
  <si>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</si>
  <si>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</si>
  <si>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</si>
  <si>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</si>
  <si>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</si>
  <si>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</si>
  <si>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</si>
  <si>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</si>
  <si>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</si>
  <si>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</si>
  <si>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</si>
  <si>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</si>
  <si>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</si>
  <si>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</si>
  <si>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</si>
  <si>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</si>
  <si>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</si>
  <si>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</si>
  <si>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</si>
  <si>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</si>
  <si>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</si>
  <si>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</si>
  <si>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</si>
  <si>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</si>
  <si>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</si>
  <si>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</si>
  <si>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</si>
  <si>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</si>
  <si>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</si>
  <si>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</si>
  <si>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</si>
  <si>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</si>
  <si>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</si>
  <si>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</si>
  <si>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</si>
  <si>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</si>
  <si>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</si>
  <si>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</si>
  <si>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</si>
  <si>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</si>
  <si>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</si>
  <si>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</si>
  <si>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</si>
  <si>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</si>
  <si>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</si>
  <si>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</si>
  <si>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</si>
  <si>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</si>
  <si>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</si>
  <si>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</si>
  <si>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</si>
  <si>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</si>
  <si>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</si>
  <si>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</si>
  <si>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</si>
  <si>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</si>
  <si>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</si>
  <si>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</si>
  <si>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</si>
  <si>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</si>
  <si>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</si>
  <si>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</si>
  <si>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</si>
  <si>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</si>
  <si>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</si>
  <si>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</si>
  <si>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</si>
  <si>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</si>
  <si>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</si>
  <si>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</si>
  <si>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</si>
  <si>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</si>
  <si>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</si>
  <si>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</si>
  <si>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</si>
  <si>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</si>
  <si>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</si>
  <si>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</si>
  <si>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</si>
  <si>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</si>
  <si>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</si>
  <si>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</si>
  <si>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</si>
  <si>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</si>
  <si>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</si>
  <si>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</si>
  <si>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</si>
  <si>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</si>
  <si>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</si>
  <si>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</si>
  <si>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</si>
  <si>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</si>
  <si>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</si>
  <si>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</si>
  <si>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</si>
  <si>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</si>
  <si>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</si>
  <si>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</si>
  <si>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</si>
  <si>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</si>
  <si>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</si>
  <si>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</si>
  <si>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</si>
  <si>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</si>
  <si>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</si>
  <si>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</si>
  <si>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</si>
  <si>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</si>
  <si>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</si>
  <si>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</si>
  <si>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</si>
  <si>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</si>
  <si>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</si>
  <si>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</si>
  <si>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</si>
  <si>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</si>
  <si>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</si>
  <si>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</si>
  <si>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</si>
  <si>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</si>
  <si>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</si>
  <si>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</si>
  <si>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</si>
  <si>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</si>
  <si>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</si>
  <si>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</si>
  <si>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</si>
  <si>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</si>
  <si>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</si>
  <si>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</si>
  <si>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</si>
  <si>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</si>
  <si>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</si>
  <si>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</si>
  <si>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</si>
  <si>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</si>
  <si>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</si>
  <si>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</si>
  <si>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</si>
  <si>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</si>
  <si>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</si>
  <si>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</si>
  <si>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</si>
  <si>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</si>
  <si>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</si>
  <si>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</si>
  <si>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</si>
  <si>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</si>
  <si>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</si>
  <si>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</si>
  <si>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</si>
  <si>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</si>
  <si>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</si>
  <si>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</si>
  <si>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</si>
  <si>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</si>
  <si>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</si>
  <si>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</si>
  <si>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</si>
  <si>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</si>
  <si>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</si>
  <si>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</si>
  <si>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</si>
  <si>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</si>
  <si>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</si>
  <si>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</si>
  <si>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</si>
  <si>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</si>
  <si>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</si>
  <si>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</si>
  <si>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</si>
  <si>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</si>
  <si>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</si>
  <si>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</si>
  <si>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</si>
  <si>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</si>
  <si>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</si>
  <si>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</si>
  <si>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</si>
  <si>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</si>
  <si>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</si>
  <si>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</si>
  <si>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</si>
  <si>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</si>
  <si>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</si>
  <si>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</si>
  <si>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</si>
  <si>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</si>
  <si>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</si>
  <si>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</si>
  <si>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</si>
  <si>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</si>
  <si>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</si>
  <si>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</si>
  <si>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</si>
  <si>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</si>
  <si>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</si>
  <si>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</si>
  <si>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</si>
  <si>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</si>
  <si>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</si>
  <si>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</si>
  <si>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</si>
  <si>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</si>
  <si>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</si>
  <si>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</si>
  <si>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</si>
  <si>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</si>
  <si>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</si>
  <si>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</si>
  <si>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</si>
  <si>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</si>
  <si>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</si>
  <si>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</si>
  <si>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</si>
  <si>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</si>
  <si>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</si>
  <si>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</si>
  <si>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</si>
  <si>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</si>
  <si>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</si>
  <si>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</si>
  <si>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</si>
  <si>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</si>
  <si>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</si>
  <si>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</si>
  <si>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</si>
  <si>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</si>
  <si>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</si>
  <si>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</si>
  <si>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</si>
  <si>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</si>
  <si>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</si>
  <si>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</si>
  <si>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</si>
  <si>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</si>
  <si>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</si>
  <si>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</si>
  <si>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</si>
  <si>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</si>
  <si>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</si>
  <si>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</si>
  <si>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</si>
  <si>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</si>
  <si>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</si>
  <si>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</si>
  <si>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</si>
  <si>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</si>
  <si>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</si>
  <si>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</si>
  <si>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</si>
  <si>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</si>
  <si>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</si>
  <si>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</si>
  <si>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</si>
  <si>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</si>
  <si>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</si>
  <si>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</si>
  <si>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</si>
  <si>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</si>
  <si>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</si>
  <si>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</si>
  <si>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</si>
  <si>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</si>
  <si>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</si>
  <si>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</si>
  <si>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</si>
  <si>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</si>
  <si>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</si>
  <si>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</si>
  <si>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</si>
  <si>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</si>
  <si>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</si>
  <si>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</si>
  <si>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</si>
  <si>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</si>
  <si>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</si>
  <si>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</si>
  <si>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</si>
  <si>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</si>
  <si>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</si>
  <si>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</si>
  <si>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</si>
  <si>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</si>
  <si>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</si>
  <si>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</si>
  <si>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</si>
  <si>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</si>
  <si>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</si>
  <si>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</si>
  <si>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</si>
  <si>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</si>
  <si>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</si>
  <si>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</si>
  <si>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</si>
  <si>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</si>
  <si>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</si>
  <si>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</si>
  <si>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</si>
  <si>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</si>
  <si>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</si>
  <si>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</si>
  <si>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</si>
  <si>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</si>
  <si>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</si>
  <si>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</si>
  <si>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</si>
  <si>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</si>
  <si>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</si>
  <si>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</si>
  <si>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</si>
  <si>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</si>
  <si>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</si>
  <si>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</si>
  <si>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</si>
  <si>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</si>
  <si>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</si>
  <si>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</si>
  <si>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</si>
  <si>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</si>
  <si>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</si>
  <si>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</si>
  <si>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</si>
  <si>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</si>
  <si>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</si>
  <si>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</si>
  <si>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</si>
  <si>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</si>
  <si>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</si>
  <si>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</si>
  <si>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</si>
  <si>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</si>
  <si>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</si>
  <si>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</si>
  <si>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</si>
  <si>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</si>
  <si>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</si>
  <si>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</si>
  <si>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</si>
  <si>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</si>
  <si>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</si>
  <si>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</si>
  <si>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</si>
  <si>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</si>
  <si>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</si>
  <si>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</si>
  <si>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</si>
  <si>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</si>
  <si>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</si>
  <si>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</si>
  <si>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</si>
  <si>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</si>
  <si>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</si>
  <si>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</si>
  <si>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</si>
  <si>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</si>
  <si>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</si>
  <si>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</si>
  <si>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</si>
  <si>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</si>
  <si>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</si>
  <si>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</si>
  <si>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</si>
  <si>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</si>
  <si>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</si>
  <si>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</si>
  <si>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</si>
  <si>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</si>
  <si>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</si>
  <si>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</si>
  <si>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</si>
  <si>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</si>
  <si>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</si>
  <si>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</si>
  <si>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</si>
  <si>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</si>
  <si>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</si>
  <si>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</si>
  <si>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</si>
  <si>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</si>
  <si>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</si>
  <si>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</si>
  <si>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</si>
  <si>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</si>
  <si>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</si>
  <si>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</si>
  <si>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</si>
  <si>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</si>
  <si>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</si>
  <si>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</si>
  <si>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</si>
  <si>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</si>
  <si>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</si>
  <si>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</si>
  <si>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</si>
  <si>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</si>
  <si>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</si>
  <si>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</si>
  <si>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</si>
  <si>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</si>
  <si>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</si>
  <si>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</si>
  <si>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</si>
  <si>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</si>
  <si>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</si>
  <si>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</si>
  <si>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</si>
  <si>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</si>
  <si>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</si>
  <si>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</si>
  <si>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</si>
  <si>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</si>
  <si>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</si>
  <si>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</si>
  <si>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</si>
  <si>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</si>
  <si>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</si>
  <si>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</si>
  <si>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</si>
  <si>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</si>
  <si>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</si>
  <si>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</si>
  <si>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</si>
  <si>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</si>
  <si>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</si>
  <si>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</si>
  <si>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</si>
  <si>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</si>
  <si>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</si>
  <si>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</si>
  <si>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</si>
  <si>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</si>
  <si>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</si>
  <si>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</si>
  <si>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</si>
  <si>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</si>
  <si>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</si>
  <si>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</si>
  <si>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</si>
  <si>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</si>
  <si>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</si>
  <si>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</si>
  <si>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</si>
  <si>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</si>
  <si>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</si>
  <si>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</si>
  <si>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</si>
  <si>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</si>
  <si>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</si>
  <si>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</si>
  <si>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</si>
  <si>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</si>
  <si>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</si>
  <si>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</si>
  <si>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</si>
  <si>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</si>
  <si>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</si>
  <si>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</si>
  <si>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</si>
  <si>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</si>
  <si>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</si>
  <si>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</si>
  <si>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</si>
  <si>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</si>
  <si>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</si>
  <si>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</si>
  <si>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</si>
  <si>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</si>
  <si>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</si>
  <si>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</si>
  <si>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</si>
  <si>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</si>
  <si>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</si>
  <si>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</si>
  <si>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</si>
  <si>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</si>
  <si>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</si>
  <si>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</si>
  <si>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</si>
  <si>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</si>
  <si>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</si>
  <si>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</si>
  <si>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</si>
  <si>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</si>
  <si>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</si>
  <si>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</si>
  <si>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</si>
  <si>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</si>
  <si>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</si>
  <si>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</si>
  <si>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</si>
  <si>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</si>
  <si>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</si>
  <si>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</si>
  <si>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</si>
  <si>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</si>
  <si>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</si>
  <si>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</si>
  <si>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</si>
  <si>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</si>
  <si>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</si>
  <si>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</si>
  <si>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</si>
  <si>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</si>
  <si>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</si>
  <si>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</si>
  <si>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</si>
  <si>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</si>
  <si>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</si>
  <si>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</si>
  <si>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</si>
  <si>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</si>
  <si>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</si>
  <si>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</si>
  <si>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</si>
  <si>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</si>
  <si>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</si>
  <si>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</si>
  <si>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</si>
  <si>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</si>
  <si>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</si>
  <si>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</si>
  <si>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</si>
  <si>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</si>
  <si>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</si>
  <si>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</si>
  <si>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</si>
  <si>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</si>
  <si>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</si>
  <si>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</si>
  <si>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</si>
  <si>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</si>
  <si>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</si>
  <si>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</si>
  <si>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</si>
  <si>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</si>
  <si>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</si>
  <si>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</si>
  <si>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</si>
  <si>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</si>
  <si>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</si>
  <si>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</si>
  <si>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</si>
  <si>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</si>
  <si>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</si>
  <si>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</si>
  <si>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</si>
  <si>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</si>
  <si>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</si>
  <si>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</si>
  <si>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</si>
  <si>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</si>
  <si>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</si>
  <si>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</si>
  <si>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</si>
  <si>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</si>
  <si>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</si>
  <si>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</si>
  <si>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</si>
  <si>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</si>
  <si>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</si>
  <si>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</si>
  <si>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</si>
  <si>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</si>
  <si>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</si>
  <si>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</si>
  <si>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</si>
  <si>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</si>
  <si>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</si>
  <si>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</si>
  <si>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</si>
  <si>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</si>
  <si>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</si>
  <si>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</si>
  <si>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</si>
  <si>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</si>
  <si>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</si>
  <si>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</si>
  <si>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</si>
  <si>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</si>
  <si>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</si>
  <si>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</si>
  <si>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</si>
  <si>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</si>
  <si>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</si>
  <si>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</si>
  <si>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</si>
  <si>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</si>
  <si>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</si>
  <si>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</si>
  <si>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</si>
  <si>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</si>
  <si>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</si>
  <si>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</si>
  <si>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</si>
  <si>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</si>
  <si>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</si>
  <si>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</si>
  <si>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</si>
  <si>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</si>
  <si>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</si>
  <si>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</si>
  <si>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</si>
  <si>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</si>
  <si>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</si>
  <si>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</si>
  <si>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</si>
  <si>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</si>
  <si>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</si>
  <si>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</si>
  <si>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</si>
  <si>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</si>
  <si>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</si>
  <si>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</si>
  <si>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</si>
  <si>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</si>
  <si>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</si>
  <si>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</si>
  <si>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</si>
  <si>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</si>
  <si>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</si>
  <si>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</si>
  <si>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</si>
  <si>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</si>
  <si>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</si>
  <si>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</si>
  <si>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</si>
  <si>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</si>
  <si>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</si>
  <si>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</si>
  <si>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</si>
  <si>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</si>
  <si>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</si>
  <si>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</si>
  <si>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</si>
  <si>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</si>
  <si>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</si>
  <si>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</si>
  <si>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</si>
  <si>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</si>
  <si>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</si>
  <si>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</si>
  <si>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Miles Village_Lake Waltanna Improvement District</t>
  </si>
  <si>
    <t>Sedgwick County</t>
  </si>
  <si>
    <t>Watercraft Tax</t>
  </si>
  <si>
    <t>Surety Bond</t>
  </si>
  <si>
    <t>Home Owners Association</t>
  </si>
  <si>
    <t>Safe Deposit Box</t>
  </si>
  <si>
    <t>Rd Maintenance</t>
  </si>
  <si>
    <t>Road Improvement Reserve</t>
  </si>
  <si>
    <t>Administration Expense</t>
  </si>
  <si>
    <t>Insurance</t>
  </si>
  <si>
    <t>Operating Expenses</t>
  </si>
  <si>
    <t>Engineering Fees</t>
  </si>
  <si>
    <t>Construction Labor</t>
  </si>
  <si>
    <t>Mike Gerken</t>
  </si>
  <si>
    <t>Treasurer</t>
  </si>
  <si>
    <t>August 25th, 2014</t>
  </si>
  <si>
    <t>7:00 PM</t>
  </si>
  <si>
    <t xml:space="preserve">10 Lakewood Drive, Goddard, KS  </t>
  </si>
  <si>
    <t>Sedgwick County Clerk's Office, 525 N Main, Room 211, Wichita, KS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</si>
</sst>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49" fontId="4" fillId="22" borderId="0" xfId="538" applyNumberFormat="1" applyFont="1" applyFill="1" applyAlignment="1" applyProtection="1">
      <alignment horizontal="left" vertical="center"/>
      <protection locked="0"/>
    </xf>
    <xf numFmtId="49" fontId="4" fillId="22" borderId="0" xfId="538" applyNumberFormat="1" applyFont="1" applyFill="1" applyAlignment="1" applyProtection="1">
      <alignment horizontal="left" vertical="center"/>
      <protection locked="0"/>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T90" sqref="T9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Miles Village_Lake Waltanna Improvement District</v>
      </c>
      <c r="C1" s="3"/>
      <c r="D1" s="3"/>
      <c r="E1" s="3"/>
      <c r="F1" s="3"/>
      <c r="G1" s="3"/>
      <c r="H1" s="3"/>
      <c r="I1" s="3"/>
      <c r="J1" s="3"/>
      <c r="K1" s="3"/>
      <c r="L1" s="154">
        <f>inputPrYr!D6</f>
        <v>2015</v>
      </c>
    </row>
    <row r="2" spans="2:12" ht="15.75">
      <c r="B2" s="3" t="str">
        <f>inputPrYr!$D$4</f>
        <v>Sedgwick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5" t="s">
        <v>80</v>
      </c>
      <c r="C23" s="669"/>
      <c r="D23" s="669"/>
      <c r="E23" s="669"/>
      <c r="F23" s="669"/>
      <c r="G23" s="669"/>
      <c r="H23" s="669"/>
      <c r="I23" s="669"/>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2">
      <selection activeCell="T90" sqref="T9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Miles Village_Lake Waltanna Improvement District</v>
      </c>
      <c r="C1" s="194"/>
      <c r="D1" s="3"/>
      <c r="E1" s="154">
        <f>inputPrYr!$D$6</f>
        <v>2015</v>
      </c>
    </row>
    <row r="2" spans="2:5" ht="15.75">
      <c r="B2" s="3" t="str">
        <f>inputPrYr!D4</f>
        <v>Sedgwick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20728</v>
      </c>
      <c r="D7" s="342">
        <f>C62</f>
        <v>29286.23</v>
      </c>
      <c r="E7" s="30">
        <f>D62</f>
        <v>15049.229999999996</v>
      </c>
    </row>
    <row r="8" spans="2:5" ht="15.75">
      <c r="B8" s="198" t="s">
        <v>118</v>
      </c>
      <c r="C8" s="199"/>
      <c r="D8" s="199"/>
      <c r="E8" s="104"/>
    </row>
    <row r="9" spans="2:5" ht="15.75">
      <c r="B9" s="100" t="s">
        <v>33</v>
      </c>
      <c r="C9" s="335">
        <f>104.58+7713.92+203.17</f>
        <v>8021.67</v>
      </c>
      <c r="D9" s="342">
        <f>IF(inputPrYr!H18&gt;0,inputPrYr!G19,inputPrYr!E19)</f>
        <v>8154</v>
      </c>
      <c r="E9" s="109" t="s">
        <v>28</v>
      </c>
    </row>
    <row r="10" spans="2:5" ht="15.75">
      <c r="B10" s="100" t="s">
        <v>34</v>
      </c>
      <c r="C10" s="335">
        <v>51</v>
      </c>
      <c r="D10" s="335">
        <v>0</v>
      </c>
      <c r="E10" s="170"/>
    </row>
    <row r="11" spans="2:5" ht="15.75">
      <c r="B11" s="100" t="s">
        <v>35</v>
      </c>
      <c r="C11" s="335">
        <v>1378.56</v>
      </c>
      <c r="D11" s="335">
        <v>1411</v>
      </c>
      <c r="E11" s="30">
        <f>mvalloc!D11</f>
        <v>1383</v>
      </c>
    </row>
    <row r="12" spans="2:5" ht="15.75">
      <c r="B12" s="100" t="s">
        <v>36</v>
      </c>
      <c r="C12" s="335">
        <v>35</v>
      </c>
      <c r="D12" s="335">
        <v>29</v>
      </c>
      <c r="E12" s="30">
        <f>mvalloc!E11</f>
        <v>36</v>
      </c>
    </row>
    <row r="13" spans="2:5" ht="15.75">
      <c r="B13" s="199" t="s">
        <v>109</v>
      </c>
      <c r="C13" s="335"/>
      <c r="D13" s="335">
        <v>0</v>
      </c>
      <c r="E13" s="30">
        <f>mvalloc!F11</f>
        <v>0</v>
      </c>
    </row>
    <row r="14" spans="2:5" ht="15.75">
      <c r="B14" s="199" t="s">
        <v>141</v>
      </c>
      <c r="C14" s="335"/>
      <c r="D14" s="335">
        <v>0</v>
      </c>
      <c r="E14" s="30">
        <f>inputOth!E30</f>
        <v>0</v>
      </c>
    </row>
    <row r="15" spans="2:5" ht="15.75">
      <c r="B15" s="200" t="s">
        <v>37</v>
      </c>
      <c r="C15" s="335"/>
      <c r="D15" s="335"/>
      <c r="E15" s="170"/>
    </row>
    <row r="16" spans="2:5" ht="15.75">
      <c r="B16" s="200" t="s">
        <v>796</v>
      </c>
      <c r="C16" s="335"/>
      <c r="D16" s="335"/>
      <c r="E16" s="170">
        <v>20</v>
      </c>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9486.23</v>
      </c>
      <c r="D33" s="337">
        <f>SUM(D9:D31)</f>
        <v>9594</v>
      </c>
      <c r="E33" s="206">
        <f>SUM(E9:E31)</f>
        <v>1439</v>
      </c>
    </row>
    <row r="34" spans="2:5" ht="15.75">
      <c r="B34" s="205" t="s">
        <v>40</v>
      </c>
      <c r="C34" s="337">
        <f>C7+C33</f>
        <v>30214.23</v>
      </c>
      <c r="D34" s="337">
        <f>D7+D33</f>
        <v>38880.229999999996</v>
      </c>
      <c r="E34" s="206">
        <f>E7+E33</f>
        <v>16488.229999999996</v>
      </c>
    </row>
    <row r="35" spans="2:5" ht="15.75">
      <c r="B35" s="100" t="s">
        <v>41</v>
      </c>
      <c r="C35" s="102"/>
      <c r="D35" s="102"/>
      <c r="E35" s="21"/>
    </row>
    <row r="36" spans="2:5" ht="15.75">
      <c r="B36" s="200"/>
      <c r="C36" s="335"/>
      <c r="D36" s="335"/>
      <c r="E36" s="170"/>
    </row>
    <row r="37" spans="2:5" ht="15.75">
      <c r="B37" s="200" t="s">
        <v>797</v>
      </c>
      <c r="C37" s="335"/>
      <c r="D37" s="335"/>
      <c r="E37" s="170"/>
    </row>
    <row r="38" spans="2:5" ht="15.75">
      <c r="B38" s="200" t="s">
        <v>798</v>
      </c>
      <c r="C38" s="335"/>
      <c r="D38" s="335">
        <v>4194</v>
      </c>
      <c r="E38" s="170">
        <v>4194</v>
      </c>
    </row>
    <row r="39" spans="2:5" ht="15.75">
      <c r="B39" s="200" t="s">
        <v>799</v>
      </c>
      <c r="C39" s="335">
        <v>25</v>
      </c>
      <c r="D39" s="335">
        <v>25</v>
      </c>
      <c r="E39" s="170">
        <v>25</v>
      </c>
    </row>
    <row r="40" spans="2:5" ht="15.75">
      <c r="B40" s="200" t="s">
        <v>800</v>
      </c>
      <c r="C40" s="335">
        <v>644</v>
      </c>
      <c r="D40" s="335">
        <v>6178</v>
      </c>
      <c r="E40" s="170">
        <v>7146</v>
      </c>
    </row>
    <row r="41" spans="2:5" ht="15.75">
      <c r="B41" s="200" t="s">
        <v>801</v>
      </c>
      <c r="C41" s="335"/>
      <c r="D41" s="335">
        <v>8294</v>
      </c>
      <c r="E41" s="170">
        <v>8294</v>
      </c>
    </row>
    <row r="42" spans="2:5" ht="15.75">
      <c r="B42" s="200" t="s">
        <v>802</v>
      </c>
      <c r="C42" s="335"/>
      <c r="D42" s="335"/>
      <c r="E42" s="170"/>
    </row>
    <row r="43" spans="2:5" ht="15.75">
      <c r="B43" s="200" t="s">
        <v>803</v>
      </c>
      <c r="C43" s="335">
        <v>141</v>
      </c>
      <c r="D43" s="335">
        <v>140</v>
      </c>
      <c r="E43" s="170">
        <v>140</v>
      </c>
    </row>
    <row r="44" spans="2:5" ht="15.75">
      <c r="B44" s="200" t="s">
        <v>804</v>
      </c>
      <c r="C44" s="335">
        <v>118</v>
      </c>
      <c r="D44" s="335">
        <v>1000</v>
      </c>
      <c r="E44" s="170">
        <v>1000</v>
      </c>
    </row>
    <row r="45" spans="2:5" ht="15.75">
      <c r="B45" s="200" t="s">
        <v>805</v>
      </c>
      <c r="C45" s="335"/>
      <c r="D45" s="335">
        <v>4000</v>
      </c>
      <c r="E45" s="170">
        <v>4000</v>
      </c>
    </row>
    <row r="46" spans="2:5" ht="15.75">
      <c r="B46" s="200" t="s">
        <v>806</v>
      </c>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5" t="str">
        <f>CONCATENATE("Desired Carryover Into ",E1+1,"")</f>
        <v>Desired Carryover Into 2016</v>
      </c>
      <c r="H52" s="716"/>
      <c r="I52" s="716"/>
      <c r="J52" s="717"/>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5" t="str">
        <f>CONCATENATE("Projected Carryover Into ",E1+1,"")</f>
        <v>Projected Carryover Into 2016</v>
      </c>
      <c r="H59" s="716"/>
      <c r="I59" s="716"/>
      <c r="J59" s="717"/>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928</v>
      </c>
      <c r="D61" s="337">
        <f>SUM(D36:D59)</f>
        <v>23831</v>
      </c>
      <c r="E61" s="206">
        <f>SUM(E36:E59)</f>
        <v>24799</v>
      </c>
      <c r="F61" s="1"/>
      <c r="G61" s="456">
        <f>D62</f>
        <v>15049.229999999996</v>
      </c>
      <c r="H61" s="455" t="str">
        <f>CONCATENATE("",E1-1," Ending Cash Balance (est.)")</f>
        <v>2014 Ending Cash Balance (est.)</v>
      </c>
      <c r="I61" s="548"/>
      <c r="J61" s="450"/>
      <c r="K61" s="1"/>
    </row>
    <row r="62" spans="2:11" ht="15.75">
      <c r="B62" s="100" t="s">
        <v>117</v>
      </c>
      <c r="C62" s="338">
        <f>C34-C61</f>
        <v>29286.23</v>
      </c>
      <c r="D62" s="338">
        <f>D34-D61</f>
        <v>15049.229999999996</v>
      </c>
      <c r="E62" s="109" t="s">
        <v>28</v>
      </c>
      <c r="F62" s="1"/>
      <c r="G62" s="456">
        <f>E33</f>
        <v>1439</v>
      </c>
      <c r="H62" s="449" t="str">
        <f>CONCATENATE("",E1," Non-AV Receipts (est.)")</f>
        <v>2015 Non-AV Receipts (est.)</v>
      </c>
      <c r="I62" s="548"/>
      <c r="J62" s="450"/>
      <c r="K62" s="1"/>
    </row>
    <row r="63" spans="2:11" ht="15.75">
      <c r="B63" s="2" t="str">
        <f>CONCATENATE("",E1-2,"/",E1-1,"/",E1," Budget Authority Amount:")</f>
        <v>2013/2014/2015 Budget Authority Amount:</v>
      </c>
      <c r="C63" s="215">
        <f>inputOth!B41</f>
        <v>24398</v>
      </c>
      <c r="D63" s="524">
        <f>inputPrYr!D19</f>
        <v>23831</v>
      </c>
      <c r="E63" s="30">
        <f>E61</f>
        <v>24799</v>
      </c>
      <c r="F63" s="223"/>
      <c r="G63" s="448">
        <f>IF(E67&gt;0,E66,E68)</f>
        <v>8310.770000000004</v>
      </c>
      <c r="H63" s="449" t="str">
        <f>CONCATENATE("",E1," Ad Valorem Tax (est.)")</f>
        <v>2015 Ad Valorem Tax (est.)</v>
      </c>
      <c r="I63" s="449"/>
      <c r="J63" s="450"/>
      <c r="K63" s="549">
        <f>IF(G63=E68,"","Note: Does not include Delinquent Taxes")</f>
      </c>
    </row>
    <row r="64" spans="2:11" ht="15.75">
      <c r="B64" s="115"/>
      <c r="C64" s="711" t="s">
        <v>629</v>
      </c>
      <c r="D64" s="712"/>
      <c r="E64" s="20"/>
      <c r="F64" s="550">
        <f>IF(E61/0.95-E61&lt;E64,"Exceeds 5%","")</f>
      </c>
      <c r="G64" s="456">
        <f>SUM(G61:G63)</f>
        <v>24799</v>
      </c>
      <c r="H64" s="449" t="str">
        <f>CONCATENATE("Total ",E1," Resources Available")</f>
        <v>Total 2015 Resources Available</v>
      </c>
      <c r="I64" s="548"/>
      <c r="J64" s="450"/>
      <c r="K64" s="1"/>
    </row>
    <row r="65" spans="2:11" ht="15.75">
      <c r="B65" s="354" t="str">
        <f>CONCATENATE(C81,"     ",D81)</f>
        <v>     </v>
      </c>
      <c r="C65" s="713" t="s">
        <v>630</v>
      </c>
      <c r="D65" s="714"/>
      <c r="E65" s="30">
        <f>E61+E64</f>
        <v>24799</v>
      </c>
      <c r="F65" s="1"/>
      <c r="G65" s="447"/>
      <c r="H65" s="449"/>
      <c r="I65" s="449"/>
      <c r="J65" s="450"/>
      <c r="K65" s="1"/>
    </row>
    <row r="66" spans="2:11" ht="15.75">
      <c r="B66" s="354" t="str">
        <f>CONCATENATE(C82,"     ",D82)</f>
        <v>     </v>
      </c>
      <c r="C66" s="460"/>
      <c r="D66" s="459" t="s">
        <v>631</v>
      </c>
      <c r="E66" s="27">
        <f>IF(E65-E34&gt;0,E65-E34,0)</f>
        <v>8310.770000000004</v>
      </c>
      <c r="F66" s="1"/>
      <c r="G66" s="448">
        <f>ROUND(C61*0.05+C61,0)</f>
        <v>974</v>
      </c>
      <c r="H66" s="449" t="str">
        <f>CONCATENATE("Less ",E1-2," Expenditures + 5%")</f>
        <v>Less 2013 Expenditures + 5%</v>
      </c>
      <c r="I66" s="548"/>
      <c r="J66" s="450"/>
      <c r="K66" s="1"/>
    </row>
    <row r="67" spans="2:11" ht="15.75">
      <c r="B67" s="127"/>
      <c r="C67" s="458" t="s">
        <v>632</v>
      </c>
      <c r="D67" s="560">
        <f>inputOth!$E$35</f>
        <v>0</v>
      </c>
      <c r="E67" s="30">
        <f>ROUND(IF(D67&gt;0,(E66*D67),0),0)</f>
        <v>0</v>
      </c>
      <c r="F67" s="1"/>
      <c r="G67" s="446">
        <f>G64-G66</f>
        <v>23825</v>
      </c>
      <c r="H67" s="445" t="str">
        <f>CONCATENATE("Projected ",E1+1," Carryover (est.)")</f>
        <v>Projected 2016 Carryover (est.)</v>
      </c>
      <c r="I67" s="551"/>
      <c r="J67" s="444"/>
      <c r="K67" s="1"/>
    </row>
    <row r="68" spans="2:11" ht="15.75">
      <c r="B68" s="3"/>
      <c r="C68" s="709" t="str">
        <f>CONCATENATE("Amount of  ",$E$1-1," Ad Valorem Tax")</f>
        <v>Amount of  2014 Ad Valorem Tax</v>
      </c>
      <c r="D68" s="710"/>
      <c r="E68" s="27">
        <f>E66+E67</f>
        <v>8310.770000000004</v>
      </c>
      <c r="F68" s="1"/>
      <c r="G68" s="1"/>
      <c r="H68" s="1"/>
      <c r="I68" s="1"/>
      <c r="J68" s="1"/>
      <c r="K68" s="1"/>
    </row>
    <row r="69" spans="2:11" ht="15.75">
      <c r="B69" s="3"/>
      <c r="C69" s="3"/>
      <c r="D69" s="3"/>
      <c r="E69" s="3"/>
      <c r="F69" s="1"/>
      <c r="G69" s="706" t="s">
        <v>701</v>
      </c>
      <c r="H69" s="707"/>
      <c r="I69" s="707"/>
      <c r="J69" s="708"/>
      <c r="K69" s="1"/>
    </row>
    <row r="70" spans="2:11" ht="15.75">
      <c r="B70" s="3"/>
      <c r="C70" s="3"/>
      <c r="D70" s="3"/>
      <c r="E70" s="3"/>
      <c r="F70" s="1"/>
      <c r="G70" s="552"/>
      <c r="H70" s="455"/>
      <c r="I70" s="534"/>
      <c r="J70" s="553"/>
      <c r="K70" s="1"/>
    </row>
    <row r="71" spans="2:11" ht="15.75">
      <c r="B71" s="3"/>
      <c r="C71" s="3"/>
      <c r="D71" s="3"/>
      <c r="E71" s="3"/>
      <c r="F71" s="1"/>
      <c r="G71" s="554">
        <f>summ!H16</f>
        <v>4.355</v>
      </c>
      <c r="H71" s="455" t="str">
        <f>CONCATENATE("",E1," Fund Mill Rate")</f>
        <v>2015 Fund Mill Rate</v>
      </c>
      <c r="I71" s="534"/>
      <c r="J71" s="553"/>
      <c r="K71" s="1"/>
    </row>
    <row r="72" spans="2:11" ht="15.75">
      <c r="B72" s="3"/>
      <c r="C72" s="3"/>
      <c r="D72" s="3"/>
      <c r="E72" s="3"/>
      <c r="F72" s="555"/>
      <c r="G72" s="556">
        <f>summ!E16</f>
        <v>4.303</v>
      </c>
      <c r="H72" s="455" t="str">
        <f>CONCATENATE("",E1-1," Fund Mill Rate")</f>
        <v>2014 Fund Mill Rate</v>
      </c>
      <c r="I72" s="534"/>
      <c r="J72" s="553"/>
      <c r="K72" s="1"/>
    </row>
    <row r="73" spans="2:11" ht="15.75">
      <c r="B73" s="3"/>
      <c r="C73" s="194"/>
      <c r="D73" s="194"/>
      <c r="E73" s="194"/>
      <c r="F73" s="539"/>
      <c r="G73" s="557">
        <f>summ!H23</f>
        <v>4.355</v>
      </c>
      <c r="H73" s="455" t="str">
        <f>CONCATENATE("Total ",E1," Mill Rate")</f>
        <v>Total 2015 Mill Rate</v>
      </c>
      <c r="I73" s="534"/>
      <c r="J73" s="553"/>
      <c r="K73" s="1"/>
    </row>
    <row r="74" spans="2:11" ht="15.75">
      <c r="B74" s="115"/>
      <c r="C74" s="3" t="s">
        <v>205</v>
      </c>
      <c r="D74" s="3"/>
      <c r="E74" s="3"/>
      <c r="F74" s="539"/>
      <c r="G74" s="556">
        <f>summ!E23</f>
        <v>4.303</v>
      </c>
      <c r="H74" s="558" t="str">
        <f>CONCATENATE("Total ",E1-1," Mill Rate")</f>
        <v>Total 2014 Mill Rate</v>
      </c>
      <c r="I74" s="559"/>
      <c r="J74" s="59"/>
      <c r="K74" s="1"/>
    </row>
    <row r="76" spans="2:9" ht="15.75">
      <c r="B76" s="46"/>
      <c r="G76" s="632"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T90" sqref="T90"/>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Miles Village_Lake Waltanna Improvement District</v>
      </c>
      <c r="C1" s="3"/>
      <c r="D1" s="3"/>
      <c r="E1" s="208">
        <f>inputPrYr!$D$6</f>
        <v>2015</v>
      </c>
    </row>
    <row r="2" spans="2:5" ht="15.75">
      <c r="B2" s="128" t="str">
        <f>inputPrYr!D4</f>
        <v>Sedgwick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5" t="str">
        <f>CONCATENATE("Desired Carryover Into ",E1+1,"")</f>
        <v>Desired Carryover Into 2016</v>
      </c>
      <c r="H44" s="716"/>
      <c r="I44" s="716"/>
      <c r="J44" s="717"/>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5" t="str">
        <f>CONCATENATE("Projected Carryover Into ",E1+1,"")</f>
        <v>Projected Carryover Into 2016</v>
      </c>
      <c r="H51" s="718"/>
      <c r="I51" s="718"/>
      <c r="J51" s="719"/>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1" t="s">
        <v>629</v>
      </c>
      <c r="D56" s="712"/>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3" t="s">
        <v>630</v>
      </c>
      <c r="D57" s="714"/>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09" t="str">
        <f>CONCATENATE("Amount of  ",$E$1-1," Ad Valorem Tax")</f>
        <v>Amount of  2014 Ad Valorem Tax</v>
      </c>
      <c r="D60" s="710"/>
      <c r="E60" s="27">
        <f>E58+E59</f>
        <v>0</v>
      </c>
      <c r="F60"/>
      <c r="G60" s="561"/>
      <c r="H60" s="561"/>
      <c r="I60" s="561"/>
      <c r="J60" s="561"/>
      <c r="K60" s="561"/>
    </row>
    <row r="61" spans="2:11" ht="15.75">
      <c r="B61" s="127"/>
      <c r="C61" s="3"/>
      <c r="D61" s="3"/>
      <c r="E61" s="3"/>
      <c r="F61"/>
      <c r="G61" s="706" t="s">
        <v>701</v>
      </c>
      <c r="H61" s="707"/>
      <c r="I61" s="707"/>
      <c r="J61" s="708"/>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4.355</v>
      </c>
      <c r="H65" s="455" t="str">
        <f>CONCATENATE("Total ",E1," Mill Rate")</f>
        <v>Total 2015 Mill Rate</v>
      </c>
      <c r="I65" s="534"/>
      <c r="J65" s="553"/>
      <c r="K65" s="561"/>
    </row>
    <row r="66" spans="6:11" ht="15.75">
      <c r="F66"/>
      <c r="G66" s="556">
        <f>summ!E23</f>
        <v>4.303</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3"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T90" sqref="T90"/>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68" t="s">
        <v>83</v>
      </c>
      <c r="B1" s="668"/>
      <c r="C1" s="668"/>
      <c r="D1" s="668"/>
      <c r="E1" s="668"/>
      <c r="F1" s="668"/>
      <c r="G1" s="668"/>
      <c r="H1" s="730"/>
    </row>
    <row r="2" spans="1:8" ht="15.75">
      <c r="A2" s="3"/>
      <c r="B2" s="3"/>
      <c r="C2" s="3"/>
      <c r="D2" s="3"/>
      <c r="E2" s="3"/>
      <c r="F2" s="3"/>
      <c r="G2" s="3"/>
      <c r="H2" s="3"/>
    </row>
    <row r="3" spans="1:9" ht="15.75">
      <c r="A3" s="733" t="s">
        <v>110</v>
      </c>
      <c r="B3" s="733"/>
      <c r="C3" s="733"/>
      <c r="D3" s="733"/>
      <c r="E3" s="733"/>
      <c r="F3" s="733"/>
      <c r="G3" s="733"/>
      <c r="H3" s="733"/>
      <c r="I3" s="37">
        <f>inputPrYr!D6</f>
        <v>2015</v>
      </c>
    </row>
    <row r="4" spans="1:8" ht="15.75">
      <c r="A4" s="666" t="str">
        <f>inputPrYr!D3</f>
        <v>Miles Village_Lake Waltanna Improvement District</v>
      </c>
      <c r="B4" s="666"/>
      <c r="C4" s="666"/>
      <c r="D4" s="666"/>
      <c r="E4" s="666"/>
      <c r="F4" s="666"/>
      <c r="G4" s="666"/>
      <c r="H4" s="666"/>
    </row>
    <row r="5" spans="1:8" ht="15.75">
      <c r="A5" s="734" t="str">
        <f>inputPrYr!D4</f>
        <v>Sedgwick County</v>
      </c>
      <c r="B5" s="734"/>
      <c r="C5" s="734"/>
      <c r="D5" s="734"/>
      <c r="E5" s="734"/>
      <c r="F5" s="734"/>
      <c r="G5" s="734"/>
      <c r="H5" s="734"/>
    </row>
    <row r="6" spans="1:8" ht="15.75">
      <c r="A6" s="684" t="str">
        <f>CONCATENATE("will meet on ",inputBudSum!B7," at ",inputBudSum!B9," at ",inputBudSum!B11," for the purpose of hearing and")</f>
        <v>will meet on August 25th, 2014 at 7:00 PM at 10 Lakewood Drive, Goddard, KS   for the purpose of hearing and</v>
      </c>
      <c r="B6" s="684"/>
      <c r="C6" s="684"/>
      <c r="D6" s="684"/>
      <c r="E6" s="684"/>
      <c r="F6" s="684"/>
      <c r="G6" s="684"/>
      <c r="H6" s="684"/>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Sedgwick County Clerk's Office, 525 N Main, Room 211, Wichita, KS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2" t="str">
        <f>CONCATENATE("Estimated Value Of One Mill For ",I3,"")</f>
        <v>Estimated Value Of One Mill For 2015</v>
      </c>
      <c r="K12" s="723"/>
      <c r="L12" s="723"/>
      <c r="M12" s="724"/>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1" t="str">
        <f>CONCATENATE("Amount of ",I3-1," Ad Valorem Tax")</f>
        <v>Amount of 2014 Ad Valorem Tax</v>
      </c>
      <c r="H14" s="265" t="s">
        <v>536</v>
      </c>
      <c r="J14" s="467" t="s">
        <v>637</v>
      </c>
      <c r="K14" s="468"/>
      <c r="L14" s="468"/>
      <c r="M14" s="469">
        <f>ROUND(F27/1000,0)</f>
        <v>1908</v>
      </c>
    </row>
    <row r="15" spans="1:13" ht="15.75">
      <c r="A15" s="141" t="s">
        <v>52</v>
      </c>
      <c r="B15" s="95" t="s">
        <v>53</v>
      </c>
      <c r="C15" s="266" t="s">
        <v>177</v>
      </c>
      <c r="D15" s="95" t="s">
        <v>53</v>
      </c>
      <c r="E15" s="266" t="s">
        <v>177</v>
      </c>
      <c r="F15" s="95" t="s">
        <v>531</v>
      </c>
      <c r="G15" s="732"/>
      <c r="H15" s="266" t="s">
        <v>177</v>
      </c>
      <c r="J15" s="1"/>
      <c r="K15" s="1"/>
      <c r="L15" s="1"/>
      <c r="M15" s="1"/>
    </row>
    <row r="16" spans="1:13" ht="15.75">
      <c r="A16" s="21" t="str">
        <f>inputPrYr!B19</f>
        <v>General</v>
      </c>
      <c r="B16" s="104">
        <f>IF(gen!$C$61&lt;&gt;0,gen!$C$61,"  ")</f>
        <v>928</v>
      </c>
      <c r="C16" s="585">
        <f>IF(inputPrYr!D38&gt;0,inputPrYr!D38,"  ")</f>
        <v>4.207</v>
      </c>
      <c r="D16" s="524">
        <f>IF(gen!$D$61&lt;&gt;0,gen!$D$61,"  ")</f>
        <v>23831</v>
      </c>
      <c r="E16" s="588">
        <f>IF(inputOth!D16&gt;0,inputOth!D16,"  ")</f>
        <v>4.303</v>
      </c>
      <c r="F16" s="524">
        <f>IF(gen!$E$61&lt;&gt;0,gen!$E$61,"  ")</f>
        <v>24799</v>
      </c>
      <c r="G16" s="215">
        <f>IF(gen!$E$68&lt;&gt;0,gen!$E$68,"  ")</f>
        <v>8310.770000000004</v>
      </c>
      <c r="H16" s="585">
        <f>IF(gen!E68&gt;0,ROUND(G16/$F$27*1000,3)," ")</f>
        <v>4.355</v>
      </c>
      <c r="J16" s="722" t="str">
        <f>CONCATENATE("Want The Mill Rate The Same As For ",I3-1,"?")</f>
        <v>Want The Mill Rate The Same As For 2014?</v>
      </c>
      <c r="K16" s="725"/>
      <c r="L16" s="725"/>
      <c r="M16" s="726"/>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4.303</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-98.77000000000407</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928</v>
      </c>
      <c r="C23" s="587">
        <f aca="true" t="shared" si="0" ref="C23:H23">SUM(C16:C21)</f>
        <v>4.207</v>
      </c>
      <c r="D23" s="582">
        <f t="shared" si="0"/>
        <v>23831</v>
      </c>
      <c r="E23" s="590">
        <f t="shared" si="0"/>
        <v>4.303</v>
      </c>
      <c r="F23" s="582">
        <f t="shared" si="0"/>
        <v>24799</v>
      </c>
      <c r="G23" s="582">
        <f t="shared" si="0"/>
        <v>8310.770000000004</v>
      </c>
      <c r="H23" s="590">
        <f t="shared" si="0"/>
        <v>4.355</v>
      </c>
      <c r="J23" s="722" t="str">
        <f>CONCATENATE("Impact On Keeping The Same Mill Rate As For ",I3-1,"")</f>
        <v>Impact On Keeping The Same Mill Rate As For 2014</v>
      </c>
      <c r="K23" s="727"/>
      <c r="L23" s="727"/>
      <c r="M23" s="728"/>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928</v>
      </c>
      <c r="C25" s="268"/>
      <c r="D25" s="110">
        <f>SUM(D23-D24)</f>
        <v>23831</v>
      </c>
      <c r="E25" s="268"/>
      <c r="F25" s="451">
        <f>SUM(F23-F24)</f>
        <v>24799</v>
      </c>
      <c r="G25" s="210"/>
      <c r="H25" s="267"/>
      <c r="J25" s="470" t="str">
        <f>CONCATENATE("",I3," Ad Valorem Tax Revenue:")</f>
        <v>2015 Ad Valorem Tax Revenue:</v>
      </c>
      <c r="K25" s="465"/>
      <c r="L25" s="465"/>
      <c r="M25" s="466">
        <f>G23</f>
        <v>8310.770000000004</v>
      </c>
    </row>
    <row r="26" spans="1:13" ht="16.5" thickTop="1">
      <c r="A26" s="18" t="s">
        <v>54</v>
      </c>
      <c r="B26" s="582">
        <f>inputPrYr!E44</f>
        <v>8139</v>
      </c>
      <c r="C26" s="187"/>
      <c r="D26" s="582">
        <f>inputPrYr!E24</f>
        <v>8154</v>
      </c>
      <c r="E26" s="187"/>
      <c r="F26" s="64" t="s">
        <v>156</v>
      </c>
      <c r="G26" s="3"/>
      <c r="H26" s="3"/>
      <c r="J26" s="470" t="str">
        <f>CONCATENATE("",I3-1," Ad Valorem Tax Revenue:")</f>
        <v>2014 Ad Valorem Tax Revenue:</v>
      </c>
      <c r="K26" s="465"/>
      <c r="L26" s="465"/>
      <c r="M26" s="479">
        <f>ROUND(F27*M18/1000,0)</f>
        <v>8212</v>
      </c>
    </row>
    <row r="27" spans="1:13" ht="15.75">
      <c r="A27" s="18" t="s">
        <v>152</v>
      </c>
      <c r="B27" s="27">
        <f>inputPrYr!E45</f>
        <v>1934630</v>
      </c>
      <c r="C27" s="187"/>
      <c r="D27" s="27">
        <f>inputOth!E24</f>
        <v>1894921</v>
      </c>
      <c r="E27" s="187"/>
      <c r="F27" s="27">
        <f>inputOth!E7</f>
        <v>1908492</v>
      </c>
      <c r="G27" s="3"/>
      <c r="H27" s="3"/>
      <c r="J27" s="480" t="s">
        <v>638</v>
      </c>
      <c r="K27" s="481"/>
      <c r="L27" s="481"/>
      <c r="M27" s="469">
        <f>M25-M26</f>
        <v>98.77000000000407</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2" t="s">
        <v>639</v>
      </c>
      <c r="K29" s="725"/>
      <c r="L29" s="725"/>
      <c r="M29" s="726"/>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4.355</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29" t="str">
        <f>inputBudSum!B3</f>
        <v>Mike Gerken</v>
      </c>
      <c r="B40" s="692"/>
      <c r="C40" s="80"/>
      <c r="D40" s="3"/>
      <c r="E40" s="3"/>
      <c r="F40" s="3"/>
      <c r="G40" s="3"/>
      <c r="H40" s="37"/>
    </row>
    <row r="41" spans="1:8" ht="15.75">
      <c r="A41" s="720" t="str">
        <f>inputBudSum!B5</f>
        <v>Treasurer</v>
      </c>
      <c r="B41" s="721"/>
      <c r="C41" s="3"/>
      <c r="D41" s="115" t="s">
        <v>44</v>
      </c>
      <c r="E41" s="453"/>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Miles Village_Lake Waltanna Improvement District</v>
      </c>
      <c r="C1" s="3"/>
      <c r="D1" s="3"/>
      <c r="E1" s="154">
        <f>inputPrYr!D6</f>
        <v>2015</v>
      </c>
    </row>
    <row r="2" spans="2:5" ht="15.75">
      <c r="B2" s="3" t="str">
        <f>inputPrYr!D4</f>
        <v>Sedgwick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5" t="str">
        <f>CONCATENATE("Desired Carryover Into ",E3+1,"")</f>
        <v>Desired Carryover Into 1</v>
      </c>
      <c r="H25" s="716"/>
      <c r="I25" s="716"/>
      <c r="J25" s="717"/>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5" t="str">
        <f>CONCATENATE("Projected Carryover Into ",E3+1,"")</f>
        <v>Projected Carryover Into 1</v>
      </c>
      <c r="H32" s="718"/>
      <c r="I32" s="718"/>
      <c r="J32" s="719"/>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1" t="s">
        <v>629</v>
      </c>
      <c r="D36" s="712"/>
      <c r="E36" s="20"/>
      <c r="F36" s="573">
        <f>IF(E33/0.95-E33&lt;E36,"Exceeds 5%","")</f>
      </c>
      <c r="G36" s="448">
        <f>IF(E39&gt;0,E38,E40)</f>
        <v>0</v>
      </c>
      <c r="H36" s="449" t="str">
        <f>CONCATENATE("",E3," Ad Valorem Tax (est.)")</f>
        <v> Ad Valorem Tax (est.)</v>
      </c>
      <c r="I36" s="449"/>
      <c r="J36" s="118"/>
      <c r="K36" s="610">
        <f>IF(G36=E40,"","Note: Does not include Delinquent Taxes")</f>
      </c>
    </row>
    <row r="37" spans="2:11" ht="15.75">
      <c r="B37" s="354" t="str">
        <f>CONCATENATE(C87,"     ",D87)</f>
        <v>     </v>
      </c>
      <c r="C37" s="713" t="s">
        <v>630</v>
      </c>
      <c r="D37" s="714"/>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09" t="str">
        <f>CONCATENATE("Amount of  ",$E$3-1," Ad Valorem Tax")</f>
        <v>Amount of  -1 Ad Valorem Tax</v>
      </c>
      <c r="D40" s="710"/>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6" t="s">
        <v>701</v>
      </c>
      <c r="H42" s="707"/>
      <c r="I42" s="707"/>
      <c r="J42" s="708"/>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4.355</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4.303</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4"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5" t="str">
        <f>CONCATENATE("Desired Carryover Into ",E3+1,"")</f>
        <v>Desired Carryover Into 1</v>
      </c>
      <c r="H65" s="716"/>
      <c r="I65" s="716"/>
      <c r="J65" s="717"/>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5" t="str">
        <f>CONCATENATE("Projected Carryover Into ",E3+1,"")</f>
        <v>Projected Carryover Into 1</v>
      </c>
      <c r="H72" s="735"/>
      <c r="I72" s="735"/>
      <c r="J72" s="719"/>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1" t="s">
        <v>629</v>
      </c>
      <c r="D74" s="712"/>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3" t="s">
        <v>630</v>
      </c>
      <c r="D75" s="714"/>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0">
        <f>IF(G76=E78,"","Note: Does not include Delinquent Taxes")</f>
      </c>
    </row>
    <row r="77" spans="2:11" ht="15.7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75">
      <c r="B78" s="3"/>
      <c r="C78" s="709" t="str">
        <f>CONCATENATE("Amount of  ",$E$3-1," Ad Valorem Tax")</f>
        <v>Amount of  -1 Ad Valorem Tax</v>
      </c>
      <c r="D78" s="710"/>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6" t="s">
        <v>701</v>
      </c>
      <c r="H82" s="707"/>
      <c r="I82" s="707"/>
      <c r="J82" s="708"/>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4.355</v>
      </c>
      <c r="H86" s="455" t="str">
        <f>CONCATENATE("Total ",E3," Mill Rate")</f>
        <v>Total  Mill Rate</v>
      </c>
      <c r="I86" s="534"/>
      <c r="J86" s="553"/>
      <c r="K86" s="1"/>
    </row>
    <row r="87" spans="3:11" ht="15.75" customHeight="1">
      <c r="C87" s="76">
        <f>IF(C33&gt;C35,"See Tab A","")</f>
      </c>
      <c r="D87" s="76">
        <f>IF(D33&gt;D35,"See Tab C","")</f>
      </c>
      <c r="F87" s="1"/>
      <c r="G87" s="556">
        <f>summ!E23</f>
        <v>4.303</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5"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Miles Village_Lake Waltanna Improvement District</v>
      </c>
      <c r="C1" s="194"/>
      <c r="D1" s="3"/>
      <c r="E1" s="154">
        <f>inputPrYr!D6</f>
        <v>2015</v>
      </c>
    </row>
    <row r="2" spans="2:5" ht="15.75">
      <c r="B2" s="3" t="str">
        <f>inputPrYr!D4</f>
        <v>Sedgwick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1">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1">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Miles Village_Lake Waltanna Improvement District</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36">
        <f>inputPrYr!B30</f>
        <v>0</v>
      </c>
      <c r="B5" s="737"/>
      <c r="C5" s="736">
        <f>inputPrYr!B31</f>
        <v>0</v>
      </c>
      <c r="D5" s="737"/>
      <c r="E5" s="736">
        <f>inputPrYr!B32</f>
        <v>0</v>
      </c>
      <c r="F5" s="737"/>
      <c r="G5" s="736">
        <f>inputPrYr!B33</f>
        <v>0</v>
      </c>
      <c r="H5" s="737"/>
      <c r="I5" s="736">
        <f>inputPrYr!B34</f>
        <v>0</v>
      </c>
      <c r="J5" s="737"/>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Miles Village_Lake Waltanna Improvement District</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3" t="str">
        <f>CONCATENATE("",F1," Neighborhood Revitalization Rebate")</f>
        <v>2015 Neighborhood Revitalization Rebate</v>
      </c>
      <c r="C4" s="740"/>
      <c r="D4" s="740"/>
      <c r="E4" s="730"/>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1" t="str">
        <f>CONCATENATE("",F1-1," July 1 Valuation:")</f>
        <v>2014 July 1 Valuation:</v>
      </c>
      <c r="B16" s="739"/>
      <c r="C16" s="741"/>
      <c r="D16" s="280">
        <f>inputOth!E7</f>
        <v>1908492</v>
      </c>
      <c r="E16" s="3"/>
      <c r="F16" s="37"/>
    </row>
    <row r="17" spans="1:6" ht="15.75">
      <c r="A17" s="3"/>
      <c r="B17" s="3"/>
      <c r="C17" s="3"/>
      <c r="D17" s="3"/>
      <c r="E17" s="3"/>
      <c r="F17" s="37"/>
    </row>
    <row r="18" spans="1:6" ht="15.75">
      <c r="A18" s="3"/>
      <c r="B18" s="741" t="s">
        <v>295</v>
      </c>
      <c r="C18" s="741"/>
      <c r="D18" s="281">
        <f>IF(D16&gt;0,(D16*0.001),"")</f>
        <v>1908.492</v>
      </c>
      <c r="E18" s="3"/>
      <c r="F18" s="37"/>
    </row>
    <row r="19" spans="1:6" ht="15.75">
      <c r="A19" s="3"/>
      <c r="B19" s="115"/>
      <c r="C19" s="115"/>
      <c r="D19" s="282"/>
      <c r="E19" s="3"/>
      <c r="F19" s="37"/>
    </row>
    <row r="20" spans="1:6" ht="15.75">
      <c r="A20" s="738" t="s">
        <v>293</v>
      </c>
      <c r="B20" s="730"/>
      <c r="C20" s="730"/>
      <c r="D20" s="283">
        <f>inputOth!E12</f>
        <v>0</v>
      </c>
      <c r="E20" s="47"/>
      <c r="F20" s="47"/>
    </row>
    <row r="21" spans="1:6" ht="15">
      <c r="A21" s="47"/>
      <c r="B21" s="47"/>
      <c r="C21" s="47"/>
      <c r="D21" s="284"/>
      <c r="E21" s="47"/>
      <c r="F21" s="47"/>
    </row>
    <row r="22" spans="1:6" ht="15.75">
      <c r="A22" s="47"/>
      <c r="B22" s="738" t="s">
        <v>294</v>
      </c>
      <c r="C22" s="739"/>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6"/>
      <c r="D2" s="636"/>
      <c r="E2" s="636"/>
      <c r="F2" s="636"/>
      <c r="G2" s="636"/>
      <c r="H2" s="636"/>
      <c r="I2" s="640">
        <f>inputPrYr!D6</f>
        <v>2015</v>
      </c>
    </row>
    <row r="3" spans="3:9" ht="15.75" thickBot="1">
      <c r="C3" s="636"/>
      <c r="D3" s="636"/>
      <c r="E3" s="636"/>
      <c r="F3" s="636"/>
      <c r="G3" s="636"/>
      <c r="H3" s="636"/>
      <c r="I3" s="636"/>
    </row>
    <row r="4" spans="3:9" ht="19.5" thickBot="1">
      <c r="C4" s="745" t="s">
        <v>770</v>
      </c>
      <c r="D4" s="746"/>
      <c r="E4" s="746"/>
      <c r="F4" s="746"/>
      <c r="G4" s="746"/>
      <c r="H4" s="746"/>
      <c r="I4" s="747"/>
    </row>
    <row r="5" spans="3:9" ht="16.5" thickBot="1">
      <c r="C5" s="637"/>
      <c r="D5" s="637"/>
      <c r="E5" s="638"/>
      <c r="F5" s="639"/>
      <c r="G5" s="637"/>
      <c r="H5" s="637"/>
      <c r="I5" s="637"/>
    </row>
    <row r="6" spans="3:9" ht="15.75">
      <c r="C6" s="748" t="str">
        <f>CONCATENATE("Notice of Vote - ",inputPrYr!D3)</f>
        <v>Notice of Vote - Miles Village_Lake Waltanna Improvement District</v>
      </c>
      <c r="D6" s="749"/>
      <c r="E6" s="749"/>
      <c r="F6" s="749"/>
      <c r="G6" s="749"/>
      <c r="H6" s="749"/>
      <c r="I6" s="750"/>
    </row>
    <row r="7" spans="3:9" ht="60.75" customHeight="1" thickBot="1">
      <c r="C7" s="74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3"/>
      <c r="E7" s="743"/>
      <c r="F7" s="743"/>
      <c r="G7" s="743"/>
      <c r="H7" s="743"/>
      <c r="I7" s="74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6" t="s">
        <v>7</v>
      </c>
      <c r="B1" s="667"/>
      <c r="C1" s="667"/>
      <c r="D1" s="667"/>
      <c r="E1" s="667"/>
    </row>
    <row r="2" spans="1:5" ht="15.75">
      <c r="A2" s="2"/>
      <c r="B2" s="3"/>
      <c r="C2" s="3"/>
      <c r="D2" s="3"/>
      <c r="E2" s="3"/>
    </row>
    <row r="3" spans="1:5" ht="15.75">
      <c r="A3" s="4" t="s">
        <v>122</v>
      </c>
      <c r="B3" s="3"/>
      <c r="C3" s="3"/>
      <c r="D3" s="602" t="s">
        <v>794</v>
      </c>
      <c r="E3" s="5"/>
    </row>
    <row r="4" spans="1:5" ht="15.75">
      <c r="A4" s="4" t="s">
        <v>204</v>
      </c>
      <c r="B4" s="3"/>
      <c r="C4" s="3"/>
      <c r="D4" s="602" t="s">
        <v>795</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68" t="s">
        <v>185</v>
      </c>
      <c r="B8" s="669"/>
      <c r="C8" s="669"/>
      <c r="D8" s="669"/>
      <c r="E8" s="669"/>
    </row>
    <row r="9" spans="1:5" ht="15.75">
      <c r="A9" s="8" t="s">
        <v>78</v>
      </c>
      <c r="B9" s="9"/>
      <c r="C9" s="9"/>
      <c r="D9" s="9"/>
      <c r="E9" s="9"/>
    </row>
    <row r="10" spans="1:8" ht="15.75">
      <c r="A10" s="670" t="s">
        <v>184</v>
      </c>
      <c r="B10" s="671"/>
      <c r="C10" s="671"/>
      <c r="D10" s="671"/>
      <c r="E10" s="671"/>
      <c r="F10" s="3"/>
      <c r="G10" s="659" t="s">
        <v>674</v>
      </c>
      <c r="H10" s="660"/>
    </row>
    <row r="11" spans="1:8" ht="15.75">
      <c r="A11" s="10"/>
      <c r="B11" s="3"/>
      <c r="C11" s="3"/>
      <c r="D11" s="3"/>
      <c r="E11" s="3"/>
      <c r="F11" s="3"/>
      <c r="G11" s="661"/>
      <c r="H11" s="660"/>
    </row>
    <row r="12" spans="1:8" ht="15.75">
      <c r="A12" s="664" t="s">
        <v>175</v>
      </c>
      <c r="B12" s="665"/>
      <c r="C12" s="665"/>
      <c r="D12" s="665"/>
      <c r="E12" s="665"/>
      <c r="F12" s="3"/>
      <c r="G12" s="661"/>
      <c r="H12" s="660"/>
    </row>
    <row r="13" spans="1:8" ht="15.75">
      <c r="A13" s="10"/>
      <c r="B13" s="3"/>
      <c r="C13" s="3"/>
      <c r="D13" s="3"/>
      <c r="E13" s="3"/>
      <c r="F13" s="3"/>
      <c r="G13" s="661"/>
      <c r="H13" s="660"/>
    </row>
    <row r="14" spans="1:8" ht="15.75">
      <c r="A14" s="11" t="s">
        <v>137</v>
      </c>
      <c r="B14" s="12"/>
      <c r="C14" s="3"/>
      <c r="D14" s="3"/>
      <c r="E14" s="3"/>
      <c r="F14" s="3"/>
      <c r="G14" s="661"/>
      <c r="H14" s="660"/>
    </row>
    <row r="15" spans="1:8" ht="15.75">
      <c r="A15" s="13" t="str">
        <f>CONCATENATE("the ",D6-1," Budget, Certificate Page:")</f>
        <v>the 2014 Budget, Certificate Page:</v>
      </c>
      <c r="B15" s="14"/>
      <c r="C15" s="3"/>
      <c r="D15" s="3"/>
      <c r="E15" s="3"/>
      <c r="F15" s="3"/>
      <c r="G15" s="661"/>
      <c r="H15" s="660"/>
    </row>
    <row r="16" spans="1:8" ht="15.75">
      <c r="A16" s="13" t="s">
        <v>253</v>
      </c>
      <c r="B16" s="14"/>
      <c r="C16" s="3"/>
      <c r="D16" s="3"/>
      <c r="E16" s="3"/>
      <c r="F16" s="3"/>
      <c r="G16" s="53"/>
      <c r="H16" s="37"/>
    </row>
    <row r="17" spans="1:8" ht="15.75">
      <c r="A17" s="3"/>
      <c r="B17" s="3"/>
      <c r="C17" s="15"/>
      <c r="D17" s="16">
        <f>D6-1</f>
        <v>2014</v>
      </c>
      <c r="E17" s="672" t="str">
        <f>CONCATENATE("Amount of ",D6-2,"     Ad Valorem Tax")</f>
        <v>Amount of 2013     Ad Valorem Tax</v>
      </c>
      <c r="G17" s="83" t="s">
        <v>675</v>
      </c>
      <c r="H17" s="92" t="s">
        <v>43</v>
      </c>
    </row>
    <row r="18" spans="1:8" ht="15.75">
      <c r="A18" s="2" t="s">
        <v>8</v>
      </c>
      <c r="B18" s="3"/>
      <c r="C18" s="15" t="s">
        <v>9</v>
      </c>
      <c r="D18" s="17" t="s">
        <v>254</v>
      </c>
      <c r="E18" s="673"/>
      <c r="G18" s="95" t="str">
        <f>CONCATENATE("",D6-2," Ad Valorem Tax")</f>
        <v>2013 Ad Valorem Tax</v>
      </c>
      <c r="H18" s="499">
        <v>0</v>
      </c>
    </row>
    <row r="19" spans="1:7" ht="15.75">
      <c r="A19" s="3"/>
      <c r="B19" s="18" t="s">
        <v>10</v>
      </c>
      <c r="C19" s="572"/>
      <c r="D19" s="20">
        <v>23831</v>
      </c>
      <c r="E19" s="20">
        <v>8154</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8154</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23831</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2" t="str">
        <f>CONCATENATE("",D6-3," Tax Rate          (",D6-2," Column)")</f>
        <v>2012 Tax Rate          (2013 Column)</v>
      </c>
      <c r="E36" s="22"/>
    </row>
    <row r="37" spans="1:5" ht="15.75">
      <c r="A37" s="13" t="str">
        <f>CONCATENATE("the ",D6-1," Budget, Budget Summary Page:")</f>
        <v>the 2014 Budget, Budget Summary Page:</v>
      </c>
      <c r="B37" s="14"/>
      <c r="C37" s="3"/>
      <c r="D37" s="663"/>
      <c r="E37" s="22"/>
    </row>
    <row r="38" spans="1:5" ht="15.75">
      <c r="A38" s="3"/>
      <c r="B38" s="21" t="str">
        <f>B19</f>
        <v>General</v>
      </c>
      <c r="C38" s="3"/>
      <c r="D38" s="32">
        <v>4.207</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4.207</v>
      </c>
      <c r="E42" s="22"/>
    </row>
    <row r="43" spans="1:5" ht="16.5" thickTop="1">
      <c r="A43" s="3"/>
      <c r="B43" s="3"/>
      <c r="C43" s="3"/>
      <c r="D43" s="3"/>
      <c r="E43" s="22"/>
    </row>
    <row r="44" spans="1:5" ht="15.75">
      <c r="A44" s="34" t="str">
        <f>CONCATENATE("Total Tax Levied (",D6-2," budget column)")</f>
        <v>Total Tax Levied (2013 budget column)</v>
      </c>
      <c r="B44" s="12"/>
      <c r="C44" s="3"/>
      <c r="D44" s="3"/>
      <c r="E44" s="35">
        <v>8139</v>
      </c>
    </row>
    <row r="45" spans="1:5" ht="15.75">
      <c r="A45" s="34" t="str">
        <f>CONCATENATE("Assessed Valuation (",D6-2," budget column)")</f>
        <v>Assessed Valuation (2013 budget column)</v>
      </c>
      <c r="B45" s="12"/>
      <c r="C45" s="3"/>
      <c r="D45" s="3"/>
      <c r="E45" s="36">
        <v>1934630</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6"/>
      <c r="D2" s="636"/>
      <c r="E2" s="636"/>
      <c r="F2" s="636"/>
      <c r="G2" s="636"/>
      <c r="H2" s="640">
        <f>inputPrYr!D6</f>
        <v>2015</v>
      </c>
    </row>
    <row r="3" spans="3:8" ht="15.75" thickBot="1">
      <c r="C3" s="636"/>
      <c r="D3" s="636"/>
      <c r="E3" s="636"/>
      <c r="F3" s="636"/>
      <c r="G3" s="636"/>
      <c r="H3" s="636"/>
    </row>
    <row r="4" spans="3:8" ht="19.5" thickBot="1">
      <c r="C4" s="751" t="s">
        <v>771</v>
      </c>
      <c r="D4" s="752"/>
      <c r="E4" s="752"/>
      <c r="F4" s="752"/>
      <c r="G4" s="752"/>
      <c r="H4" s="753"/>
    </row>
    <row r="5" spans="3:8" ht="16.5" thickBot="1">
      <c r="C5" s="641"/>
      <c r="D5" s="641"/>
      <c r="E5" s="641"/>
      <c r="F5" s="641"/>
      <c r="G5" s="641"/>
      <c r="H5" s="641"/>
    </row>
    <row r="6" spans="3:8" ht="15.75">
      <c r="C6" s="748" t="str">
        <f>CONCATENATE("Notice of Vote - ",inputPrYr!D3)</f>
        <v>Notice of Vote - Miles Village_Lake Waltanna Improvement District</v>
      </c>
      <c r="D6" s="749"/>
      <c r="E6" s="749"/>
      <c r="F6" s="749"/>
      <c r="G6" s="749"/>
      <c r="H6" s="750"/>
    </row>
    <row r="7" spans="3:8" ht="15.75">
      <c r="C7" s="754" t="s">
        <v>772</v>
      </c>
      <c r="D7" s="755"/>
      <c r="E7" s="755"/>
      <c r="F7" s="755"/>
      <c r="G7" s="755"/>
      <c r="H7" s="756"/>
    </row>
    <row r="8" spans="3:8" ht="15.75">
      <c r="C8" s="754" t="s">
        <v>773</v>
      </c>
      <c r="D8" s="755"/>
      <c r="E8" s="755"/>
      <c r="F8" s="755"/>
      <c r="G8" s="755"/>
      <c r="H8" s="756"/>
    </row>
    <row r="9" spans="3:8" ht="15.75">
      <c r="C9" s="644" t="str">
        <f>CONCATENATE(H2-1," Budget")</f>
        <v>2014 Budget</v>
      </c>
      <c r="D9" s="648" t="s">
        <v>93</v>
      </c>
      <c r="E9" s="650">
        <f>inputPrYr!E24</f>
        <v>8154</v>
      </c>
      <c r="F9" s="642"/>
      <c r="G9" s="642"/>
      <c r="H9" s="643"/>
    </row>
    <row r="10" spans="3:8" ht="15.75">
      <c r="C10" s="644" t="str">
        <f>CONCATENATE(H2," Budget")</f>
        <v>2015 Budget</v>
      </c>
      <c r="D10" s="648" t="s">
        <v>93</v>
      </c>
      <c r="E10" s="651">
        <f>cert!F30</f>
        <v>8310.770000000004</v>
      </c>
      <c r="F10" s="642"/>
      <c r="G10" s="642"/>
      <c r="H10" s="643"/>
    </row>
    <row r="11" spans="3:8" ht="15.75">
      <c r="C11" s="644"/>
      <c r="D11" s="642"/>
      <c r="E11" s="642" t="s">
        <v>774</v>
      </c>
      <c r="F11" s="652"/>
      <c r="G11" s="647" t="s">
        <v>775</v>
      </c>
      <c r="H11" s="653"/>
    </row>
    <row r="12" spans="3:8" ht="16.5" thickBot="1">
      <c r="C12" s="645"/>
      <c r="D12" s="646"/>
      <c r="E12" s="646"/>
      <c r="F12" s="646"/>
      <c r="G12" s="646"/>
      <c r="H12" s="64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7" t="s">
        <v>537</v>
      </c>
      <c r="C6" s="758"/>
      <c r="D6" s="758"/>
      <c r="E6" s="758"/>
      <c r="F6" s="758"/>
      <c r="G6" s="758"/>
      <c r="H6" s="758"/>
      <c r="I6" s="758"/>
      <c r="J6" s="758"/>
      <c r="K6" s="758"/>
      <c r="L6" s="363"/>
    </row>
    <row r="7" spans="1:12" ht="40.5" customHeight="1">
      <c r="A7" s="360"/>
      <c r="B7" s="759" t="s">
        <v>538</v>
      </c>
      <c r="C7" s="760"/>
      <c r="D7" s="760"/>
      <c r="E7" s="760"/>
      <c r="F7" s="760"/>
      <c r="G7" s="760"/>
      <c r="H7" s="760"/>
      <c r="I7" s="760"/>
      <c r="J7" s="760"/>
      <c r="K7" s="760"/>
      <c r="L7" s="360"/>
    </row>
    <row r="8" spans="1:12" ht="14.25">
      <c r="A8" s="360"/>
      <c r="B8" s="761" t="s">
        <v>539</v>
      </c>
      <c r="C8" s="761"/>
      <c r="D8" s="761"/>
      <c r="E8" s="761"/>
      <c r="F8" s="761"/>
      <c r="G8" s="761"/>
      <c r="H8" s="761"/>
      <c r="I8" s="761"/>
      <c r="J8" s="761"/>
      <c r="K8" s="761"/>
      <c r="L8" s="360"/>
    </row>
    <row r="9" spans="1:12" ht="14.25">
      <c r="A9" s="360"/>
      <c r="L9" s="360"/>
    </row>
    <row r="10" spans="1:12" ht="14.25">
      <c r="A10" s="360"/>
      <c r="B10" s="761" t="s">
        <v>540</v>
      </c>
      <c r="C10" s="761"/>
      <c r="D10" s="761"/>
      <c r="E10" s="761"/>
      <c r="F10" s="761"/>
      <c r="G10" s="761"/>
      <c r="H10" s="761"/>
      <c r="I10" s="761"/>
      <c r="J10" s="761"/>
      <c r="K10" s="761"/>
      <c r="L10" s="360"/>
    </row>
    <row r="11" spans="1:12" ht="14.25">
      <c r="A11" s="360"/>
      <c r="B11" s="497"/>
      <c r="C11" s="497"/>
      <c r="D11" s="497"/>
      <c r="E11" s="497"/>
      <c r="F11" s="497"/>
      <c r="G11" s="497"/>
      <c r="H11" s="497"/>
      <c r="I11" s="497"/>
      <c r="J11" s="497"/>
      <c r="K11" s="497"/>
      <c r="L11" s="360"/>
    </row>
    <row r="12" spans="1:12" ht="32.25" customHeight="1">
      <c r="A12" s="360"/>
      <c r="B12" s="762" t="s">
        <v>541</v>
      </c>
      <c r="C12" s="762"/>
      <c r="D12" s="762"/>
      <c r="E12" s="762"/>
      <c r="F12" s="762"/>
      <c r="G12" s="762"/>
      <c r="H12" s="762"/>
      <c r="I12" s="762"/>
      <c r="J12" s="762"/>
      <c r="K12" s="762"/>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63">
        <v>312000000</v>
      </c>
      <c r="G23" s="763"/>
      <c r="L23" s="360"/>
    </row>
    <row r="24" spans="1:12" ht="14.25">
      <c r="A24" s="360"/>
      <c r="L24" s="360"/>
    </row>
    <row r="25" spans="1:12" ht="14.25">
      <c r="A25" s="360"/>
      <c r="C25" s="764">
        <f>F23</f>
        <v>312000000</v>
      </c>
      <c r="D25" s="764"/>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5" t="s">
        <v>538</v>
      </c>
      <c r="C30" s="765"/>
      <c r="D30" s="765"/>
      <c r="E30" s="765"/>
      <c r="F30" s="765"/>
      <c r="G30" s="765"/>
      <c r="H30" s="765"/>
      <c r="I30" s="765"/>
      <c r="J30" s="765"/>
      <c r="K30" s="765"/>
      <c r="L30" s="360"/>
    </row>
    <row r="31" spans="1:12" ht="14.25">
      <c r="A31" s="360"/>
      <c r="B31" s="761" t="s">
        <v>550</v>
      </c>
      <c r="C31" s="761"/>
      <c r="D31" s="761"/>
      <c r="E31" s="761"/>
      <c r="F31" s="761"/>
      <c r="G31" s="761"/>
      <c r="H31" s="761"/>
      <c r="I31" s="761"/>
      <c r="J31" s="761"/>
      <c r="K31" s="761"/>
      <c r="L31" s="360"/>
    </row>
    <row r="32" spans="1:12" ht="14.25">
      <c r="A32" s="360"/>
      <c r="L32" s="360"/>
    </row>
    <row r="33" spans="1:12" ht="14.25">
      <c r="A33" s="360"/>
      <c r="B33" s="761" t="s">
        <v>551</v>
      </c>
      <c r="C33" s="761"/>
      <c r="D33" s="761"/>
      <c r="E33" s="761"/>
      <c r="F33" s="761"/>
      <c r="G33" s="761"/>
      <c r="H33" s="761"/>
      <c r="I33" s="761"/>
      <c r="J33" s="761"/>
      <c r="K33" s="761"/>
      <c r="L33" s="360"/>
    </row>
    <row r="34" spans="1:12" ht="14.25">
      <c r="A34" s="360"/>
      <c r="L34" s="360"/>
    </row>
    <row r="35" spans="1:12" ht="89.25" customHeight="1">
      <c r="A35" s="360"/>
      <c r="B35" s="762" t="s">
        <v>552</v>
      </c>
      <c r="C35" s="766"/>
      <c r="D35" s="766"/>
      <c r="E35" s="766"/>
      <c r="F35" s="766"/>
      <c r="G35" s="766"/>
      <c r="H35" s="766"/>
      <c r="I35" s="766"/>
      <c r="J35" s="766"/>
      <c r="K35" s="766"/>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67">
        <v>312000000</v>
      </c>
      <c r="D41" s="767"/>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68">
        <v>312000000</v>
      </c>
      <c r="C48" s="763"/>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69" t="s">
        <v>560</v>
      </c>
      <c r="H50" s="770"/>
      <c r="I50" s="493" t="s">
        <v>546</v>
      </c>
      <c r="J50" s="380">
        <f>B50/F50</f>
        <v>0.16025641025641027</v>
      </c>
      <c r="K50" s="372"/>
      <c r="L50" s="360"/>
    </row>
    <row r="51" spans="1:15" ht="15" thickBot="1">
      <c r="A51" s="360"/>
      <c r="B51" s="373"/>
      <c r="C51" s="374"/>
      <c r="D51" s="374"/>
      <c r="E51" s="374"/>
      <c r="F51" s="374"/>
      <c r="G51" s="374"/>
      <c r="H51" s="374"/>
      <c r="I51" s="771" t="s">
        <v>561</v>
      </c>
      <c r="J51" s="771"/>
      <c r="K51" s="772"/>
      <c r="L51" s="360"/>
      <c r="O51" s="381"/>
    </row>
    <row r="52" spans="1:12" ht="40.5" customHeight="1">
      <c r="A52" s="360"/>
      <c r="B52" s="765" t="s">
        <v>538</v>
      </c>
      <c r="C52" s="765"/>
      <c r="D52" s="765"/>
      <c r="E52" s="765"/>
      <c r="F52" s="765"/>
      <c r="G52" s="765"/>
      <c r="H52" s="765"/>
      <c r="I52" s="765"/>
      <c r="J52" s="765"/>
      <c r="K52" s="765"/>
      <c r="L52" s="360"/>
    </row>
    <row r="53" spans="1:12" ht="14.25">
      <c r="A53" s="360"/>
      <c r="B53" s="761" t="s">
        <v>562</v>
      </c>
      <c r="C53" s="761"/>
      <c r="D53" s="761"/>
      <c r="E53" s="761"/>
      <c r="F53" s="761"/>
      <c r="G53" s="761"/>
      <c r="H53" s="761"/>
      <c r="I53" s="761"/>
      <c r="J53" s="761"/>
      <c r="K53" s="761"/>
      <c r="L53" s="360"/>
    </row>
    <row r="54" spans="1:12" ht="14.25">
      <c r="A54" s="360"/>
      <c r="B54" s="497"/>
      <c r="C54" s="497"/>
      <c r="D54" s="497"/>
      <c r="E54" s="497"/>
      <c r="F54" s="497"/>
      <c r="G54" s="497"/>
      <c r="H54" s="497"/>
      <c r="I54" s="497"/>
      <c r="J54" s="497"/>
      <c r="K54" s="497"/>
      <c r="L54" s="360"/>
    </row>
    <row r="55" spans="1:12" ht="14.25">
      <c r="A55" s="360"/>
      <c r="B55" s="757" t="s">
        <v>563</v>
      </c>
      <c r="C55" s="757"/>
      <c r="D55" s="757"/>
      <c r="E55" s="757"/>
      <c r="F55" s="757"/>
      <c r="G55" s="757"/>
      <c r="H55" s="757"/>
      <c r="I55" s="757"/>
      <c r="J55" s="757"/>
      <c r="K55" s="757"/>
      <c r="L55" s="360"/>
    </row>
    <row r="56" spans="1:12" ht="15" customHeight="1">
      <c r="A56" s="360"/>
      <c r="L56" s="360"/>
    </row>
    <row r="57" spans="1:24" ht="74.25" customHeight="1">
      <c r="A57" s="360"/>
      <c r="B57" s="762" t="s">
        <v>564</v>
      </c>
      <c r="C57" s="766"/>
      <c r="D57" s="766"/>
      <c r="E57" s="766"/>
      <c r="F57" s="766"/>
      <c r="G57" s="766"/>
      <c r="H57" s="766"/>
      <c r="I57" s="766"/>
      <c r="J57" s="766"/>
      <c r="K57" s="766"/>
      <c r="L57" s="360"/>
      <c r="M57" s="382"/>
      <c r="N57" s="383"/>
      <c r="O57" s="383"/>
      <c r="P57" s="383"/>
      <c r="Q57" s="383"/>
      <c r="R57" s="383"/>
      <c r="S57" s="383"/>
      <c r="T57" s="383"/>
      <c r="U57" s="383"/>
      <c r="V57" s="383"/>
      <c r="W57" s="383"/>
      <c r="X57" s="383"/>
    </row>
    <row r="58" spans="1:24" ht="15" customHeight="1">
      <c r="A58" s="360"/>
      <c r="B58" s="762"/>
      <c r="C58" s="766"/>
      <c r="D58" s="766"/>
      <c r="E58" s="766"/>
      <c r="F58" s="766"/>
      <c r="G58" s="766"/>
      <c r="H58" s="766"/>
      <c r="I58" s="766"/>
      <c r="J58" s="766"/>
      <c r="K58" s="766"/>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63">
        <v>312000000</v>
      </c>
      <c r="D74" s="763"/>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63">
        <v>50000</v>
      </c>
      <c r="D77" s="763"/>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63">
        <v>100000</v>
      </c>
      <c r="D80" s="763"/>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3">
        <f>H80</f>
        <v>11500</v>
      </c>
      <c r="D83" s="773"/>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5" t="s">
        <v>538</v>
      </c>
      <c r="C85" s="765"/>
      <c r="D85" s="765"/>
      <c r="E85" s="765"/>
      <c r="F85" s="765"/>
      <c r="G85" s="765"/>
      <c r="H85" s="765"/>
      <c r="I85" s="765"/>
      <c r="J85" s="765"/>
      <c r="K85" s="765"/>
      <c r="L85" s="360"/>
    </row>
    <row r="86" spans="1:12" ht="14.25">
      <c r="A86" s="360"/>
      <c r="B86" s="757" t="s">
        <v>580</v>
      </c>
      <c r="C86" s="757"/>
      <c r="D86" s="757"/>
      <c r="E86" s="757"/>
      <c r="F86" s="757"/>
      <c r="G86" s="757"/>
      <c r="H86" s="757"/>
      <c r="I86" s="757"/>
      <c r="J86" s="757"/>
      <c r="K86" s="757"/>
      <c r="L86" s="360"/>
    </row>
    <row r="87" spans="1:12" ht="14.25">
      <c r="A87" s="360"/>
      <c r="B87" s="394"/>
      <c r="C87" s="394"/>
      <c r="D87" s="394"/>
      <c r="E87" s="394"/>
      <c r="F87" s="394"/>
      <c r="G87" s="394"/>
      <c r="H87" s="394"/>
      <c r="I87" s="394"/>
      <c r="J87" s="394"/>
      <c r="K87" s="394"/>
      <c r="L87" s="360"/>
    </row>
    <row r="88" spans="1:12" ht="14.25">
      <c r="A88" s="360"/>
      <c r="B88" s="757" t="s">
        <v>581</v>
      </c>
      <c r="C88" s="757"/>
      <c r="D88" s="757"/>
      <c r="E88" s="757"/>
      <c r="F88" s="757"/>
      <c r="G88" s="757"/>
      <c r="H88" s="757"/>
      <c r="I88" s="757"/>
      <c r="J88" s="757"/>
      <c r="K88" s="757"/>
      <c r="L88" s="360"/>
    </row>
    <row r="89" spans="1:12" ht="14.25">
      <c r="A89" s="360"/>
      <c r="B89" s="492"/>
      <c r="C89" s="492"/>
      <c r="D89" s="492"/>
      <c r="E89" s="492"/>
      <c r="F89" s="492"/>
      <c r="G89" s="492"/>
      <c r="H89" s="492"/>
      <c r="I89" s="492"/>
      <c r="J89" s="492"/>
      <c r="K89" s="492"/>
      <c r="L89" s="360"/>
    </row>
    <row r="90" spans="1:12" ht="45" customHeight="1">
      <c r="A90" s="360"/>
      <c r="B90" s="762" t="s">
        <v>582</v>
      </c>
      <c r="C90" s="762"/>
      <c r="D90" s="762"/>
      <c r="E90" s="762"/>
      <c r="F90" s="762"/>
      <c r="G90" s="762"/>
      <c r="H90" s="762"/>
      <c r="I90" s="762"/>
      <c r="J90" s="762"/>
      <c r="K90" s="762"/>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3">
        <v>312000000</v>
      </c>
      <c r="D94" s="763"/>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3">
        <v>50000</v>
      </c>
      <c r="D97" s="763"/>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3">
        <v>2500000</v>
      </c>
      <c r="D100" s="763"/>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3">
        <f>H100</f>
        <v>750000</v>
      </c>
      <c r="D103" s="773"/>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5" t="s">
        <v>538</v>
      </c>
      <c r="C105" s="774"/>
      <c r="D105" s="774"/>
      <c r="E105" s="774"/>
      <c r="F105" s="774"/>
      <c r="G105" s="774"/>
      <c r="H105" s="774"/>
      <c r="I105" s="774"/>
      <c r="J105" s="774"/>
      <c r="K105" s="774"/>
      <c r="L105" s="360"/>
    </row>
    <row r="106" spans="1:12" ht="15" customHeight="1">
      <c r="A106" s="360"/>
      <c r="B106" s="775" t="s">
        <v>584</v>
      </c>
      <c r="C106" s="758"/>
      <c r="D106" s="758"/>
      <c r="E106" s="758"/>
      <c r="F106" s="758"/>
      <c r="G106" s="758"/>
      <c r="H106" s="758"/>
      <c r="I106" s="758"/>
      <c r="J106" s="758"/>
      <c r="K106" s="758"/>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6"/>
      <c r="D108" s="776"/>
      <c r="E108" s="776"/>
      <c r="F108" s="776"/>
      <c r="G108" s="776"/>
      <c r="H108" s="776"/>
      <c r="I108" s="776"/>
      <c r="J108" s="776"/>
      <c r="K108" s="776"/>
      <c r="L108" s="360"/>
    </row>
    <row r="109" spans="1:12" ht="15" customHeight="1">
      <c r="A109" s="360"/>
      <c r="B109" s="495"/>
      <c r="C109" s="405"/>
      <c r="D109" s="405"/>
      <c r="E109" s="493"/>
      <c r="F109" s="380"/>
      <c r="G109" s="493"/>
      <c r="H109" s="493"/>
      <c r="I109" s="493"/>
      <c r="J109" s="491"/>
      <c r="K109" s="495"/>
      <c r="L109" s="360"/>
    </row>
    <row r="110" spans="1:12" ht="59.25" customHeight="1">
      <c r="A110" s="360"/>
      <c r="B110" s="777" t="s">
        <v>586</v>
      </c>
      <c r="C110" s="766"/>
      <c r="D110" s="766"/>
      <c r="E110" s="766"/>
      <c r="F110" s="766"/>
      <c r="G110" s="766"/>
      <c r="H110" s="766"/>
      <c r="I110" s="766"/>
      <c r="J110" s="766"/>
      <c r="K110" s="766"/>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63">
        <v>312000000</v>
      </c>
      <c r="D114" s="763"/>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63">
        <v>50000</v>
      </c>
      <c r="D117" s="763"/>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63">
        <v>2500000</v>
      </c>
      <c r="D120" s="763"/>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3">
        <f>H120</f>
        <v>625000</v>
      </c>
      <c r="D123" s="773"/>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5" t="s">
        <v>538</v>
      </c>
      <c r="C125" s="765"/>
      <c r="D125" s="765"/>
      <c r="E125" s="765"/>
      <c r="F125" s="765"/>
      <c r="G125" s="765"/>
      <c r="H125" s="765"/>
      <c r="I125" s="765"/>
      <c r="J125" s="765"/>
      <c r="K125" s="765"/>
      <c r="L125" s="406"/>
    </row>
    <row r="126" spans="1:12" ht="14.25">
      <c r="A126" s="360"/>
      <c r="B126" s="757" t="s">
        <v>587</v>
      </c>
      <c r="C126" s="757"/>
      <c r="D126" s="757"/>
      <c r="E126" s="757"/>
      <c r="F126" s="757"/>
      <c r="G126" s="757"/>
      <c r="H126" s="757"/>
      <c r="I126" s="757"/>
      <c r="J126" s="757"/>
      <c r="K126" s="757"/>
      <c r="L126" s="406"/>
    </row>
    <row r="127" spans="1:12" ht="14.25">
      <c r="A127" s="360"/>
      <c r="B127" s="497"/>
      <c r="C127" s="497"/>
      <c r="D127" s="497"/>
      <c r="E127" s="497"/>
      <c r="F127" s="497"/>
      <c r="G127" s="497"/>
      <c r="H127" s="497"/>
      <c r="I127" s="497"/>
      <c r="J127" s="497"/>
      <c r="K127" s="497"/>
      <c r="L127" s="406"/>
    </row>
    <row r="128" spans="1:12" ht="14.25">
      <c r="A128" s="360"/>
      <c r="B128" s="757" t="s">
        <v>588</v>
      </c>
      <c r="C128" s="757"/>
      <c r="D128" s="757"/>
      <c r="E128" s="757"/>
      <c r="F128" s="757"/>
      <c r="G128" s="757"/>
      <c r="H128" s="757"/>
      <c r="I128" s="757"/>
      <c r="J128" s="757"/>
      <c r="K128" s="757"/>
      <c r="L128" s="406"/>
    </row>
    <row r="129" spans="1:12" ht="14.25">
      <c r="A129" s="360"/>
      <c r="B129" s="492"/>
      <c r="C129" s="492"/>
      <c r="D129" s="492"/>
      <c r="E129" s="492"/>
      <c r="F129" s="492"/>
      <c r="G129" s="492"/>
      <c r="H129" s="492"/>
      <c r="I129" s="492"/>
      <c r="J129" s="492"/>
      <c r="K129" s="492"/>
      <c r="L129" s="406"/>
    </row>
    <row r="130" spans="1:12" ht="74.25" customHeight="1">
      <c r="A130" s="360"/>
      <c r="B130" s="762" t="s">
        <v>589</v>
      </c>
      <c r="C130" s="762"/>
      <c r="D130" s="762"/>
      <c r="E130" s="762"/>
      <c r="F130" s="762"/>
      <c r="G130" s="762"/>
      <c r="H130" s="762"/>
      <c r="I130" s="762"/>
      <c r="J130" s="762"/>
      <c r="K130" s="762"/>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8" t="s">
        <v>590</v>
      </c>
      <c r="D133" s="778"/>
      <c r="E133" s="370"/>
      <c r="F133" s="493" t="s">
        <v>591</v>
      </c>
      <c r="G133" s="370"/>
      <c r="H133" s="778" t="s">
        <v>576</v>
      </c>
      <c r="I133" s="778"/>
      <c r="J133" s="370"/>
      <c r="K133" s="372"/>
      <c r="L133" s="360"/>
    </row>
    <row r="134" spans="1:12" ht="14.25">
      <c r="A134" s="360"/>
      <c r="B134" s="378" t="s">
        <v>569</v>
      </c>
      <c r="C134" s="763">
        <v>100000</v>
      </c>
      <c r="D134" s="763"/>
      <c r="E134" s="493" t="s">
        <v>28</v>
      </c>
      <c r="F134" s="493">
        <v>0.115</v>
      </c>
      <c r="G134" s="493" t="s">
        <v>546</v>
      </c>
      <c r="H134" s="779">
        <f>C134*F134</f>
        <v>11500</v>
      </c>
      <c r="I134" s="779"/>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0" t="s">
        <v>576</v>
      </c>
      <c r="D136" s="780"/>
      <c r="E136" s="388"/>
      <c r="F136" s="489" t="s">
        <v>592</v>
      </c>
      <c r="G136" s="489"/>
      <c r="H136" s="388"/>
      <c r="I136" s="388"/>
      <c r="J136" s="388" t="s">
        <v>593</v>
      </c>
      <c r="K136" s="389"/>
      <c r="L136" s="360"/>
    </row>
    <row r="137" spans="1:12" ht="14.25">
      <c r="A137" s="360"/>
      <c r="B137" s="378" t="s">
        <v>572</v>
      </c>
      <c r="C137" s="779">
        <f>H134</f>
        <v>11500</v>
      </c>
      <c r="D137" s="779"/>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1" t="s">
        <v>596</v>
      </c>
      <c r="C144" s="782"/>
      <c r="D144" s="782"/>
      <c r="E144" s="782"/>
      <c r="F144" s="782"/>
      <c r="G144" s="782"/>
      <c r="H144" s="782"/>
      <c r="I144" s="782"/>
      <c r="J144" s="782"/>
      <c r="K144" s="783"/>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79" t="s">
        <v>597</v>
      </c>
      <c r="D147" s="779"/>
      <c r="E147" s="493"/>
      <c r="F147" s="424" t="s">
        <v>598</v>
      </c>
      <c r="G147" s="493"/>
      <c r="H147" s="493"/>
      <c r="I147" s="493"/>
      <c r="J147" s="784" t="s">
        <v>599</v>
      </c>
      <c r="K147" s="785"/>
      <c r="L147" s="360"/>
    </row>
    <row r="148" spans="1:12" ht="14.25">
      <c r="A148" s="360"/>
      <c r="B148" s="378"/>
      <c r="C148" s="786">
        <v>52.869</v>
      </c>
      <c r="D148" s="786"/>
      <c r="E148" s="493" t="s">
        <v>28</v>
      </c>
      <c r="F148" s="494">
        <v>312000000</v>
      </c>
      <c r="G148" s="429" t="s">
        <v>547</v>
      </c>
      <c r="H148" s="493">
        <v>1000</v>
      </c>
      <c r="I148" s="493" t="s">
        <v>546</v>
      </c>
      <c r="J148" s="784">
        <f>C148*(F148/1000)</f>
        <v>16495128</v>
      </c>
      <c r="K148" s="787"/>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777</v>
      </c>
    </row>
    <row r="2" ht="15.75">
      <c r="A2" s="600" t="s">
        <v>776</v>
      </c>
    </row>
    <row r="4" ht="15.75">
      <c r="A4" s="321" t="s">
        <v>778</v>
      </c>
    </row>
    <row r="5" ht="15.75">
      <c r="A5" s="612" t="s">
        <v>755</v>
      </c>
    </row>
    <row r="7" ht="15.75">
      <c r="A7" s="321" t="s">
        <v>780</v>
      </c>
    </row>
    <row r="8" ht="15.75">
      <c r="A8" s="76" t="s">
        <v>754</v>
      </c>
    </row>
    <row r="10" ht="15.75">
      <c r="A10" s="321" t="s">
        <v>781</v>
      </c>
    </row>
    <row r="11" ht="15.75">
      <c r="A11" s="600" t="s">
        <v>752</v>
      </c>
    </row>
    <row r="13" ht="15.75">
      <c r="A13" s="321" t="s">
        <v>779</v>
      </c>
    </row>
    <row r="14" ht="15.75">
      <c r="A14" s="577" t="s">
        <v>751</v>
      </c>
    </row>
    <row r="16" ht="15.75">
      <c r="A16" s="321" t="s">
        <v>782</v>
      </c>
    </row>
    <row r="17" ht="15.75">
      <c r="A17" s="577" t="s">
        <v>703</v>
      </c>
    </row>
    <row r="18" ht="15.75">
      <c r="A18" s="577" t="s">
        <v>707</v>
      </c>
    </row>
    <row r="19" ht="15.75">
      <c r="A19" s="76" t="s">
        <v>710</v>
      </c>
    </row>
    <row r="20" ht="15.75">
      <c r="A20" s="76" t="s">
        <v>711</v>
      </c>
    </row>
    <row r="21" ht="15.75">
      <c r="A21" s="76" t="s">
        <v>713</v>
      </c>
    </row>
    <row r="22" ht="15.75">
      <c r="A22" s="76" t="s">
        <v>715</v>
      </c>
    </row>
    <row r="23" ht="15.75">
      <c r="A23" s="76" t="s">
        <v>732</v>
      </c>
    </row>
    <row r="24" ht="15.75">
      <c r="A24" s="76" t="s">
        <v>733</v>
      </c>
    </row>
    <row r="25" ht="15.75">
      <c r="A25" s="76" t="s">
        <v>734</v>
      </c>
    </row>
    <row r="26" ht="15.75">
      <c r="A26" s="76" t="s">
        <v>735</v>
      </c>
    </row>
    <row r="27" ht="47.25">
      <c r="A27" s="287" t="s">
        <v>736</v>
      </c>
    </row>
    <row r="28" ht="31.5">
      <c r="A28" s="287" t="s">
        <v>737</v>
      </c>
    </row>
    <row r="29" ht="15.75">
      <c r="A29" s="76" t="s">
        <v>738</v>
      </c>
    </row>
    <row r="30" ht="15.75">
      <c r="A30" s="76" t="s">
        <v>739</v>
      </c>
    </row>
    <row r="31" ht="15.75">
      <c r="A31" s="76" t="s">
        <v>740</v>
      </c>
    </row>
    <row r="32" ht="15.75">
      <c r="A32" s="76" t="s">
        <v>741</v>
      </c>
    </row>
    <row r="33" ht="15.75">
      <c r="A33" s="76" t="s">
        <v>742</v>
      </c>
    </row>
    <row r="34" ht="15.75">
      <c r="A34" s="76" t="s">
        <v>743</v>
      </c>
    </row>
    <row r="35" ht="15.75">
      <c r="A35" s="76" t="s">
        <v>744</v>
      </c>
    </row>
    <row r="36" ht="15.75">
      <c r="A36" s="76" t="s">
        <v>745</v>
      </c>
    </row>
    <row r="37" ht="15.75">
      <c r="A37" s="76" t="s">
        <v>746</v>
      </c>
    </row>
    <row r="38" ht="15.75">
      <c r="A38" s="76" t="s">
        <v>747</v>
      </c>
    </row>
    <row r="40" ht="15.75">
      <c r="A40" s="321" t="s">
        <v>783</v>
      </c>
    </row>
    <row r="41" ht="15.75">
      <c r="A41" s="485" t="s">
        <v>666</v>
      </c>
    </row>
    <row r="42" ht="15.75">
      <c r="A42" s="485" t="s">
        <v>667</v>
      </c>
    </row>
    <row r="44" ht="15.75">
      <c r="A44" s="321" t="s">
        <v>784</v>
      </c>
    </row>
    <row r="45" ht="15.75">
      <c r="A45" s="485" t="s">
        <v>640</v>
      </c>
    </row>
    <row r="46" ht="15.75">
      <c r="A46" s="485" t="s">
        <v>641</v>
      </c>
    </row>
    <row r="47" ht="31.5">
      <c r="A47" s="486" t="s">
        <v>664</v>
      </c>
    </row>
    <row r="48" ht="15.75">
      <c r="A48" s="485" t="s">
        <v>642</v>
      </c>
    </row>
    <row r="49" ht="15.75">
      <c r="A49" s="485" t="s">
        <v>643</v>
      </c>
    </row>
    <row r="50" ht="15.75">
      <c r="A50" s="485" t="s">
        <v>644</v>
      </c>
    </row>
    <row r="51" ht="15.75">
      <c r="A51" s="485" t="s">
        <v>645</v>
      </c>
    </row>
    <row r="52" ht="15.75">
      <c r="A52" s="485" t="s">
        <v>646</v>
      </c>
    </row>
    <row r="53" ht="15.75">
      <c r="A53" s="485" t="s">
        <v>647</v>
      </c>
    </row>
    <row r="54" ht="15.75">
      <c r="A54" s="485" t="s">
        <v>648</v>
      </c>
    </row>
    <row r="55" ht="15.75">
      <c r="A55" s="485" t="s">
        <v>649</v>
      </c>
    </row>
    <row r="56" ht="15.75">
      <c r="A56" s="485" t="s">
        <v>650</v>
      </c>
    </row>
    <row r="57" ht="15.75">
      <c r="A57" s="485" t="s">
        <v>651</v>
      </c>
    </row>
    <row r="58" ht="15.75">
      <c r="A58" s="485" t="s">
        <v>652</v>
      </c>
    </row>
    <row r="59" ht="15.75">
      <c r="A59" s="485" t="s">
        <v>653</v>
      </c>
    </row>
    <row r="60" ht="15.75">
      <c r="A60" s="485" t="s">
        <v>654</v>
      </c>
    </row>
    <row r="61" ht="15.75">
      <c r="A61" s="485" t="s">
        <v>655</v>
      </c>
    </row>
    <row r="62" ht="15.75">
      <c r="A62" s="485" t="s">
        <v>656</v>
      </c>
    </row>
    <row r="63" ht="15.75">
      <c r="A63" s="485" t="s">
        <v>657</v>
      </c>
    </row>
    <row r="64" ht="15.75">
      <c r="A64" s="485" t="s">
        <v>658</v>
      </c>
    </row>
    <row r="65" ht="15.75">
      <c r="A65" s="485" t="s">
        <v>659</v>
      </c>
    </row>
    <row r="66" ht="15.75">
      <c r="A66" s="485" t="s">
        <v>660</v>
      </c>
    </row>
    <row r="67" ht="15.75">
      <c r="A67" s="485" t="s">
        <v>665</v>
      </c>
    </row>
    <row r="69" ht="15.75">
      <c r="A69" s="321" t="s">
        <v>785</v>
      </c>
    </row>
    <row r="70" ht="15.75">
      <c r="A70" s="76" t="s">
        <v>530</v>
      </c>
    </row>
    <row r="71" ht="15.75">
      <c r="A71" s="76" t="s">
        <v>528</v>
      </c>
    </row>
    <row r="72" ht="15.75">
      <c r="A72" s="76" t="s">
        <v>529</v>
      </c>
    </row>
    <row r="74" ht="15.75">
      <c r="A74" s="332" t="s">
        <v>786</v>
      </c>
    </row>
    <row r="75" ht="15.75">
      <c r="A75" s="76" t="s">
        <v>527</v>
      </c>
    </row>
    <row r="77" ht="15.75">
      <c r="A77" s="321" t="s">
        <v>787</v>
      </c>
    </row>
    <row r="78" ht="15.75">
      <c r="A78" s="322" t="s">
        <v>307</v>
      </c>
    </row>
    <row r="79" ht="15.75">
      <c r="A79" s="322" t="s">
        <v>308</v>
      </c>
    </row>
    <row r="80" ht="15.75">
      <c r="A80" s="322" t="s">
        <v>309</v>
      </c>
    </row>
    <row r="81" ht="15.75">
      <c r="A81" s="76" t="s">
        <v>310</v>
      </c>
    </row>
    <row r="83" ht="15.75">
      <c r="A83" s="286" t="s">
        <v>788</v>
      </c>
    </row>
    <row r="84" ht="15.75">
      <c r="A84" s="76" t="s">
        <v>255</v>
      </c>
    </row>
    <row r="85" ht="15.75">
      <c r="A85" s="76" t="s">
        <v>256</v>
      </c>
    </row>
    <row r="86" ht="15.75">
      <c r="A86" s="76" t="s">
        <v>257</v>
      </c>
    </row>
    <row r="87" ht="15.75">
      <c r="A87" s="76" t="s">
        <v>258</v>
      </c>
    </row>
    <row r="88" ht="15.75">
      <c r="A88" s="76" t="s">
        <v>259</v>
      </c>
    </row>
    <row r="89" ht="15.75">
      <c r="A89" s="76" t="s">
        <v>260</v>
      </c>
    </row>
    <row r="90" ht="15.75">
      <c r="A90" s="76" t="s">
        <v>276</v>
      </c>
    </row>
    <row r="91" ht="15.75">
      <c r="A91" s="76" t="s">
        <v>277</v>
      </c>
    </row>
    <row r="92" ht="15.75">
      <c r="A92" s="76" t="s">
        <v>278</v>
      </c>
    </row>
    <row r="93" ht="15.75">
      <c r="A93" s="76" t="s">
        <v>279</v>
      </c>
    </row>
    <row r="94" ht="15.75">
      <c r="A94" s="76" t="s">
        <v>280</v>
      </c>
    </row>
    <row r="95" ht="15.75">
      <c r="A95" s="76" t="s">
        <v>281</v>
      </c>
    </row>
    <row r="97" ht="15.75">
      <c r="A97" s="286" t="s">
        <v>250</v>
      </c>
    </row>
    <row r="98" ht="15.75">
      <c r="A98" s="76" t="s">
        <v>261</v>
      </c>
    </row>
    <row r="99" ht="15.75">
      <c r="A99" s="76" t="s">
        <v>251</v>
      </c>
    </row>
    <row r="100" ht="15.75">
      <c r="A100" s="76" t="s">
        <v>252</v>
      </c>
    </row>
    <row r="102" ht="15.75">
      <c r="A102" s="286" t="s">
        <v>246</v>
      </c>
    </row>
    <row r="103" ht="15.75">
      <c r="A103" s="76" t="s">
        <v>247</v>
      </c>
    </row>
    <row r="104" ht="15.75">
      <c r="A104" s="76" t="s">
        <v>248</v>
      </c>
    </row>
    <row r="106" ht="15.75">
      <c r="A106" s="286" t="s">
        <v>227</v>
      </c>
    </row>
    <row r="107" ht="15.75">
      <c r="A107" s="76" t="s">
        <v>228</v>
      </c>
    </row>
    <row r="108" ht="36" customHeight="1">
      <c r="A108" s="287" t="s">
        <v>229</v>
      </c>
    </row>
    <row r="109" ht="15.75">
      <c r="A109" s="76" t="s">
        <v>230</v>
      </c>
    </row>
    <row r="110" ht="18.75" customHeight="1">
      <c r="A110" s="76" t="s">
        <v>231</v>
      </c>
    </row>
    <row r="111" ht="15.7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75">
      <c r="A118" s="76" t="s">
        <v>239</v>
      </c>
    </row>
    <row r="119" ht="15.75">
      <c r="A119" s="76" t="s">
        <v>240</v>
      </c>
    </row>
    <row r="120" ht="15.75">
      <c r="A120" s="76" t="s">
        <v>241</v>
      </c>
    </row>
    <row r="121" ht="15.75">
      <c r="A121" s="76" t="s">
        <v>242</v>
      </c>
    </row>
    <row r="122" ht="15.75">
      <c r="A122" s="76" t="s">
        <v>243</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262</v>
      </c>
    </row>
    <row r="142" ht="15.75">
      <c r="A142" s="76" t="s">
        <v>0</v>
      </c>
    </row>
    <row r="143" ht="15.75">
      <c r="A143" s="76" t="s">
        <v>1</v>
      </c>
    </row>
    <row r="144" ht="15.75">
      <c r="A144" s="76" t="s">
        <v>2</v>
      </c>
    </row>
    <row r="145" ht="15.75">
      <c r="A145" s="76" t="s">
        <v>263</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Miles Village_Lake Waltanna Improvement District</v>
      </c>
      <c r="B1" s="45"/>
      <c r="C1" s="45"/>
      <c r="D1" s="45"/>
      <c r="E1" s="45">
        <f>inputPrYr!D6</f>
        <v>2015</v>
      </c>
    </row>
    <row r="2" spans="1:5" ht="15.75">
      <c r="A2" s="45" t="str">
        <f>inputPrYr!D4</f>
        <v>Sedgwick County</v>
      </c>
      <c r="B2" s="45"/>
      <c r="C2" s="45"/>
      <c r="D2" s="45"/>
      <c r="E2" s="45"/>
    </row>
    <row r="3" spans="1:5" ht="15">
      <c r="A3" s="47"/>
      <c r="B3" s="47"/>
      <c r="C3" s="47"/>
      <c r="D3" s="47"/>
      <c r="E3" s="47"/>
    </row>
    <row r="4" spans="1:5" ht="15.75">
      <c r="A4" s="664" t="s">
        <v>175</v>
      </c>
      <c r="B4" s="665"/>
      <c r="C4" s="665"/>
      <c r="D4" s="665"/>
      <c r="E4" s="665"/>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1908492</v>
      </c>
    </row>
    <row r="8" spans="1:5" ht="15.75">
      <c r="A8" s="51" t="str">
        <f>CONCATENATE("New Improvements for ",inputPrYr!D6-1,"")</f>
        <v>New Improvements for 2014</v>
      </c>
      <c r="B8" s="52"/>
      <c r="C8" s="52"/>
      <c r="D8" s="52"/>
      <c r="E8" s="603">
        <v>8041</v>
      </c>
    </row>
    <row r="9" spans="1:5" ht="15.75">
      <c r="A9" s="51" t="str">
        <f>CONCATENATE("Personal Property excluding oil, gas, and mobile homes- ",inputPrYr!D6-1,"")</f>
        <v>Personal Property excluding oil, gas, and mobile homes- 2014</v>
      </c>
      <c r="B9" s="52"/>
      <c r="C9" s="52"/>
      <c r="D9" s="52"/>
      <c r="E9" s="603">
        <v>5453</v>
      </c>
    </row>
    <row r="10" spans="1:5" ht="15.75">
      <c r="A10" s="51" t="str">
        <f>CONCATENATE("Property that has changed in use for ",inputPrYr!D6-1,"")</f>
        <v>Property that has changed in use for 2014</v>
      </c>
      <c r="B10" s="52"/>
      <c r="C10" s="52"/>
      <c r="D10" s="52"/>
      <c r="E10" s="603">
        <v>0</v>
      </c>
    </row>
    <row r="11" spans="1:5" ht="15.75">
      <c r="A11" s="50" t="str">
        <f>CONCATENATE("Personal Property excluding oil, gas, and mobile homes- ",inputPrYr!D6-2,"")</f>
        <v>Personal Property excluding oil, gas, and mobile homes- 2013</v>
      </c>
      <c r="B11" s="25"/>
      <c r="C11" s="25"/>
      <c r="D11" s="25"/>
      <c r="E11" s="603">
        <v>25841</v>
      </c>
    </row>
    <row r="12" spans="1:5" ht="15.75">
      <c r="A12" s="51" t="str">
        <f>CONCATENATE("Neighborhood Revitalization - ",E1,"")</f>
        <v>Neighborhood Revitalization - 2015</v>
      </c>
      <c r="B12" s="52"/>
      <c r="C12" s="52"/>
      <c r="D12" s="52"/>
      <c r="E12" s="603"/>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4" t="s">
        <v>26</v>
      </c>
      <c r="B15" s="669"/>
      <c r="C15" s="47"/>
      <c r="D15" s="57" t="s">
        <v>63</v>
      </c>
      <c r="E15" s="56"/>
    </row>
    <row r="16" spans="1:5" ht="15.75">
      <c r="A16" s="50" t="s">
        <v>10</v>
      </c>
      <c r="B16" s="25"/>
      <c r="C16" s="53"/>
      <c r="D16" s="604">
        <v>4.303</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4.303</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1894921</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1383</v>
      </c>
    </row>
    <row r="28" spans="1:5" ht="15.75">
      <c r="A28" s="51" t="s">
        <v>15</v>
      </c>
      <c r="B28" s="52"/>
      <c r="C28" s="52"/>
      <c r="D28" s="65"/>
      <c r="E28" s="20">
        <v>36</v>
      </c>
    </row>
    <row r="29" spans="1:5" ht="15.75">
      <c r="A29" s="51" t="s">
        <v>153</v>
      </c>
      <c r="B29" s="52"/>
      <c r="C29" s="52"/>
      <c r="D29" s="65"/>
      <c r="E29" s="20">
        <v>0</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0.0116</v>
      </c>
    </row>
    <row r="35" spans="1:5" ht="15.75">
      <c r="A35" s="51" t="s">
        <v>676</v>
      </c>
      <c r="B35" s="67"/>
      <c r="C35" s="53"/>
      <c r="D35" s="53"/>
      <c r="E35" s="501">
        <v>0</v>
      </c>
    </row>
    <row r="36" spans="1:5" ht="15.75">
      <c r="A36" s="68" t="s">
        <v>155</v>
      </c>
      <c r="B36" s="68"/>
      <c r="C36" s="69"/>
      <c r="D36" s="69"/>
      <c r="E36" s="70"/>
    </row>
    <row r="37" spans="1:5" ht="15">
      <c r="A37" s="47"/>
      <c r="B37" s="47"/>
      <c r="C37" s="47"/>
      <c r="D37" s="47"/>
      <c r="E37" s="47"/>
    </row>
    <row r="38" spans="1:5" ht="15.75">
      <c r="A38" s="675" t="str">
        <f>CONCATENATE("From the ",E1-2," Budget Certificate Page")</f>
        <v>From the 2013 Budget Certificate Page</v>
      </c>
      <c r="B38" s="676"/>
      <c r="C38" s="47"/>
      <c r="D38" s="47"/>
      <c r="E38" s="47"/>
    </row>
    <row r="39" spans="1:5" ht="15.75">
      <c r="A39" s="71"/>
      <c r="B39" s="71" t="str">
        <f>CONCATENATE("",E1-2," Expenditure Amounts")</f>
        <v>2013 Expenditure Amounts</v>
      </c>
      <c r="C39" s="677" t="str">
        <f>CONCATENATE("Note: If the ",E1-2," budget was amended, then the")</f>
        <v>Note: If the 2013 budget was amended, then the</v>
      </c>
      <c r="D39" s="678"/>
      <c r="E39" s="678"/>
    </row>
    <row r="40" spans="1:5" ht="15.75">
      <c r="A40" s="72" t="s">
        <v>189</v>
      </c>
      <c r="B40" s="72" t="s">
        <v>190</v>
      </c>
      <c r="C40" s="73" t="s">
        <v>191</v>
      </c>
      <c r="D40" s="74"/>
      <c r="E40" s="74"/>
    </row>
    <row r="41" spans="1:5" ht="15.75">
      <c r="A41" s="75" t="str">
        <f>inputPrYr!B19</f>
        <v>General</v>
      </c>
      <c r="B41" s="41">
        <v>24398</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1" ht="15">
      <c r="J1" s="503" t="s">
        <v>680</v>
      </c>
    </row>
    <row r="2" spans="1:10" ht="54" customHeight="1">
      <c r="A2" s="679" t="s">
        <v>296</v>
      </c>
      <c r="B2" s="680"/>
      <c r="C2" s="680"/>
      <c r="D2" s="680"/>
      <c r="E2" s="680"/>
      <c r="F2" s="680"/>
      <c r="J2" s="503" t="s">
        <v>681</v>
      </c>
    </row>
    <row r="3" spans="1:10" ht="15.75">
      <c r="A3" s="502" t="s">
        <v>678</v>
      </c>
      <c r="B3" s="788" t="s">
        <v>807</v>
      </c>
      <c r="C3" s="605"/>
      <c r="J3" s="503" t="s">
        <v>682</v>
      </c>
    </row>
    <row r="4" spans="1:10" ht="15.75">
      <c r="A4" s="311"/>
      <c r="B4" s="311"/>
      <c r="C4" s="311"/>
      <c r="D4" s="312"/>
      <c r="E4" s="311"/>
      <c r="F4" s="311"/>
      <c r="J4" s="503" t="s">
        <v>683</v>
      </c>
    </row>
    <row r="5" spans="1:10" ht="15.75">
      <c r="A5" s="502" t="s">
        <v>679</v>
      </c>
      <c r="B5" s="789" t="s">
        <v>808</v>
      </c>
      <c r="C5" s="311"/>
      <c r="D5" s="312"/>
      <c r="E5" s="311"/>
      <c r="F5" s="311"/>
      <c r="J5" s="503" t="s">
        <v>684</v>
      </c>
    </row>
    <row r="6" spans="1:10" ht="15.75">
      <c r="A6" s="311"/>
      <c r="B6" s="311"/>
      <c r="C6" s="311"/>
      <c r="D6" s="312"/>
      <c r="E6" s="311"/>
      <c r="F6" s="311"/>
      <c r="J6" s="503" t="s">
        <v>685</v>
      </c>
    </row>
    <row r="7" spans="1:10" ht="15.75">
      <c r="A7" s="313" t="s">
        <v>297</v>
      </c>
      <c r="B7" s="606" t="s">
        <v>809</v>
      </c>
      <c r="C7" s="314"/>
      <c r="D7" s="313" t="s">
        <v>677</v>
      </c>
      <c r="E7" s="311"/>
      <c r="F7" s="311"/>
      <c r="J7" s="503" t="s">
        <v>686</v>
      </c>
    </row>
    <row r="8" spans="1:10" ht="15.75">
      <c r="A8" s="313"/>
      <c r="B8" s="315"/>
      <c r="C8" s="316"/>
      <c r="D8" s="504" t="e">
        <f>IF(B7="","",CONCATENATE("Latest date for notice to be published in your newspaper: ",G18," ",G22,", ",G23))</f>
        <v>#VALUE!</v>
      </c>
      <c r="E8" s="311"/>
      <c r="F8" s="311"/>
      <c r="J8" s="503" t="s">
        <v>687</v>
      </c>
    </row>
    <row r="9" spans="1:10" ht="15.75">
      <c r="A9" s="313" t="s">
        <v>298</v>
      </c>
      <c r="B9" s="606" t="s">
        <v>810</v>
      </c>
      <c r="C9" s="317"/>
      <c r="D9" s="313"/>
      <c r="E9" s="311"/>
      <c r="F9" s="311"/>
      <c r="J9" s="503" t="s">
        <v>688</v>
      </c>
    </row>
    <row r="10" spans="1:10" ht="15.75">
      <c r="A10" s="313"/>
      <c r="B10" s="313"/>
      <c r="C10" s="313"/>
      <c r="D10" s="313"/>
      <c r="E10" s="311"/>
      <c r="F10" s="311"/>
      <c r="J10" s="503" t="s">
        <v>689</v>
      </c>
    </row>
    <row r="11" spans="1:10" ht="15.75">
      <c r="A11" s="313" t="s">
        <v>299</v>
      </c>
      <c r="B11" s="607" t="s">
        <v>811</v>
      </c>
      <c r="C11" s="608"/>
      <c r="D11" s="608"/>
      <c r="E11" s="609"/>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7" t="s">
        <v>812</v>
      </c>
      <c r="C14" s="608"/>
      <c r="D14" s="608"/>
      <c r="E14" s="609"/>
      <c r="F14" s="311"/>
    </row>
    <row r="17" spans="1:6" ht="15.75">
      <c r="A17" s="681" t="s">
        <v>301</v>
      </c>
      <c r="B17" s="681"/>
      <c r="C17" s="313"/>
      <c r="D17" s="313"/>
      <c r="E17" s="313"/>
      <c r="F17" s="311"/>
    </row>
    <row r="18" spans="1:7" ht="15.75">
      <c r="A18" s="313"/>
      <c r="B18" s="313"/>
      <c r="C18" s="313"/>
      <c r="D18" s="313"/>
      <c r="E18" s="313"/>
      <c r="F18" s="311"/>
      <c r="G18" s="503" t="e">
        <f ca="1">IF(B7="","",INDIRECT(G19))</f>
        <v>#VALUE!</v>
      </c>
    </row>
    <row r="19" spans="1:7" ht="15.75">
      <c r="A19" s="313" t="s">
        <v>297</v>
      </c>
      <c r="B19" s="315" t="s">
        <v>302</v>
      </c>
      <c r="C19" s="313"/>
      <c r="D19" s="313"/>
      <c r="E19" s="313"/>
      <c r="G19" s="505" t="e">
        <f>IF(B7="","",CONCATENATE("J",G21))</f>
        <v>#VALUE!</v>
      </c>
    </row>
    <row r="20" spans="1:7" ht="15.75">
      <c r="A20" s="313"/>
      <c r="B20" s="313"/>
      <c r="C20" s="313"/>
      <c r="D20" s="313"/>
      <c r="E20" s="313"/>
      <c r="G20" s="506" t="e">
        <f>B7-10</f>
        <v>#VALUE!</v>
      </c>
    </row>
    <row r="21" spans="1:7" ht="15.75">
      <c r="A21" s="313" t="s">
        <v>298</v>
      </c>
      <c r="B21" s="313" t="s">
        <v>303</v>
      </c>
      <c r="C21" s="313"/>
      <c r="D21" s="313"/>
      <c r="E21" s="313"/>
      <c r="G21" s="507" t="e">
        <f>IF(B7="","",MONTH(G20))</f>
        <v>#VALUE!</v>
      </c>
    </row>
    <row r="22" spans="1:7" ht="15.75">
      <c r="A22" s="313"/>
      <c r="B22" s="313"/>
      <c r="C22" s="313"/>
      <c r="D22" s="313"/>
      <c r="E22" s="313"/>
      <c r="G22" s="508" t="e">
        <f>IF(B7="","",DAY(G20))</f>
        <v>#VALUE!</v>
      </c>
    </row>
    <row r="23" spans="1:7" ht="15.75">
      <c r="A23" s="313" t="s">
        <v>299</v>
      </c>
      <c r="B23" s="313" t="s">
        <v>305</v>
      </c>
      <c r="C23" s="313"/>
      <c r="D23" s="313"/>
      <c r="E23" s="313"/>
      <c r="G23" s="509" t="e">
        <f>IF(B7="","",YEAR(G20))</f>
        <v>#VALUE!</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T90" sqref="T90"/>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3" t="s">
        <v>79</v>
      </c>
      <c r="B2" s="683"/>
      <c r="C2" s="683"/>
      <c r="D2" s="683"/>
      <c r="E2" s="683"/>
      <c r="F2" s="683"/>
      <c r="G2" s="683"/>
    </row>
    <row r="3" spans="1:7" ht="15.75">
      <c r="A3" s="3"/>
      <c r="B3" s="3"/>
      <c r="C3" s="3"/>
      <c r="D3" s="3"/>
      <c r="E3" s="3"/>
      <c r="F3" s="3"/>
      <c r="G3" s="45">
        <f>inputPrYr!D6</f>
        <v>2015</v>
      </c>
    </row>
    <row r="4" spans="1:7" ht="15.75">
      <c r="A4" s="684" t="str">
        <f>CONCATENATE("To the Clerk of ",inputPrYr!D4,", State of Kansas")</f>
        <v>To the Clerk of Sedgwick County, State of Kansas</v>
      </c>
      <c r="B4" s="684"/>
      <c r="C4" s="684"/>
      <c r="D4" s="684"/>
      <c r="E4" s="684"/>
      <c r="F4" s="684"/>
      <c r="G4" s="684"/>
    </row>
    <row r="5" spans="1:7" ht="15.75">
      <c r="A5" s="78" t="s">
        <v>138</v>
      </c>
      <c r="B5" s="9"/>
      <c r="C5" s="9"/>
      <c r="D5" s="9"/>
      <c r="E5" s="9"/>
      <c r="F5" s="9"/>
      <c r="G5" s="9"/>
    </row>
    <row r="6" spans="1:7" ht="15.75">
      <c r="A6" s="666" t="str">
        <f>inputPrYr!D3</f>
        <v>Miles Village_Lake Waltanna Improvement District</v>
      </c>
      <c r="B6" s="666"/>
      <c r="C6" s="666"/>
      <c r="D6" s="666"/>
      <c r="E6" s="666"/>
      <c r="F6" s="666"/>
      <c r="G6" s="666"/>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5" t="str">
        <f>CONCATENATE("",G3," Adopted Budget")</f>
        <v>2015 Adopted Budget</v>
      </c>
      <c r="F13" s="686"/>
      <c r="G13" s="687"/>
    </row>
    <row r="14" spans="1:8" ht="15.75">
      <c r="A14" s="2"/>
      <c r="B14" s="3"/>
      <c r="C14" s="3"/>
      <c r="D14" s="25"/>
      <c r="E14" s="82" t="s">
        <v>18</v>
      </c>
      <c r="F14" s="83"/>
      <c r="G14" s="84" t="s">
        <v>19</v>
      </c>
      <c r="H14" s="85"/>
    </row>
    <row r="15" spans="1:7" ht="15.75">
      <c r="A15" s="3"/>
      <c r="B15" s="3"/>
      <c r="C15" s="3"/>
      <c r="D15" s="83" t="s">
        <v>20</v>
      </c>
      <c r="E15" s="86" t="s">
        <v>190</v>
      </c>
      <c r="F15" s="688" t="str">
        <f>CONCATENATE("Amount of ",G3-1," Ad Valorem Tax")</f>
        <v>Amount of 2014 Ad Valorem Tax</v>
      </c>
      <c r="G15" s="84" t="s">
        <v>21</v>
      </c>
    </row>
    <row r="16" spans="1:7" ht="15.75">
      <c r="A16" s="2" t="s">
        <v>22</v>
      </c>
      <c r="B16" s="3"/>
      <c r="C16" s="3"/>
      <c r="D16" s="86" t="s">
        <v>23</v>
      </c>
      <c r="E16" s="86" t="s">
        <v>531</v>
      </c>
      <c r="F16" s="688"/>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24799</v>
      </c>
      <c r="F23" s="522">
        <f>IF(gen!$E$68&lt;&gt;0,gen!$E$68,"  ")</f>
        <v>8310.770000000004</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24799</v>
      </c>
      <c r="F30" s="529">
        <f>SUM(F23:F28)</f>
        <v>8310.770000000004</v>
      </c>
      <c r="G30" s="530">
        <f>IF(SUM(G23:G28)=0,"",SUM(G23:G28))</f>
      </c>
    </row>
    <row r="31" spans="1:7" ht="15.75">
      <c r="A31" s="100" t="s">
        <v>182</v>
      </c>
      <c r="B31" s="52"/>
      <c r="C31" s="97"/>
      <c r="D31" s="112">
        <f>summ!E41</f>
        <v>0</v>
      </c>
      <c r="E31" s="631" t="s">
        <v>769</v>
      </c>
      <c r="F31" s="352" t="str">
        <f>IF(F30&gt;1000,IF(F30&gt;computation!J41,"Yes","No"),"No")</f>
        <v>No</v>
      </c>
      <c r="G31" s="353" t="s">
        <v>127</v>
      </c>
    </row>
    <row r="32" spans="1:7" ht="15.75">
      <c r="A32" s="658" t="s">
        <v>197</v>
      </c>
      <c r="B32" s="657"/>
      <c r="C32" s="656"/>
      <c r="D32" s="655">
        <f>IF(Nhood!C35=0,"",Nhood!C35)</f>
      </c>
      <c r="E32" s="351"/>
      <c r="F32" s="53"/>
      <c r="G32" s="117"/>
    </row>
    <row r="33" spans="1:7" ht="15.75">
      <c r="A33" s="654"/>
      <c r="B33" s="106"/>
      <c r="C33" s="106"/>
      <c r="D33" s="614"/>
      <c r="E33" s="45"/>
      <c r="F33" s="53"/>
      <c r="G33" s="689" t="str">
        <f>CONCATENATE("Nov. 1, ",G3-1," Total Assessed Valuation")</f>
        <v>Nov. 1, 2014 Total Assessed Valuation</v>
      </c>
    </row>
    <row r="34" spans="1:7" ht="15.75">
      <c r="A34" s="5"/>
      <c r="B34" s="53"/>
      <c r="C34" s="3"/>
      <c r="D34" s="114"/>
      <c r="E34" s="45"/>
      <c r="F34" s="53"/>
      <c r="G34" s="690"/>
    </row>
    <row r="35" spans="1:7" ht="15.75">
      <c r="A35" s="2" t="s">
        <v>534</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c r="B39" s="487"/>
      <c r="C39" s="53"/>
      <c r="D39" s="53" t="s">
        <v>698</v>
      </c>
      <c r="E39" s="518"/>
      <c r="F39" s="518"/>
      <c r="G39" s="53"/>
    </row>
    <row r="40" spans="1:7" ht="15.75">
      <c r="A40" s="488"/>
      <c r="B40" s="488"/>
      <c r="C40" s="37"/>
      <c r="D40" s="53"/>
      <c r="E40" s="518"/>
      <c r="F40" s="518"/>
      <c r="G40" s="53"/>
    </row>
    <row r="41" spans="1:7" ht="15.75">
      <c r="A41" s="5" t="s">
        <v>697</v>
      </c>
      <c r="B41" s="53"/>
      <c r="C41" s="3"/>
      <c r="D41" s="53" t="s">
        <v>698</v>
      </c>
      <c r="E41" s="519"/>
      <c r="F41" s="53"/>
      <c r="G41" s="53"/>
    </row>
    <row r="42" spans="1:7" ht="15.75">
      <c r="A42" s="488"/>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1"/>
      <c r="B49" s="692"/>
      <c r="C49" s="3"/>
      <c r="D49" s="53" t="s">
        <v>698</v>
      </c>
      <c r="E49" s="53"/>
      <c r="F49" s="53"/>
      <c r="G49" s="53"/>
    </row>
    <row r="50" spans="1:7" ht="15.75">
      <c r="A50" s="9" t="s">
        <v>30</v>
      </c>
      <c r="B50" s="9"/>
      <c r="C50" s="3"/>
      <c r="D50" s="693" t="s">
        <v>29</v>
      </c>
      <c r="E50" s="694"/>
      <c r="F50" s="694"/>
      <c r="G50" s="694"/>
    </row>
    <row r="51" spans="1:7" ht="15.75">
      <c r="A51" s="695"/>
      <c r="B51" s="695"/>
      <c r="C51" s="695"/>
      <c r="D51" s="695"/>
      <c r="E51" s="695"/>
      <c r="F51" s="695"/>
      <c r="G51" s="695"/>
    </row>
    <row r="52" spans="1:7" ht="15.75">
      <c r="A52" s="696"/>
      <c r="B52" s="696"/>
      <c r="C52" s="696"/>
      <c r="D52" s="696"/>
      <c r="E52" s="696"/>
      <c r="F52" s="696"/>
      <c r="G52" s="696"/>
    </row>
    <row r="53" spans="1:7" ht="15.75">
      <c r="A53" s="1"/>
      <c r="B53" s="1"/>
      <c r="C53" s="1"/>
      <c r="D53" s="1"/>
      <c r="E53" s="1"/>
      <c r="F53" s="1"/>
      <c r="G53" s="682"/>
    </row>
    <row r="54" spans="1:7" ht="15.75">
      <c r="A54" s="1"/>
      <c r="B54" s="1"/>
      <c r="C54" s="1"/>
      <c r="D54" s="1"/>
      <c r="E54" s="1"/>
      <c r="F54" s="1"/>
      <c r="G54" s="682"/>
    </row>
    <row r="55" spans="1:7" ht="15.75">
      <c r="A55" s="1"/>
      <c r="B55" s="1"/>
      <c r="C55" s="1"/>
      <c r="D55" s="1"/>
      <c r="E55" s="1"/>
      <c r="F55" s="1"/>
      <c r="G55" s="682"/>
    </row>
    <row r="56" spans="1:7" ht="15.75">
      <c r="A56" s="1"/>
      <c r="B56" s="1"/>
      <c r="C56" s="1"/>
      <c r="D56" s="1"/>
      <c r="E56" s="1"/>
      <c r="F56" s="1"/>
      <c r="G56" s="682"/>
    </row>
    <row r="57" spans="1:7" ht="15.75">
      <c r="A57" s="1"/>
      <c r="B57" s="1"/>
      <c r="C57" s="1"/>
      <c r="D57" s="119"/>
      <c r="E57" s="1"/>
      <c r="F57" s="1"/>
      <c r="G57" s="682"/>
    </row>
    <row r="58" ht="15.75">
      <c r="G58" s="682"/>
    </row>
    <row r="59" ht="15.75">
      <c r="G59" s="682"/>
    </row>
    <row r="60" ht="15.75">
      <c r="G60" s="682"/>
    </row>
    <row r="61" ht="15.75">
      <c r="G61" s="682"/>
    </row>
    <row r="62" ht="15.75">
      <c r="G62" s="682"/>
    </row>
    <row r="63" ht="15.75">
      <c r="G63" s="682"/>
    </row>
    <row r="64" ht="15.75">
      <c r="G64" s="682"/>
    </row>
    <row r="65" ht="15.75">
      <c r="G65" s="682"/>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T90" sqref="T90"/>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Miles Village_Lake Waltanna Improvement District</v>
      </c>
      <c r="D1" s="3"/>
      <c r="E1" s="3"/>
      <c r="F1" s="3"/>
      <c r="G1" s="3"/>
      <c r="H1" s="3"/>
      <c r="I1" s="3"/>
      <c r="J1" s="3">
        <f>inputPrYr!D6</f>
        <v>2015</v>
      </c>
    </row>
    <row r="2" spans="1:10" ht="15.75" customHeight="1">
      <c r="A2" s="3"/>
      <c r="B2" s="3"/>
      <c r="C2" s="3" t="str">
        <f>inputPrYr!D4</f>
        <v>Sedgwick County</v>
      </c>
      <c r="D2" s="3"/>
      <c r="E2" s="3"/>
      <c r="F2" s="3"/>
      <c r="G2" s="3"/>
      <c r="H2" s="3"/>
      <c r="I2" s="3"/>
      <c r="J2" s="3"/>
    </row>
    <row r="3" spans="1:10" ht="15.75">
      <c r="A3" s="668" t="str">
        <f>CONCATENATE("Computation to Determine Limit for ",J1,"")</f>
        <v>Computation to Determine Limit for 2015</v>
      </c>
      <c r="B3" s="683"/>
      <c r="C3" s="683"/>
      <c r="D3" s="683"/>
      <c r="E3" s="683"/>
      <c r="F3" s="683"/>
      <c r="G3" s="683"/>
      <c r="H3" s="683"/>
      <c r="I3" s="683"/>
      <c r="J3" s="683"/>
    </row>
    <row r="4" spans="1:10" ht="15.75">
      <c r="A4" s="3"/>
      <c r="B4" s="3"/>
      <c r="C4" s="3"/>
      <c r="D4" s="3"/>
      <c r="E4" s="683"/>
      <c r="F4" s="683"/>
      <c r="G4" s="683"/>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8154</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8154</v>
      </c>
    </row>
    <row r="8" spans="1:10" ht="15.75">
      <c r="A8" s="3"/>
      <c r="B8" s="3"/>
      <c r="C8" s="3"/>
      <c r="D8" s="3"/>
      <c r="E8" s="22"/>
      <c r="F8" s="22"/>
      <c r="G8" s="22"/>
      <c r="H8" s="22"/>
      <c r="I8" s="22"/>
      <c r="J8" s="22"/>
    </row>
    <row r="9" spans="1:10" ht="15.75">
      <c r="A9" s="683" t="str">
        <f>CONCATENATE("",J1-1," Valuation Information for Valuation Adjustments")</f>
        <v>2014 Valuation Information for Valuation Adjustments</v>
      </c>
      <c r="B9" s="669"/>
      <c r="C9" s="669"/>
      <c r="D9" s="669"/>
      <c r="E9" s="669"/>
      <c r="F9" s="669"/>
      <c r="G9" s="669"/>
      <c r="H9" s="669"/>
      <c r="I9" s="669"/>
      <c r="J9" s="669"/>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6">
        <f>inputOth!E8</f>
        <v>8041</v>
      </c>
      <c r="H11" s="615"/>
      <c r="I11" s="22"/>
      <c r="J11" s="22"/>
    </row>
    <row r="12" spans="1:10" ht="15.75">
      <c r="A12" s="122"/>
      <c r="B12" s="122"/>
      <c r="C12" s="3"/>
      <c r="D12" s="3"/>
      <c r="E12" s="123"/>
      <c r="F12" s="123"/>
      <c r="G12" s="615"/>
      <c r="H12" s="615"/>
      <c r="I12" s="22"/>
      <c r="J12" s="22"/>
    </row>
    <row r="13" spans="1:10" ht="15.75">
      <c r="A13" s="122" t="s">
        <v>97</v>
      </c>
      <c r="B13" s="3" t="str">
        <f>CONCATENATE("Increase in personal property for ",J1-1,":")</f>
        <v>Increase in personal property for 2014:</v>
      </c>
      <c r="C13" s="3"/>
      <c r="D13" s="3"/>
      <c r="E13" s="123"/>
      <c r="F13" s="123"/>
      <c r="G13" s="615"/>
      <c r="H13" s="615"/>
      <c r="I13" s="22"/>
      <c r="J13" s="22"/>
    </row>
    <row r="14" spans="1:10" ht="15.75">
      <c r="A14" s="3"/>
      <c r="B14" s="3" t="s">
        <v>98</v>
      </c>
      <c r="C14" s="3" t="str">
        <f>CONCATENATE("Personal property ",J1-1,"")</f>
        <v>Personal property 2014</v>
      </c>
      <c r="D14" s="122" t="s">
        <v>92</v>
      </c>
      <c r="E14" s="616">
        <f>inputOth!E9</f>
        <v>5453</v>
      </c>
      <c r="F14" s="123"/>
      <c r="G14" s="22"/>
      <c r="H14" s="22"/>
      <c r="I14" s="615"/>
      <c r="J14" s="22"/>
    </row>
    <row r="15" spans="1:10" ht="15.75">
      <c r="A15" s="122"/>
      <c r="B15" s="3" t="s">
        <v>99</v>
      </c>
      <c r="C15" s="3" t="str">
        <f>CONCATENATE("Personal property ",J1-2,"")</f>
        <v>Personal property 2013</v>
      </c>
      <c r="D15" s="122" t="s">
        <v>95</v>
      </c>
      <c r="E15" s="26">
        <f>inputOth!E11</f>
        <v>25841</v>
      </c>
      <c r="F15" s="123"/>
      <c r="G15" s="615"/>
      <c r="H15" s="615"/>
      <c r="I15" s="22"/>
      <c r="J15" s="22"/>
    </row>
    <row r="16" spans="1:10" ht="15.75">
      <c r="A16" s="122"/>
      <c r="B16" s="3" t="s">
        <v>100</v>
      </c>
      <c r="C16" s="3" t="s">
        <v>764</v>
      </c>
      <c r="D16" s="3"/>
      <c r="E16" s="22"/>
      <c r="F16" s="22" t="s">
        <v>92</v>
      </c>
      <c r="G16" s="616">
        <f>IF(E14&gt;E15,E14-E15,0)</f>
        <v>0</v>
      </c>
      <c r="H16" s="615"/>
      <c r="I16" s="22"/>
      <c r="J16" s="22"/>
    </row>
    <row r="17" spans="1:10" ht="15.75">
      <c r="A17" s="122"/>
      <c r="B17" s="122"/>
      <c r="C17" s="3"/>
      <c r="D17" s="3"/>
      <c r="E17" s="22"/>
      <c r="F17" s="22"/>
      <c r="G17" s="615" t="s">
        <v>108</v>
      </c>
      <c r="H17" s="615"/>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0</v>
      </c>
      <c r="H18" s="22"/>
      <c r="I18" s="22"/>
      <c r="J18" s="22"/>
    </row>
    <row r="19" spans="1:10" ht="15.75">
      <c r="A19" s="3" t="s">
        <v>18</v>
      </c>
      <c r="B19" s="3"/>
      <c r="C19" s="3"/>
      <c r="D19" s="3"/>
      <c r="E19" s="615"/>
      <c r="F19" s="22"/>
      <c r="G19" s="617"/>
      <c r="H19" s="615"/>
      <c r="I19" s="22"/>
      <c r="J19" s="22"/>
    </row>
    <row r="20" spans="1:10" ht="15.75">
      <c r="A20" s="122" t="s">
        <v>102</v>
      </c>
      <c r="B20" s="3" t="s">
        <v>765</v>
      </c>
      <c r="C20" s="3"/>
      <c r="D20" s="122"/>
      <c r="E20" s="22"/>
      <c r="F20" s="22"/>
      <c r="G20" s="616">
        <f>G11+G16+G18</f>
        <v>8041</v>
      </c>
      <c r="H20" s="615"/>
      <c r="I20" s="22"/>
      <c r="J20" s="22"/>
    </row>
    <row r="21" spans="1:10" ht="15.75">
      <c r="A21" s="122"/>
      <c r="B21" s="122"/>
      <c r="C21" s="3"/>
      <c r="D21" s="3"/>
      <c r="E21" s="22"/>
      <c r="F21" s="22"/>
      <c r="G21" s="615"/>
      <c r="H21" s="615"/>
      <c r="I21" s="22"/>
      <c r="J21" s="22"/>
    </row>
    <row r="22" spans="1:10" ht="15.75">
      <c r="A22" s="122" t="s">
        <v>103</v>
      </c>
      <c r="B22" s="3" t="str">
        <f>CONCATENATE("Total estimated valuation July, 1,",J1-1,"")</f>
        <v>Total estimated valuation July, 1,2014</v>
      </c>
      <c r="C22" s="3"/>
      <c r="D22" s="3"/>
      <c r="E22" s="616">
        <f>inputOth!E7</f>
        <v>1908492</v>
      </c>
      <c r="F22" s="22"/>
      <c r="G22" s="22"/>
      <c r="H22" s="22"/>
      <c r="I22" s="123"/>
      <c r="J22" s="22"/>
    </row>
    <row r="23" spans="1:10" ht="15.75">
      <c r="A23" s="122"/>
      <c r="B23" s="122"/>
      <c r="C23" s="3"/>
      <c r="D23" s="3"/>
      <c r="E23" s="615"/>
      <c r="F23" s="22"/>
      <c r="G23" s="22"/>
      <c r="H23" s="22"/>
      <c r="I23" s="123"/>
      <c r="J23" s="22"/>
    </row>
    <row r="24" spans="1:10" ht="15.75">
      <c r="A24" s="122" t="s">
        <v>104</v>
      </c>
      <c r="B24" s="3" t="s">
        <v>766</v>
      </c>
      <c r="C24" s="3"/>
      <c r="D24" s="3"/>
      <c r="E24" s="22"/>
      <c r="F24" s="22"/>
      <c r="G24" s="616">
        <f>E22-G20</f>
        <v>1900451</v>
      </c>
      <c r="H24" s="615"/>
      <c r="I24" s="123"/>
      <c r="J24" s="22"/>
    </row>
    <row r="25" spans="1:10" ht="15.75">
      <c r="A25" s="122"/>
      <c r="B25" s="122"/>
      <c r="C25" s="3"/>
      <c r="D25" s="3"/>
      <c r="E25" s="22"/>
      <c r="F25" s="22"/>
      <c r="G25" s="617"/>
      <c r="H25" s="615"/>
      <c r="I25" s="123"/>
      <c r="J25" s="22"/>
    </row>
    <row r="26" spans="1:10" ht="15.75">
      <c r="A26" s="122" t="s">
        <v>105</v>
      </c>
      <c r="B26" s="3" t="s">
        <v>767</v>
      </c>
      <c r="C26" s="3"/>
      <c r="D26" s="3"/>
      <c r="E26" s="3"/>
      <c r="F26" s="3"/>
      <c r="G26" s="618">
        <f>IF(G20&gt;0,G20/G24,0)</f>
        <v>0.004231100933410017</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6">
        <f>ROUND(G26*J7,0)</f>
        <v>35</v>
      </c>
    </row>
    <row r="29" spans="1:10" ht="15.75">
      <c r="A29" s="122"/>
      <c r="B29" s="122"/>
      <c r="C29" s="3"/>
      <c r="D29" s="3"/>
      <c r="E29" s="3"/>
      <c r="F29" s="3"/>
      <c r="G29" s="53"/>
      <c r="H29" s="125"/>
      <c r="I29" s="3"/>
      <c r="J29" s="615"/>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19">
        <f>J7+J28</f>
        <v>8189</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19">
        <f>J30+J32</f>
        <v>8189</v>
      </c>
    </row>
    <row r="35" spans="1:10" ht="16.5" thickTop="1">
      <c r="A35" s="625"/>
      <c r="B35" s="624"/>
      <c r="C35" s="624"/>
      <c r="D35" s="624"/>
      <c r="E35" s="624"/>
      <c r="F35" s="624"/>
      <c r="G35" s="624"/>
      <c r="H35" s="624"/>
      <c r="I35" s="624"/>
      <c r="J35" s="622"/>
    </row>
    <row r="36" spans="1:10" ht="15.75">
      <c r="A36" s="627" t="s">
        <v>758</v>
      </c>
      <c r="B36" s="624" t="str">
        <f>CONCATENATE("Consumer Price Index for all urban consumers for calendar year ",J1-2)</f>
        <v>Consumer Price Index for all urban consumers for calendar year 2013</v>
      </c>
      <c r="C36" s="624"/>
      <c r="D36" s="624"/>
      <c r="E36" s="624"/>
      <c r="F36" s="624"/>
      <c r="G36" s="624"/>
      <c r="H36" s="624"/>
      <c r="I36" s="624"/>
      <c r="J36" s="628">
        <v>0.015</v>
      </c>
    </row>
    <row r="37" spans="1:10" ht="15.75">
      <c r="A37" s="627"/>
      <c r="B37" s="624"/>
      <c r="C37" s="624"/>
      <c r="D37" s="624"/>
      <c r="E37" s="624"/>
      <c r="F37" s="624"/>
      <c r="G37" s="624"/>
      <c r="H37" s="624"/>
      <c r="I37" s="624"/>
      <c r="J37" s="629"/>
    </row>
    <row r="38" spans="1:10" ht="15.75">
      <c r="A38" s="627" t="s">
        <v>759</v>
      </c>
      <c r="B38" s="624" t="s">
        <v>791</v>
      </c>
      <c r="C38" s="624"/>
      <c r="D38" s="624"/>
      <c r="E38" s="624"/>
      <c r="F38" s="624"/>
      <c r="G38" s="624"/>
      <c r="H38" s="624"/>
      <c r="I38" s="623" t="s">
        <v>93</v>
      </c>
      <c r="J38" s="621">
        <f>J7*J36</f>
        <v>122.31</v>
      </c>
    </row>
    <row r="39" spans="1:10" ht="15.75">
      <c r="A39" s="625"/>
      <c r="B39" s="624"/>
      <c r="C39" s="624"/>
      <c r="D39" s="624"/>
      <c r="E39" s="624"/>
      <c r="F39" s="624"/>
      <c r="G39" s="624"/>
      <c r="H39" s="624"/>
      <c r="I39" s="624"/>
      <c r="J39" s="622"/>
    </row>
    <row r="40" spans="1:10" ht="15.75">
      <c r="A40" s="625" t="s">
        <v>760</v>
      </c>
      <c r="B40" s="624" t="str">
        <f>CONCATENATE("Maximum levy for budget year ",J1,", including debt service, not requiring 'notice of vote publication.'")</f>
        <v>Maximum levy for budget year 2015, including debt service, not requiring 'notice of vote publication.'</v>
      </c>
      <c r="C40" s="624"/>
      <c r="D40" s="624"/>
      <c r="E40" s="624"/>
      <c r="F40" s="624"/>
      <c r="G40" s="624"/>
      <c r="H40" s="624"/>
      <c r="I40" s="624"/>
      <c r="J40" s="620"/>
    </row>
    <row r="41" spans="1:10" ht="19.5" thickBot="1">
      <c r="A41" s="613"/>
      <c r="B41" s="623" t="s">
        <v>792</v>
      </c>
      <c r="C41" s="613"/>
      <c r="D41" s="613"/>
      <c r="E41" s="613"/>
      <c r="F41" s="613"/>
      <c r="G41" s="613"/>
      <c r="H41" s="613"/>
      <c r="I41" s="623" t="s">
        <v>93</v>
      </c>
      <c r="J41" s="626">
        <f>J34+J38</f>
        <v>8311.31</v>
      </c>
    </row>
    <row r="42" spans="1:10" ht="19.5" thickTop="1">
      <c r="A42" s="613"/>
      <c r="B42" s="630"/>
      <c r="C42" s="613"/>
      <c r="D42" s="613"/>
      <c r="E42" s="613"/>
      <c r="F42" s="613"/>
      <c r="G42" s="613"/>
      <c r="H42" s="613"/>
      <c r="I42" s="623"/>
      <c r="J42" s="622"/>
    </row>
    <row r="43" spans="1:10" ht="18.75">
      <c r="A43" s="613"/>
      <c r="B43" s="630"/>
      <c r="C43" s="613"/>
      <c r="D43" s="613"/>
      <c r="E43" s="613"/>
      <c r="F43" s="613"/>
      <c r="G43" s="613"/>
      <c r="H43" s="613"/>
      <c r="I43" s="623"/>
      <c r="J43" s="622"/>
    </row>
    <row r="44" spans="1:10" ht="18.75">
      <c r="A44" s="698" t="str">
        <f>CONCATENATE("If the ",J1," adopted budget includes a total property tax levy exceeding the dollar amount in line 17")</f>
        <v>If the 2015 adopted budget includes a total property tax levy exceeding the dollar amount in line 17</v>
      </c>
      <c r="B44" s="698"/>
      <c r="C44" s="698"/>
      <c r="D44" s="698"/>
      <c r="E44" s="698"/>
      <c r="F44" s="698"/>
      <c r="G44" s="698"/>
      <c r="H44" s="698"/>
      <c r="I44" s="698"/>
      <c r="J44" s="698"/>
    </row>
    <row r="45" spans="1:10" ht="18.75">
      <c r="A45" s="698" t="s">
        <v>761</v>
      </c>
      <c r="B45" s="698"/>
      <c r="C45" s="698"/>
      <c r="D45" s="698"/>
      <c r="E45" s="698"/>
      <c r="F45" s="698"/>
      <c r="G45" s="698"/>
      <c r="H45" s="698"/>
      <c r="I45" s="698"/>
      <c r="J45" s="698"/>
    </row>
    <row r="46" spans="1:10" ht="15.75">
      <c r="A46" s="697" t="s">
        <v>762</v>
      </c>
      <c r="B46" s="697"/>
      <c r="C46" s="697"/>
      <c r="D46" s="697"/>
      <c r="E46" s="697"/>
      <c r="F46" s="697"/>
      <c r="G46" s="697"/>
      <c r="H46" s="697"/>
      <c r="I46" s="697"/>
      <c r="J46" s="697"/>
    </row>
    <row r="47" spans="1:10" ht="15.75" customHeight="1">
      <c r="A47" s="697" t="s">
        <v>793</v>
      </c>
      <c r="B47" s="697"/>
      <c r="C47" s="697"/>
      <c r="D47" s="697"/>
      <c r="E47" s="697"/>
      <c r="F47" s="697"/>
      <c r="G47" s="697"/>
      <c r="H47" s="697"/>
      <c r="I47" s="697"/>
      <c r="J47" s="697"/>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T90" sqref="T9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Miles Village_Lake Waltanna Improvement District</v>
      </c>
      <c r="C1" s="3"/>
      <c r="D1" s="3"/>
      <c r="E1" s="3"/>
      <c r="F1" s="3"/>
      <c r="G1" s="3"/>
      <c r="H1" s="3"/>
      <c r="I1" s="127"/>
      <c r="J1" s="3"/>
    </row>
    <row r="2" spans="1:10" ht="15.75">
      <c r="A2" s="3"/>
      <c r="B2" s="3" t="str">
        <f>inputPrYr!D4</f>
        <v>Sedgwick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699" t="s">
        <v>692</v>
      </c>
      <c r="C6" s="699"/>
      <c r="D6" s="699"/>
      <c r="E6" s="699"/>
      <c r="F6" s="699"/>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2" t="str">
        <f>CONCATENATE("",G2-1,"                    Budgeted Funds")</f>
        <v>2014                    Budgeted Funds</v>
      </c>
      <c r="C9" s="700" t="str">
        <f>CONCATENATE("Tax Levy Amount in ",G2-2," Budget")</f>
        <v>Tax Levy Amount in 2013 Budget</v>
      </c>
      <c r="D9" s="685" t="str">
        <f>CONCATENATE("Allocation for Year ",G2,"")</f>
        <v>Allocation for Year 2015</v>
      </c>
      <c r="E9" s="703"/>
      <c r="F9" s="704"/>
      <c r="G9" s="3"/>
      <c r="H9" s="3"/>
      <c r="I9" s="3"/>
      <c r="J9" s="3"/>
    </row>
    <row r="10" spans="1:10" ht="15.75">
      <c r="A10" s="3"/>
      <c r="B10" s="701"/>
      <c r="C10" s="701"/>
      <c r="D10" s="95" t="s">
        <v>45</v>
      </c>
      <c r="E10" s="95" t="s">
        <v>46</v>
      </c>
      <c r="F10" s="92" t="s">
        <v>87</v>
      </c>
      <c r="G10" s="3"/>
      <c r="H10" s="3"/>
      <c r="I10" s="3"/>
      <c r="J10" s="3"/>
    </row>
    <row r="11" spans="1:10" ht="15.75">
      <c r="A11" s="3"/>
      <c r="B11" s="21" t="str">
        <f>inputPrYr!B19</f>
        <v>General</v>
      </c>
      <c r="C11" s="104">
        <f>inputPrYr!E19</f>
        <v>8154</v>
      </c>
      <c r="D11" s="104">
        <f>IF(E17=0,0,E17-D12-D13-D14)</f>
        <v>1383</v>
      </c>
      <c r="E11" s="104">
        <f>IF(E19=0,0,E19-E12-E13-E14)</f>
        <v>36</v>
      </c>
      <c r="F11" s="104">
        <f>IF(E21=0,0,E21-F12-F13-F14)</f>
        <v>0</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8154</v>
      </c>
      <c r="D15" s="111">
        <f>SUM(D11:D14)</f>
        <v>1383</v>
      </c>
      <c r="E15" s="111">
        <f>SUM(E11:E14)</f>
        <v>36</v>
      </c>
      <c r="F15" s="175">
        <f>SUM(F11:F14)</f>
        <v>0</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1383</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36</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0</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0.16961000735835172</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0.004415011037527594</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T90" sqref="T90"/>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Miles Village_Lake Waltanna Improvement District</v>
      </c>
      <c r="B2" s="137"/>
      <c r="C2" s="3"/>
      <c r="D2" s="3"/>
      <c r="E2" s="127"/>
      <c r="F2" s="3"/>
    </row>
    <row r="3" spans="1:6" ht="15.75">
      <c r="A3" s="137" t="str">
        <f>inputPrYr!D4</f>
        <v>Sedgwick County</v>
      </c>
      <c r="B3" s="137"/>
      <c r="C3" s="3"/>
      <c r="D3" s="3"/>
      <c r="E3" s="127"/>
      <c r="F3" s="3"/>
    </row>
    <row r="4" spans="1:6" ht="15.75">
      <c r="A4" s="128"/>
      <c r="B4" s="3"/>
      <c r="C4" s="3"/>
      <c r="D4" s="3"/>
      <c r="E4" s="127"/>
      <c r="F4" s="3"/>
    </row>
    <row r="5" spans="1:6" ht="15" customHeight="1">
      <c r="A5" s="683" t="s">
        <v>129</v>
      </c>
      <c r="B5" s="683"/>
      <c r="C5" s="683"/>
      <c r="D5" s="683"/>
      <c r="E5" s="683"/>
      <c r="F5" s="683"/>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cp:lastModifiedBy>
  <cp:lastPrinted>2014-08-06T17:20:38Z</cp:lastPrinted>
  <dcterms:created xsi:type="dcterms:W3CDTF">1999-08-06T13:59:57Z</dcterms:created>
  <dcterms:modified xsi:type="dcterms:W3CDTF">2014-08-06T17:26:00Z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