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835" tabRatio="737" activeTab="4"/>
  </bookViews>
  <sheets>
    <sheet name="instruction" sheetId="1" r:id="rId1"/>
    <sheet name="input" sheetId="2" r:id="rId2"/>
    <sheet name="inputComp" sheetId="3" r:id="rId3"/>
    <sheet name="inputVehicle" sheetId="4" r:id="rId4"/>
    <sheet name="cert2" sheetId="5" r:id="rId5"/>
    <sheet name="cert3" sheetId="6" r:id="rId6"/>
    <sheet name="RuralFire" sheetId="7" r:id="rId7"/>
    <sheet name="RFComp" sheetId="8" r:id="rId8"/>
    <sheet name="SpecFire" sheetId="9" r:id="rId9"/>
    <sheet name="SFComp" sheetId="10" r:id="rId10"/>
    <sheet name="Cem1" sheetId="11" r:id="rId11"/>
    <sheet name="Cem1Comp" sheetId="12" r:id="rId12"/>
    <sheet name="Cem4" sheetId="13" r:id="rId13"/>
    <sheet name="Cem4Comp" sheetId="14" r:id="rId14"/>
    <sheet name="Cem5" sheetId="15" r:id="rId15"/>
    <sheet name="Cem5Comp" sheetId="16" r:id="rId16"/>
    <sheet name="Sewer1" sheetId="17" r:id="rId17"/>
    <sheet name="Sew1Comp" sheetId="18" r:id="rId18"/>
    <sheet name="Sheet7" sheetId="19" r:id="rId19"/>
    <sheet name="Comp7" sheetId="20" r:id="rId20"/>
    <sheet name="Sheet8" sheetId="21" state="hidden" r:id="rId21"/>
    <sheet name="Comp8" sheetId="22" state="hidden" r:id="rId22"/>
    <sheet name="Sheet9" sheetId="23" state="hidden" r:id="rId23"/>
    <sheet name="Comp9" sheetId="24" state="hidden" r:id="rId24"/>
    <sheet name="Sheet10" sheetId="25" state="hidden" r:id="rId25"/>
    <sheet name="Comp10" sheetId="26" state="hidden" r:id="rId26"/>
    <sheet name="Sheet11" sheetId="27" state="hidden" r:id="rId27"/>
    <sheet name="Comp11" sheetId="28" state="hidden" r:id="rId28"/>
    <sheet name="Sheet12" sheetId="29" state="hidden" r:id="rId29"/>
    <sheet name="Comp12" sheetId="30" state="hidden" r:id="rId30"/>
    <sheet name="Sheet13" sheetId="31" state="hidden" r:id="rId31"/>
    <sheet name="Comp13" sheetId="32" state="hidden" r:id="rId32"/>
    <sheet name="Sheet14" sheetId="33" state="hidden" r:id="rId33"/>
    <sheet name="Comp14" sheetId="34" state="hidden" r:id="rId34"/>
    <sheet name="Sheet15" sheetId="35" state="hidden" r:id="rId35"/>
    <sheet name="Comp15" sheetId="36" state="hidden" r:id="rId36"/>
    <sheet name="Sheet16" sheetId="37" state="hidden" r:id="rId37"/>
    <sheet name="comp16" sheetId="38" state="hidden" r:id="rId38"/>
    <sheet name="Sheet17" sheetId="39" state="hidden" r:id="rId39"/>
    <sheet name="Comp17" sheetId="40" state="hidden" r:id="rId40"/>
    <sheet name="Sheet18" sheetId="41" state="hidden" r:id="rId41"/>
    <sheet name="Comp18" sheetId="42" state="hidden" r:id="rId42"/>
    <sheet name="Sheet19" sheetId="43" state="hidden" r:id="rId43"/>
    <sheet name="Comp19" sheetId="44" state="hidden" r:id="rId44"/>
    <sheet name="Sheet20" sheetId="45" state="hidden" r:id="rId45"/>
    <sheet name="comp20" sheetId="46" state="hidden" r:id="rId46"/>
    <sheet name="Sheet21" sheetId="47" state="hidden" r:id="rId47"/>
    <sheet name="Comp21" sheetId="48" state="hidden" r:id="rId48"/>
    <sheet name="Sheet22" sheetId="49" state="hidden" r:id="rId49"/>
    <sheet name="Comp22" sheetId="50" state="hidden" r:id="rId50"/>
    <sheet name="Sheet23" sheetId="51" state="hidden" r:id="rId51"/>
    <sheet name="Comp23" sheetId="52" state="hidden" r:id="rId52"/>
    <sheet name="Sheet24" sheetId="53" state="hidden" r:id="rId53"/>
    <sheet name="Comp24" sheetId="54" state="hidden" r:id="rId54"/>
    <sheet name="Sheet25" sheetId="55" state="hidden" r:id="rId55"/>
    <sheet name="Comp25" sheetId="56" state="hidden" r:id="rId56"/>
    <sheet name="Sheet26" sheetId="57" state="hidden" r:id="rId57"/>
    <sheet name="Comp26" sheetId="58" state="hidden" r:id="rId58"/>
    <sheet name="Sheet27" sheetId="59" state="hidden" r:id="rId59"/>
    <sheet name="Comp27" sheetId="60" state="hidden" r:id="rId60"/>
    <sheet name="Sheet28" sheetId="61" state="hidden" r:id="rId61"/>
    <sheet name="Comp28" sheetId="62" state="hidden" r:id="rId62"/>
    <sheet name="Sheet29" sheetId="63" state="hidden" r:id="rId63"/>
    <sheet name="Comp29" sheetId="64" state="hidden" r:id="rId64"/>
    <sheet name="sum2" sheetId="65" r:id="rId65"/>
    <sheet name="sum3" sheetId="66" r:id="rId66"/>
    <sheet name="addtl tax levy" sheetId="67" r:id="rId67"/>
    <sheet name="addtl no tax levy" sheetId="68" r:id="rId68"/>
    <sheet name="nonbudA" sheetId="69" r:id="rId69"/>
    <sheet name="nonbudB" sheetId="70" r:id="rId70"/>
    <sheet name="resolution" sheetId="71" r:id="rId71"/>
    <sheet name="legend" sheetId="72" r:id="rId72"/>
  </sheets>
  <definedNames/>
  <calcPr fullCalcOnLoad="1"/>
</workbook>
</file>

<file path=xl/sharedStrings.xml><?xml version="1.0" encoding="utf-8"?>
<sst xmlns="http://schemas.openxmlformats.org/spreadsheetml/2006/main" count="3269" uniqueCount="372">
  <si>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</si>
  <si>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</si>
  <si>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</si>
  <si>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</si>
  <si>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</si>
  <si>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</si>
  <si>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</si>
  <si>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</si>
  <si>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</si>
  <si>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</si>
  <si>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</si>
  <si>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</si>
  <si>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</si>
  <si>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</si>
  <si>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</si>
  <si>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</si>
  <si>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</si>
  <si>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</si>
  <si>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</si>
  <si>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</si>
  <si>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</si>
  <si>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</si>
  <si>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</si>
  <si>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</si>
  <si>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</si>
  <si>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</si>
  <si>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</si>
  <si>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</si>
  <si>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</si>
  <si>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</si>
  <si>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</si>
  <si>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</si>
  <si>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</si>
  <si>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</si>
  <si>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</si>
  <si>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</si>
  <si>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</si>
  <si>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</si>
  <si>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</si>
  <si>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</si>
  <si>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</si>
  <si>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</si>
  <si>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</si>
  <si>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</si>
  <si>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</si>
  <si>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</si>
  <si>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</si>
  <si>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</si>
  <si>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</si>
  <si>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</si>
  <si>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</si>
  <si>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</si>
  <si>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</si>
  <si>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</si>
  <si>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</si>
  <si>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</si>
  <si>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</si>
  <si>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</si>
  <si>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</si>
  <si>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</si>
  <si>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</si>
  <si>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</si>
  <si>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</si>
  <si>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</si>
  <si>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</si>
  <si>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</si>
  <si>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</si>
  <si>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</si>
  <si>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</si>
  <si>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</si>
  <si>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</si>
  <si>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</si>
  <si>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</si>
  <si>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</si>
  <si>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</si>
  <si>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</si>
  <si>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</si>
  <si>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</si>
  <si>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</si>
  <si>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</si>
  <si>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</si>
  <si>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</si>
  <si>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</si>
  <si>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</si>
  <si>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</si>
  <si>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</si>
  <si>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</si>
  <si>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</si>
  <si>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</si>
  <si>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</si>
  <si>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</si>
  <si>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</si>
  <si>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</si>
  <si>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</si>
  <si>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</si>
  <si>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</si>
  <si>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</si>
  <si>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</si>
  <si>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</si>
  <si>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</si>
  <si>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</si>
  <si>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</si>
  <si>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</si>
  <si>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</si>
  <si>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</si>
  <si>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</si>
  <si>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</si>
  <si>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</si>
  <si>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</si>
  <si>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</si>
  <si>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</si>
  <si>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</si>
  <si>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</si>
  <si>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</si>
  <si>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</si>
  <si>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</si>
  <si>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</si>
  <si>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</si>
  <si>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</si>
  <si>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</si>
  <si>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</si>
  <si>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</si>
  <si>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</si>
  <si>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</si>
  <si>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</si>
  <si>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</si>
  <si>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</si>
  <si>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</si>
  <si>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</si>
  <si>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</si>
  <si>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</si>
  <si>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</si>
  <si>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</si>
  <si>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</si>
  <si>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</si>
  <si>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</si>
  <si>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</si>
  <si>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</si>
  <si>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</si>
  <si>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</si>
  <si>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</si>
  <si>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</si>
  <si>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</si>
  <si>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</si>
  <si>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</si>
  <si>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</si>
  <si>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</si>
  <si>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</si>
  <si>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</si>
  <si>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</si>
  <si>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</si>
  <si>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</si>
  <si>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</si>
  <si>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</si>
  <si>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</si>
  <si>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</si>
  <si>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</si>
  <si>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</si>
  <si>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</si>
  <si>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</si>
  <si>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</si>
  <si>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</si>
  <si>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</si>
  <si>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</si>
  <si>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</si>
  <si>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</si>
  <si>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</si>
  <si>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</si>
  <si>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</si>
  <si>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</si>
  <si>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</si>
  <si>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</si>
  <si>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</si>
  <si>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</si>
  <si>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</si>
  <si>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</si>
  <si>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</si>
  <si>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</si>
  <si>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</si>
  <si>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</si>
  <si>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</si>
  <si>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</si>
  <si>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</si>
  <si>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</si>
  <si>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</si>
  <si>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</si>
  <si>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</si>
  <si>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</si>
  <si>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</si>
  <si>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</si>
  <si>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</si>
  <si>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</si>
  <si>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</si>
  <si>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</si>
  <si>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</si>
  <si>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</si>
  <si>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</si>
  <si>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</si>
  <si>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</si>
  <si>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</si>
  <si>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</si>
  <si>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</si>
  <si>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</si>
  <si>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</si>
  <si>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</si>
  <si>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</si>
  <si>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</si>
  <si>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</si>
  <si>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</si>
  <si>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</si>
  <si>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</si>
  <si>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</si>
  <si>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</si>
  <si>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</si>
  <si>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</si>
  <si>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</si>
  <si>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</si>
  <si>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</si>
  <si>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</si>
  <si>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</si>
  <si>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</si>
  <si>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</si>
  <si>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</si>
  <si>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</si>
  <si>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</si>
  <si>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</si>
  <si>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</si>
  <si>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</si>
  <si>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</si>
  <si>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</si>
  <si>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</si>
  <si>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</si>
  <si>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</si>
  <si>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</si>
  <si>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</si>
  <si>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</si>
  <si>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</si>
  <si>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</si>
  <si>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</si>
  <si>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</si>
  <si>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</si>
  <si>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</si>
  <si>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</si>
  <si>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</si>
  <si>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</si>
  <si>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</si>
  <si>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</si>
  <si>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</si>
  <si>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</si>
  <si>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</si>
  <si>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</si>
  <si>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</si>
  <si>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</si>
  <si>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</si>
  <si>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</si>
  <si>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</si>
  <si>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</si>
  <si>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</si>
  <si>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</si>
  <si>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</si>
  <si>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</si>
  <si>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</si>
  <si>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</si>
  <si>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</si>
  <si>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</si>
  <si>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</si>
  <si>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</si>
  <si>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</si>
  <si>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</si>
  <si>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</si>
  <si>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</si>
  <si>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</si>
  <si>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</si>
  <si>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</si>
  <si>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</si>
  <si>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</si>
  <si>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</si>
  <si>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</si>
  <si>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</si>
  <si>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</si>
  <si>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</si>
  <si>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</si>
  <si>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</si>
  <si>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</si>
  <si>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</si>
  <si>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</si>
  <si>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</si>
  <si>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</si>
  <si>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</si>
  <si>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</si>
  <si>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</si>
  <si>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</si>
  <si>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</si>
  <si>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</si>
  <si>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</si>
  <si>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</si>
  <si>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</si>
  <si>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 xml:space="preserve">Please read these instructions carefully.  If after reviewing them you still have questions, call Rogers </t>
  </si>
  <si>
    <t>Brazier at 785.296.2846 or email to armunis@da.ks.gov</t>
  </si>
  <si>
    <t>The following were changed to this spreadsheet on 3/27/13</t>
  </si>
  <si>
    <t>1.  Instruction tab narrative modification</t>
  </si>
  <si>
    <t>Linn County</t>
  </si>
  <si>
    <t>1a</t>
  </si>
  <si>
    <t>Rural Fire Dist. #1</t>
  </si>
  <si>
    <t>19-3610</t>
  </si>
  <si>
    <t>Spec.FireEquip.Replacement</t>
  </si>
  <si>
    <t>19-120</t>
  </si>
  <si>
    <t>Cemetery Dist. #1</t>
  </si>
  <si>
    <t>Cemetery Dist. #5</t>
  </si>
  <si>
    <t>Cemetery Dist. #4</t>
  </si>
  <si>
    <t>Sewer Dist. #1</t>
  </si>
  <si>
    <t>17-1330</t>
  </si>
  <si>
    <t>19-27a03</t>
  </si>
  <si>
    <t>19a</t>
  </si>
  <si>
    <t>20a</t>
  </si>
  <si>
    <t>21a</t>
  </si>
  <si>
    <t>22a</t>
  </si>
  <si>
    <t>23a</t>
  </si>
  <si>
    <t>24a</t>
  </si>
  <si>
    <t>25a</t>
  </si>
  <si>
    <t>15.</t>
  </si>
  <si>
    <t>16.</t>
  </si>
  <si>
    <t>Consumer Price Index adjustment (3 times 15)</t>
  </si>
  <si>
    <t>17.</t>
  </si>
  <si>
    <t>(14 plus 16)</t>
  </si>
  <si>
    <t xml:space="preserve">you must publish notice of vote by the governing body to adopt such budget in the official county newspaper and </t>
  </si>
  <si>
    <t>attach a copy of the published notice to this budget.</t>
  </si>
  <si>
    <t>Reimbursed Expenses</t>
  </si>
  <si>
    <t>Prior Year's Warrants Canceled</t>
  </si>
  <si>
    <t>Union Pacific Railroad</t>
  </si>
  <si>
    <t>Miscellaneous</t>
  </si>
  <si>
    <t>Grants</t>
  </si>
  <si>
    <t>Sale of Equipment</t>
  </si>
  <si>
    <t>Sale of Building</t>
  </si>
  <si>
    <t>Personal Services</t>
  </si>
  <si>
    <t>Contractual Services</t>
  </si>
  <si>
    <t>Commodities</t>
  </si>
  <si>
    <t>Capital Outlay</t>
  </si>
  <si>
    <t>Debt Service on Capital Leases</t>
  </si>
  <si>
    <t>Transfer to Spec. Fire Equip. Replacement</t>
  </si>
  <si>
    <t>(Not a Budgeted Fund)</t>
  </si>
  <si>
    <t>Federal Grants</t>
  </si>
  <si>
    <t>Transfer from Rural Fire District #1</t>
  </si>
  <si>
    <t>Sale of Lots</t>
  </si>
  <si>
    <t>Donations</t>
  </si>
  <si>
    <t>KCPL Easement Payment</t>
  </si>
  <si>
    <t>Operations</t>
  </si>
  <si>
    <t>Mowing</t>
  </si>
  <si>
    <t>Stone Maintenance</t>
  </si>
  <si>
    <t>Other Repairs</t>
  </si>
  <si>
    <t>Postage</t>
  </si>
  <si>
    <t>Storm Cleanup, Fence Repairs, Paint</t>
  </si>
  <si>
    <t>Insurance</t>
  </si>
  <si>
    <t>Backhoe Fees, Repairs, etc.</t>
  </si>
  <si>
    <t>Legal Fees</t>
  </si>
  <si>
    <t>Donations-Memorial Funds</t>
  </si>
  <si>
    <t>Reimbursements</t>
  </si>
  <si>
    <t>Painting</t>
  </si>
  <si>
    <t>Road &amp; Other Repairs</t>
  </si>
  <si>
    <t>Flags &amp; Flag Poles</t>
  </si>
  <si>
    <t>Tree &amp; Stump Removal</t>
  </si>
  <si>
    <t>Signs</t>
  </si>
  <si>
    <t>Tree Removal, Stone &amp; Fence Repairs, etc.</t>
  </si>
  <si>
    <t>Road Repairs</t>
  </si>
  <si>
    <t>Customer Receipts collected by District</t>
  </si>
  <si>
    <t>Customer Receipts collected by County</t>
  </si>
  <si>
    <t>Depinquent Receipts collected by County</t>
  </si>
  <si>
    <t>Bond Payments</t>
  </si>
  <si>
    <t xml:space="preserve">  Principal</t>
  </si>
  <si>
    <t xml:space="preserve">  Interest</t>
  </si>
  <si>
    <t>Clean up</t>
  </si>
  <si>
    <t>Watercraft Tax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</si>
</sst>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  <numFmt numFmtId="171" formatCode="m/d/yy"/>
    <numFmt numFmtId="172" formatCode="m/d"/>
    <numFmt numFmtId="173" formatCode="_(* #,##0_);_(* \(#,##0\);_(* &quot;-&quot;??_);_(@_)"/>
    <numFmt numFmtId="174" formatCode="#,##0.000_);\(#,##0.000\)"/>
    <numFmt numFmtId="175" formatCode="#,##0.000"/>
    <numFmt numFmtId="176" formatCode="[$-409]mmmm\ d\,\ yyyy;@"/>
    <numFmt numFmtId="177" formatCode="[$-409]h:mm\ AM/PM;@"/>
    <numFmt numFmtId="178" formatCode="&quot;$&quot;#,##0"/>
    <numFmt numFmtId="179" formatCode="&quot;$&quot;#,##0.00"/>
    <numFmt numFmtId="180" formatCode="#,###"/>
    <numFmt numFmtId="181" formatCode="0.0%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u val="single"/>
      <sz val="12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164" fontId="1" fillId="34" borderId="0" xfId="0" applyNumberFormat="1" applyFont="1" applyFill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0" fontId="1" fillId="0" borderId="0" xfId="154" applyFont="1" applyAlignment="1">
      <alignment vertical="center"/>
      <protection/>
    </xf>
    <xf numFmtId="0" fontId="3" fillId="0" borderId="0" xfId="128" applyFont="1" applyAlignment="1">
      <alignment vertical="center"/>
      <protection/>
    </xf>
    <xf numFmtId="0" fontId="10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3" borderId="0" xfId="77" applyFont="1" applyFill="1" applyAlignment="1" applyProtection="1" quotePrefix="1">
      <alignment horizontal="left" vertical="center"/>
      <protection/>
    </xf>
    <xf numFmtId="0" fontId="1" fillId="40" borderId="0" xfId="77" applyFont="1" applyFill="1" applyAlignment="1" applyProtection="1">
      <alignment vertical="center"/>
      <protection/>
    </xf>
    <xf numFmtId="10" fontId="1" fillId="33" borderId="12" xfId="77" applyNumberFormat="1" applyFont="1" applyFill="1" applyBorder="1" applyAlignment="1" applyProtection="1">
      <alignment vertical="center"/>
      <protection/>
    </xf>
    <xf numFmtId="10" fontId="1" fillId="33" borderId="0" xfId="77" applyNumberFormat="1" applyFont="1" applyFill="1" applyBorder="1" applyAlignment="1" applyProtection="1">
      <alignment vertical="center"/>
      <protection/>
    </xf>
    <xf numFmtId="0" fontId="1" fillId="33" borderId="0" xfId="77" applyFont="1" applyFill="1" applyAlignment="1" applyProtection="1">
      <alignment horizontal="left" vertical="center"/>
      <protection/>
    </xf>
    <xf numFmtId="3" fontId="1" fillId="33" borderId="12" xfId="77" applyNumberFormat="1" applyFont="1" applyFill="1" applyBorder="1" applyAlignment="1" applyProtection="1">
      <alignment vertical="center"/>
      <protection/>
    </xf>
    <xf numFmtId="0" fontId="1" fillId="33" borderId="0" xfId="77" applyFont="1" applyFill="1" applyAlignment="1" applyProtection="1" quotePrefix="1">
      <alignment vertical="center"/>
      <protection/>
    </xf>
    <xf numFmtId="3" fontId="1" fillId="33" borderId="0" xfId="77" applyNumberFormat="1" applyFont="1" applyFill="1" applyBorder="1" applyAlignment="1" applyProtection="1">
      <alignment vertical="center"/>
      <protection/>
    </xf>
    <xf numFmtId="3" fontId="1" fillId="33" borderId="0" xfId="77" applyNumberFormat="1" applyFont="1" applyFill="1" applyAlignment="1" applyProtection="1">
      <alignment vertical="center"/>
      <protection/>
    </xf>
    <xf numFmtId="0" fontId="5" fillId="33" borderId="0" xfId="77" applyFont="1" applyFill="1" applyAlignment="1" applyProtection="1">
      <alignment horizontal="center" vertical="center"/>
      <protection/>
    </xf>
    <xf numFmtId="3" fontId="1" fillId="33" borderId="22" xfId="77" applyNumberFormat="1" applyFont="1" applyFill="1" applyBorder="1" applyAlignment="1" applyProtection="1">
      <alignment vertical="center"/>
      <protection/>
    </xf>
    <xf numFmtId="0" fontId="5" fillId="33" borderId="0" xfId="77" applyFont="1" applyFill="1" applyAlignment="1" applyProtection="1">
      <alignment horizontal="left" vertical="center"/>
      <protection/>
    </xf>
    <xf numFmtId="0" fontId="2" fillId="40" borderId="0" xfId="77" applyFont="1" applyFill="1" applyAlignment="1" applyProtection="1">
      <alignment vertical="center"/>
      <protection/>
    </xf>
    <xf numFmtId="0" fontId="2" fillId="33" borderId="0" xfId="77" applyFont="1" applyFill="1" applyAlignment="1" applyProtection="1">
      <alignment horizontal="left"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77" applyFont="1" applyFill="1" applyAlignment="1" applyProtection="1">
      <alignment horizontal="center" vertical="center"/>
      <protection/>
    </xf>
    <xf numFmtId="0" fontId="5" fillId="33" borderId="0" xfId="77" applyFont="1" applyFill="1" applyAlignment="1">
      <alignment horizontal="center" vertic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" xfId="44"/>
    <cellStyle name="Comma 16" xfId="45"/>
    <cellStyle name="Comma 16 2" xfId="46"/>
    <cellStyle name="Comma 16 3" xfId="47"/>
    <cellStyle name="Comma 2" xfId="48"/>
    <cellStyle name="Comma 2 2" xfId="49"/>
    <cellStyle name="Comma 4 2" xfId="50"/>
    <cellStyle name="Comma 7" xfId="51"/>
    <cellStyle name="Comma 7 2" xfId="52"/>
    <cellStyle name="Comma 7 3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 2 2" xfId="62"/>
    <cellStyle name="Hyperlink 3" xfId="63"/>
    <cellStyle name="Hyperlink 3 2" xfId="64"/>
    <cellStyle name="Hyperlink 3 3" xfId="65"/>
    <cellStyle name="Hyperlink 4 2" xfId="66"/>
    <cellStyle name="Hyperlink 7" xfId="67"/>
    <cellStyle name="Hyperlink 7 2" xfId="68"/>
    <cellStyle name="Hyperlink 8" xfId="69"/>
    <cellStyle name="Hyperlink 8 2" xfId="70"/>
    <cellStyle name="Input" xfId="71"/>
    <cellStyle name="Linked Cell" xfId="72"/>
    <cellStyle name="Neutral" xfId="73"/>
    <cellStyle name="Normal 10" xfId="74"/>
    <cellStyle name="Normal 10 2" xfId="75"/>
    <cellStyle name="Normal 10 2 2" xfId="76"/>
    <cellStyle name="Normal 10 2 2 2" xfId="77"/>
    <cellStyle name="Normal 10 2 2 3" xfId="78"/>
    <cellStyle name="Normal 10 3" xfId="79"/>
    <cellStyle name="Normal 10 4" xfId="80"/>
    <cellStyle name="Normal 10 5" xfId="81"/>
    <cellStyle name="Normal 10 6" xfId="82"/>
    <cellStyle name="Normal 10 7" xfId="83"/>
    <cellStyle name="Normal 11" xfId="84"/>
    <cellStyle name="Normal 11 2" xfId="85"/>
    <cellStyle name="Normal 11 2 2" xfId="86"/>
    <cellStyle name="Normal 11 3" xfId="87"/>
    <cellStyle name="Normal 11 4" xfId="88"/>
    <cellStyle name="Normal 11 5" xfId="89"/>
    <cellStyle name="Normal 12" xfId="90"/>
    <cellStyle name="Normal 12 10" xfId="91"/>
    <cellStyle name="Normal 12 11" xfId="92"/>
    <cellStyle name="Normal 12 12" xfId="93"/>
    <cellStyle name="Normal 12 2" xfId="94"/>
    <cellStyle name="Normal 12 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2 9" xfId="102"/>
    <cellStyle name="Normal 13" xfId="103"/>
    <cellStyle name="Normal 13 10" xfId="104"/>
    <cellStyle name="Normal 13 11" xfId="105"/>
    <cellStyle name="Normal 13 12" xfId="106"/>
    <cellStyle name="Normal 13 2" xfId="107"/>
    <cellStyle name="Normal 13 2 2" xfId="108"/>
    <cellStyle name="Normal 13 3" xfId="109"/>
    <cellStyle name="Normal 13 4" xfId="110"/>
    <cellStyle name="Normal 13 5" xfId="111"/>
    <cellStyle name="Normal 13 6" xfId="112"/>
    <cellStyle name="Normal 13 7" xfId="113"/>
    <cellStyle name="Normal 13 8" xfId="114"/>
    <cellStyle name="Normal 13 9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5" xfId="123"/>
    <cellStyle name="Normal 15 2" xfId="124"/>
    <cellStyle name="Normal 15 3" xfId="125"/>
    <cellStyle name="Normal 15 4" xfId="126"/>
    <cellStyle name="Normal 16" xfId="127"/>
    <cellStyle name="Normal 16 2" xfId="128"/>
    <cellStyle name="Normal 16 3" xfId="129"/>
    <cellStyle name="Normal 16 4" xfId="130"/>
    <cellStyle name="Normal 17" xfId="131"/>
    <cellStyle name="Normal 17 2" xfId="132"/>
    <cellStyle name="Normal 17 3" xfId="133"/>
    <cellStyle name="Normal 17 4" xfId="134"/>
    <cellStyle name="Normal 18" xfId="135"/>
    <cellStyle name="Normal 18 2" xfId="136"/>
    <cellStyle name="Normal 18 2 2" xfId="137"/>
    <cellStyle name="Normal 18 2 3" xfId="138"/>
    <cellStyle name="Normal 18 3" xfId="139"/>
    <cellStyle name="Normal 18 4" xfId="140"/>
    <cellStyle name="Normal 18 5" xfId="141"/>
    <cellStyle name="Normal 18 6" xfId="142"/>
    <cellStyle name="Normal 18 7" xfId="143"/>
    <cellStyle name="Normal 18 8" xfId="144"/>
    <cellStyle name="Normal 19" xfId="145"/>
    <cellStyle name="Normal 19 2" xfId="146"/>
    <cellStyle name="Normal 19 2 2" xfId="147"/>
    <cellStyle name="Normal 19 2 3" xfId="148"/>
    <cellStyle name="Normal 19 3" xfId="149"/>
    <cellStyle name="Normal 19 4" xfId="150"/>
    <cellStyle name="Normal 19 5" xfId="151"/>
    <cellStyle name="Normal 19 6" xfId="152"/>
    <cellStyle name="Normal 19 7" xfId="153"/>
    <cellStyle name="Normal 2" xfId="154"/>
    <cellStyle name="Normal 2 10" xfId="155"/>
    <cellStyle name="Normal 2 10 10" xfId="156"/>
    <cellStyle name="Normal 2 10 11" xfId="157"/>
    <cellStyle name="Normal 2 10 2" xfId="158"/>
    <cellStyle name="Normal 2 10 2 2" xfId="159"/>
    <cellStyle name="Normal 2 10 3" xfId="160"/>
    <cellStyle name="Normal 2 10 3 2" xfId="161"/>
    <cellStyle name="Normal 2 10 4" xfId="162"/>
    <cellStyle name="Normal 2 10 4 2" xfId="163"/>
    <cellStyle name="Normal 2 10 5" xfId="164"/>
    <cellStyle name="Normal 2 10 5 2" xfId="165"/>
    <cellStyle name="Normal 2 10 6" xfId="166"/>
    <cellStyle name="Normal 2 10 6 2" xfId="167"/>
    <cellStyle name="Normal 2 10 7" xfId="168"/>
    <cellStyle name="Normal 2 10 7 2" xfId="169"/>
    <cellStyle name="Normal 2 10 8" xfId="170"/>
    <cellStyle name="Normal 2 10 8 2" xfId="171"/>
    <cellStyle name="Normal 2 10 9" xfId="172"/>
    <cellStyle name="Normal 2 11" xfId="173"/>
    <cellStyle name="Normal 2 11 10" xfId="174"/>
    <cellStyle name="Normal 2 11 11" xfId="175"/>
    <cellStyle name="Normal 2 11 2" xfId="176"/>
    <cellStyle name="Normal 2 11 2 2" xfId="177"/>
    <cellStyle name="Normal 2 11 3" xfId="178"/>
    <cellStyle name="Normal 2 11 3 2" xfId="179"/>
    <cellStyle name="Normal 2 11 4" xfId="180"/>
    <cellStyle name="Normal 2 11 4 2" xfId="181"/>
    <cellStyle name="Normal 2 11 5" xfId="182"/>
    <cellStyle name="Normal 2 11 5 2" xfId="183"/>
    <cellStyle name="Normal 2 11 6" xfId="184"/>
    <cellStyle name="Normal 2 11 6 2" xfId="185"/>
    <cellStyle name="Normal 2 11 7" xfId="186"/>
    <cellStyle name="Normal 2 11 7 2" xfId="187"/>
    <cellStyle name="Normal 2 11 8" xfId="188"/>
    <cellStyle name="Normal 2 11 8 2" xfId="189"/>
    <cellStyle name="Normal 2 11 9" xfId="190"/>
    <cellStyle name="Normal 2 12" xfId="191"/>
    <cellStyle name="Normal 2 13" xfId="192"/>
    <cellStyle name="Normal 2 14" xfId="193"/>
    <cellStyle name="Normal 2 15" xfId="194"/>
    <cellStyle name="Normal 2 16" xfId="195"/>
    <cellStyle name="Normal 2 2" xfId="196"/>
    <cellStyle name="Normal 2 2 10" xfId="197"/>
    <cellStyle name="Normal 2 2 10 2" xfId="198"/>
    <cellStyle name="Normal 2 2 11" xfId="199"/>
    <cellStyle name="Normal 2 2 11 2" xfId="200"/>
    <cellStyle name="Normal 2 2 12" xfId="201"/>
    <cellStyle name="Normal 2 2 12 2" xfId="202"/>
    <cellStyle name="Normal 2 2 12 2 2" xfId="203"/>
    <cellStyle name="Normal 2 2 12 2 3" xfId="204"/>
    <cellStyle name="Normal 2 2 12 3" xfId="205"/>
    <cellStyle name="Normal 2 2 12 4" xfId="206"/>
    <cellStyle name="Normal 2 2 13" xfId="207"/>
    <cellStyle name="Normal 2 2 13 2" xfId="208"/>
    <cellStyle name="Normal 2 2 13 2 2" xfId="209"/>
    <cellStyle name="Normal 2 2 13 2 3" xfId="210"/>
    <cellStyle name="Normal 2 2 13 3" xfId="211"/>
    <cellStyle name="Normal 2 2 13 4" xfId="212"/>
    <cellStyle name="Normal 2 2 14" xfId="213"/>
    <cellStyle name="Normal 2 2 14 2" xfId="214"/>
    <cellStyle name="Normal 2 2 15" xfId="215"/>
    <cellStyle name="Normal 2 2 15 2" xfId="216"/>
    <cellStyle name="Normal 2 2 16" xfId="217"/>
    <cellStyle name="Normal 2 2 16 2" xfId="218"/>
    <cellStyle name="Normal 2 2 16 3" xfId="219"/>
    <cellStyle name="Normal 2 2 17" xfId="220"/>
    <cellStyle name="Normal 2 2 18" xfId="221"/>
    <cellStyle name="Normal 2 2 19" xfId="222"/>
    <cellStyle name="Normal 2 2 2" xfId="223"/>
    <cellStyle name="Normal 2 2 2 2" xfId="224"/>
    <cellStyle name="Normal 2 2 2 2 2" xfId="225"/>
    <cellStyle name="Normal 2 2 2 2 3" xfId="226"/>
    <cellStyle name="Normal 2 2 2 3" xfId="227"/>
    <cellStyle name="Normal 2 2 2 3 2" xfId="228"/>
    <cellStyle name="Normal 2 2 2 4" xfId="229"/>
    <cellStyle name="Normal 2 2 2 4 2" xfId="230"/>
    <cellStyle name="Normal 2 2 2 5" xfId="231"/>
    <cellStyle name="Normal 2 2 2 5 2" xfId="232"/>
    <cellStyle name="Normal 2 2 2 6" xfId="233"/>
    <cellStyle name="Normal 2 2 2 6 2" xfId="234"/>
    <cellStyle name="Normal 2 2 2 7" xfId="235"/>
    <cellStyle name="Normal 2 2 2 8" xfId="236"/>
    <cellStyle name="Normal 2 2 20" xfId="237"/>
    <cellStyle name="Normal 2 2 21" xfId="238"/>
    <cellStyle name="Normal 2 2 3" xfId="239"/>
    <cellStyle name="Normal 2 2 3 2" xfId="240"/>
    <cellStyle name="Normal 2 2 4" xfId="241"/>
    <cellStyle name="Normal 2 2 4 2" xfId="242"/>
    <cellStyle name="Normal 2 2 5" xfId="243"/>
    <cellStyle name="Normal 2 2 5 2" xfId="244"/>
    <cellStyle name="Normal 2 2 6" xfId="245"/>
    <cellStyle name="Normal 2 2 6 2" xfId="246"/>
    <cellStyle name="Normal 2 2 7" xfId="247"/>
    <cellStyle name="Normal 2 2 7 2" xfId="248"/>
    <cellStyle name="Normal 2 2 8" xfId="249"/>
    <cellStyle name="Normal 2 2 8 2" xfId="250"/>
    <cellStyle name="Normal 2 2 9" xfId="251"/>
    <cellStyle name="Normal 2 2 9 2" xfId="252"/>
    <cellStyle name="Normal 2 3" xfId="253"/>
    <cellStyle name="Normal 2 3 10" xfId="254"/>
    <cellStyle name="Normal 2 3 11" xfId="255"/>
    <cellStyle name="Normal 2 3 12" xfId="256"/>
    <cellStyle name="Normal 2 3 13" xfId="257"/>
    <cellStyle name="Normal 2 3 14" xfId="258"/>
    <cellStyle name="Normal 2 3 15" xfId="259"/>
    <cellStyle name="Normal 2 3 2" xfId="260"/>
    <cellStyle name="Normal 2 3 2 2" xfId="261"/>
    <cellStyle name="Normal 2 3 2 2 2" xfId="262"/>
    <cellStyle name="Normal 2 3 2 2 3" xfId="263"/>
    <cellStyle name="Normal 2 3 2 3" xfId="264"/>
    <cellStyle name="Normal 2 3 2 4" xfId="265"/>
    <cellStyle name="Normal 2 3 2 5" xfId="266"/>
    <cellStyle name="Normal 2 3 3" xfId="267"/>
    <cellStyle name="Normal 2 3 3 2" xfId="268"/>
    <cellStyle name="Normal 2 3 3 3" xfId="269"/>
    <cellStyle name="Normal 2 3 4" xfId="270"/>
    <cellStyle name="Normal 2 3 5" xfId="271"/>
    <cellStyle name="Normal 2 3 6" xfId="272"/>
    <cellStyle name="Normal 2 3 7" xfId="273"/>
    <cellStyle name="Normal 2 3 8" xfId="274"/>
    <cellStyle name="Normal 2 3 9" xfId="275"/>
    <cellStyle name="Normal 2 4" xfId="276"/>
    <cellStyle name="Normal 2 4 10" xfId="277"/>
    <cellStyle name="Normal 2 4 11" xfId="278"/>
    <cellStyle name="Normal 2 4 12" xfId="279"/>
    <cellStyle name="Normal 2 4 13" xfId="280"/>
    <cellStyle name="Normal 2 4 2" xfId="281"/>
    <cellStyle name="Normal 2 4 2 2" xfId="282"/>
    <cellStyle name="Normal 2 4 2 2 2" xfId="283"/>
    <cellStyle name="Normal 2 4 2 2 3" xfId="284"/>
    <cellStyle name="Normal 2 4 2 3" xfId="285"/>
    <cellStyle name="Normal 2 4 2 4" xfId="286"/>
    <cellStyle name="Normal 2 4 2 5" xfId="287"/>
    <cellStyle name="Normal 2 4 3" xfId="288"/>
    <cellStyle name="Normal 2 4 3 2" xfId="289"/>
    <cellStyle name="Normal 2 4 3 3" xfId="290"/>
    <cellStyle name="Normal 2 4 4" xfId="291"/>
    <cellStyle name="Normal 2 4 5" xfId="292"/>
    <cellStyle name="Normal 2 4 6" xfId="293"/>
    <cellStyle name="Normal 2 4 7" xfId="294"/>
    <cellStyle name="Normal 2 4 8" xfId="295"/>
    <cellStyle name="Normal 2 4 9" xfId="296"/>
    <cellStyle name="Normal 2 5" xfId="297"/>
    <cellStyle name="Normal 2 5 10" xfId="298"/>
    <cellStyle name="Normal 2 5 11" xfId="299"/>
    <cellStyle name="Normal 2 5 12" xfId="300"/>
    <cellStyle name="Normal 2 5 12 2" xfId="301"/>
    <cellStyle name="Normal 2 5 12 3" xfId="302"/>
    <cellStyle name="Normal 2 5 2" xfId="303"/>
    <cellStyle name="Normal 2 5 2 2" xfId="304"/>
    <cellStyle name="Normal 2 5 3" xfId="305"/>
    <cellStyle name="Normal 2 5 3 2" xfId="306"/>
    <cellStyle name="Normal 2 5 4" xfId="307"/>
    <cellStyle name="Normal 2 5 5" xfId="308"/>
    <cellStyle name="Normal 2 5 6" xfId="309"/>
    <cellStyle name="Normal 2 5 7" xfId="310"/>
    <cellStyle name="Normal 2 5 8" xfId="311"/>
    <cellStyle name="Normal 2 5 9" xfId="312"/>
    <cellStyle name="Normal 2 6" xfId="313"/>
    <cellStyle name="Normal 2 6 10" xfId="314"/>
    <cellStyle name="Normal 2 6 11" xfId="315"/>
    <cellStyle name="Normal 2 6 12" xfId="316"/>
    <cellStyle name="Normal 2 6 2" xfId="317"/>
    <cellStyle name="Normal 2 6 2 2" xfId="318"/>
    <cellStyle name="Normal 2 6 3" xfId="319"/>
    <cellStyle name="Normal 2 6 3 2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6 9" xfId="326"/>
    <cellStyle name="Normal 2 7" xfId="327"/>
    <cellStyle name="Normal 2 7 10" xfId="328"/>
    <cellStyle name="Normal 2 7 2" xfId="329"/>
    <cellStyle name="Normal 2 7 2 2" xfId="330"/>
    <cellStyle name="Normal 2 7 2 3" xfId="331"/>
    <cellStyle name="Normal 2 7 3" xfId="332"/>
    <cellStyle name="Normal 2 7 3 2" xfId="333"/>
    <cellStyle name="Normal 2 7 4" xfId="334"/>
    <cellStyle name="Normal 2 7 4 2" xfId="335"/>
    <cellStyle name="Normal 2 7 5" xfId="336"/>
    <cellStyle name="Normal 2 7 5 2" xfId="337"/>
    <cellStyle name="Normal 2 7 6" xfId="338"/>
    <cellStyle name="Normal 2 7 6 2" xfId="339"/>
    <cellStyle name="Normal 2 7 7" xfId="340"/>
    <cellStyle name="Normal 2 7 7 2" xfId="341"/>
    <cellStyle name="Normal 2 7 8" xfId="342"/>
    <cellStyle name="Normal 2 7 8 2" xfId="343"/>
    <cellStyle name="Normal 2 7 9" xfId="344"/>
    <cellStyle name="Normal 2 8" xfId="345"/>
    <cellStyle name="Normal 2 8 10" xfId="346"/>
    <cellStyle name="Normal 2 8 11" xfId="347"/>
    <cellStyle name="Normal 2 8 2" xfId="348"/>
    <cellStyle name="Normal 2 8 2 2" xfId="349"/>
    <cellStyle name="Normal 2 8 3" xfId="350"/>
    <cellStyle name="Normal 2 8 3 2" xfId="351"/>
    <cellStyle name="Normal 2 8 4" xfId="352"/>
    <cellStyle name="Normal 2 8 4 2" xfId="353"/>
    <cellStyle name="Normal 2 8 5" xfId="354"/>
    <cellStyle name="Normal 2 8 5 2" xfId="355"/>
    <cellStyle name="Normal 2 8 6" xfId="356"/>
    <cellStyle name="Normal 2 8 6 2" xfId="357"/>
    <cellStyle name="Normal 2 8 7" xfId="358"/>
    <cellStyle name="Normal 2 8 7 2" xfId="359"/>
    <cellStyle name="Normal 2 8 8" xfId="360"/>
    <cellStyle name="Normal 2 8 8 2" xfId="361"/>
    <cellStyle name="Normal 2 8 9" xfId="362"/>
    <cellStyle name="Normal 2 9" xfId="363"/>
    <cellStyle name="Normal 2 9 10" xfId="364"/>
    <cellStyle name="Normal 2 9 11" xfId="365"/>
    <cellStyle name="Normal 2 9 2" xfId="366"/>
    <cellStyle name="Normal 2 9 2 2" xfId="367"/>
    <cellStyle name="Normal 2 9 3" xfId="368"/>
    <cellStyle name="Normal 2 9 3 2" xfId="369"/>
    <cellStyle name="Normal 2 9 4" xfId="370"/>
    <cellStyle name="Normal 2 9 4 2" xfId="371"/>
    <cellStyle name="Normal 2 9 5" xfId="372"/>
    <cellStyle name="Normal 2 9 5 2" xfId="373"/>
    <cellStyle name="Normal 2 9 6" xfId="374"/>
    <cellStyle name="Normal 2 9 6 2" xfId="375"/>
    <cellStyle name="Normal 2 9 7" xfId="376"/>
    <cellStyle name="Normal 2 9 7 2" xfId="377"/>
    <cellStyle name="Normal 2 9 8" xfId="378"/>
    <cellStyle name="Normal 2 9 8 2" xfId="379"/>
    <cellStyle name="Normal 2 9 9" xfId="380"/>
    <cellStyle name="Normal 20" xfId="381"/>
    <cellStyle name="Normal 20 2" xfId="382"/>
    <cellStyle name="Normal 20 3" xfId="383"/>
    <cellStyle name="Normal 21" xfId="384"/>
    <cellStyle name="Normal 21 2" xfId="385"/>
    <cellStyle name="Normal 22" xfId="386"/>
    <cellStyle name="Normal 22 2" xfId="387"/>
    <cellStyle name="Normal 22 3" xfId="388"/>
    <cellStyle name="Normal 23" xfId="389"/>
    <cellStyle name="Normal 23 2" xfId="390"/>
    <cellStyle name="Normal 23 3" xfId="391"/>
    <cellStyle name="Normal 24" xfId="392"/>
    <cellStyle name="Normal 24 2" xfId="393"/>
    <cellStyle name="Normal 24 3" xfId="394"/>
    <cellStyle name="Normal 25" xfId="395"/>
    <cellStyle name="Normal 25 2" xfId="396"/>
    <cellStyle name="Normal 25 3" xfId="397"/>
    <cellStyle name="Normal 26" xfId="398"/>
    <cellStyle name="Normal 3" xfId="399"/>
    <cellStyle name="Normal 3 2" xfId="400"/>
    <cellStyle name="Normal 3 2 2" xfId="401"/>
    <cellStyle name="Normal 3 2 2 2" xfId="402"/>
    <cellStyle name="Normal 3 2 2 3" xfId="403"/>
    <cellStyle name="Normal 3 2 3" xfId="404"/>
    <cellStyle name="Normal 3 2 4" xfId="405"/>
    <cellStyle name="Normal 3 2 5" xfId="406"/>
    <cellStyle name="Normal 3 3" xfId="407"/>
    <cellStyle name="Normal 3 3 2" xfId="408"/>
    <cellStyle name="Normal 3 3 2 2" xfId="409"/>
    <cellStyle name="Normal 3 3 2 3" xfId="410"/>
    <cellStyle name="Normal 3 3 3" xfId="411"/>
    <cellStyle name="Normal 3 3 4" xfId="412"/>
    <cellStyle name="Normal 3 4" xfId="413"/>
    <cellStyle name="Normal 3 5" xfId="414"/>
    <cellStyle name="Normal 3 6" xfId="415"/>
    <cellStyle name="Normal 3 7" xfId="416"/>
    <cellStyle name="Normal 3 8" xfId="417"/>
    <cellStyle name="Normal 3 9" xfId="418"/>
    <cellStyle name="Normal 4" xfId="419"/>
    <cellStyle name="Normal 4 2" xfId="420"/>
    <cellStyle name="Normal 4 2 2" xfId="421"/>
    <cellStyle name="Normal 4 2 2 2" xfId="422"/>
    <cellStyle name="Normal 4 2 3" xfId="423"/>
    <cellStyle name="Normal 4 2 4" xfId="424"/>
    <cellStyle name="Normal 4 3" xfId="425"/>
    <cellStyle name="Normal 4 3 2" xfId="426"/>
    <cellStyle name="Normal 4 3 3" xfId="427"/>
    <cellStyle name="Normal 4 4" xfId="428"/>
    <cellStyle name="Normal 4 5" xfId="429"/>
    <cellStyle name="Normal 4 6" xfId="430"/>
    <cellStyle name="Normal 5" xfId="431"/>
    <cellStyle name="Normal 5 2" xfId="432"/>
    <cellStyle name="Normal 5 3" xfId="433"/>
    <cellStyle name="Normal 5 3 2" xfId="434"/>
    <cellStyle name="Normal 5 3 3" xfId="435"/>
    <cellStyle name="Normal 5 4" xfId="436"/>
    <cellStyle name="Normal 5 5" xfId="437"/>
    <cellStyle name="Normal 6 2" xfId="438"/>
    <cellStyle name="Normal 6 3" xfId="439"/>
    <cellStyle name="Normal 6 4" xfId="440"/>
    <cellStyle name="Normal 6 5" xfId="441"/>
    <cellStyle name="Normal 7" xfId="442"/>
    <cellStyle name="Normal 7 2" xfId="443"/>
    <cellStyle name="Normal 7 2 2" xfId="444"/>
    <cellStyle name="Normal 7 2 2 2" xfId="445"/>
    <cellStyle name="Normal 7 2 3" xfId="446"/>
    <cellStyle name="Normal 7 2 4" xfId="447"/>
    <cellStyle name="Normal 7 2 5" xfId="448"/>
    <cellStyle name="Normal 7 3" xfId="449"/>
    <cellStyle name="Normal 7 4" xfId="450"/>
    <cellStyle name="Normal 7 4 2" xfId="451"/>
    <cellStyle name="Normal 7 4 3" xfId="452"/>
    <cellStyle name="Normal 7 5" xfId="453"/>
    <cellStyle name="Normal 7 5 2" xfId="454"/>
    <cellStyle name="Normal 7 5 3" xfId="455"/>
    <cellStyle name="Normal 7 5 4" xfId="456"/>
    <cellStyle name="Normal 7 6" xfId="457"/>
    <cellStyle name="Normal 7 7" xfId="458"/>
    <cellStyle name="Normal 8" xfId="459"/>
    <cellStyle name="Normal 8 2" xfId="460"/>
    <cellStyle name="Normal 9" xfId="461"/>
    <cellStyle name="Normal 9 2" xfId="462"/>
    <cellStyle name="Normal 9 2 2" xfId="463"/>
    <cellStyle name="Normal 9 3" xfId="464"/>
    <cellStyle name="Normal 9 4" xfId="465"/>
    <cellStyle name="Normal 9 5" xfId="466"/>
    <cellStyle name="Normal 9 6" xfId="467"/>
    <cellStyle name="Note" xfId="468"/>
    <cellStyle name="Output" xfId="469"/>
    <cellStyle name="Percent" xfId="470"/>
    <cellStyle name="Title" xfId="471"/>
    <cellStyle name="Total" xfId="472"/>
    <cellStyle name="Warning Text" xfId="4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Z37" sqref="Z37"/>
    </sheetView>
  </sheetViews>
  <sheetFormatPr defaultColWidth="9.140625" defaultRowHeight="12.75"/>
  <cols>
    <col min="1" max="16384" width="9.140625" style="3" customWidth="1"/>
  </cols>
  <sheetData>
    <row r="1" spans="1:9" ht="15.75">
      <c r="A1" s="292" t="s">
        <v>96</v>
      </c>
      <c r="B1" s="292"/>
      <c r="C1" s="292"/>
      <c r="D1" s="292"/>
      <c r="E1" s="292"/>
      <c r="F1" s="292"/>
      <c r="G1" s="292"/>
      <c r="H1" s="292"/>
      <c r="I1" s="292"/>
    </row>
    <row r="3" ht="15.75">
      <c r="A3" s="3" t="s">
        <v>297</v>
      </c>
    </row>
    <row r="4" ht="15.75">
      <c r="A4" s="3" t="s">
        <v>298</v>
      </c>
    </row>
    <row r="6" ht="15.75">
      <c r="A6" s="3" t="s">
        <v>97</v>
      </c>
    </row>
    <row r="7" ht="15.75">
      <c r="A7" s="3" t="s">
        <v>160</v>
      </c>
    </row>
    <row r="8" ht="15.75">
      <c r="A8" s="3" t="s">
        <v>162</v>
      </c>
    </row>
    <row r="10" ht="15.75">
      <c r="A10" s="3" t="s">
        <v>113</v>
      </c>
    </row>
    <row r="11" ht="15.75">
      <c r="A11" s="3" t="s">
        <v>157</v>
      </c>
    </row>
    <row r="13" ht="15.75">
      <c r="A13" s="3" t="s">
        <v>114</v>
      </c>
    </row>
    <row r="15" spans="1:9" ht="15.75">
      <c r="A15" s="292" t="s">
        <v>215</v>
      </c>
      <c r="B15" s="293"/>
      <c r="C15" s="293"/>
      <c r="D15" s="293"/>
      <c r="E15" s="293"/>
      <c r="F15" s="293"/>
      <c r="G15" s="293"/>
      <c r="H15" s="293"/>
      <c r="I15" s="293"/>
    </row>
    <row r="17" ht="15.75">
      <c r="A17" s="3" t="s">
        <v>115</v>
      </c>
    </row>
    <row r="18" ht="15.75">
      <c r="A18" s="3" t="s">
        <v>158</v>
      </c>
    </row>
    <row r="20" ht="15.75">
      <c r="A20" s="3" t="s">
        <v>116</v>
      </c>
    </row>
    <row r="21" ht="15.75">
      <c r="A21" s="3" t="s">
        <v>117</v>
      </c>
    </row>
    <row r="22" ht="15.75">
      <c r="A22" s="3" t="s">
        <v>118</v>
      </c>
    </row>
    <row r="23" ht="15.75">
      <c r="A23" s="3" t="s">
        <v>119</v>
      </c>
    </row>
    <row r="25" spans="1:9" ht="15.75">
      <c r="A25" s="292" t="s">
        <v>120</v>
      </c>
      <c r="B25" s="293"/>
      <c r="C25" s="293"/>
      <c r="D25" s="293"/>
      <c r="E25" s="293"/>
      <c r="F25" s="293"/>
      <c r="G25" s="293"/>
      <c r="H25" s="293"/>
      <c r="I25" s="293"/>
    </row>
    <row r="27" ht="15.75">
      <c r="A27" s="3" t="s">
        <v>139</v>
      </c>
    </row>
    <row r="28" ht="15.75">
      <c r="A28" s="3" t="s">
        <v>267</v>
      </c>
    </row>
    <row r="29" ht="15.75">
      <c r="A29" s="3" t="s">
        <v>268</v>
      </c>
    </row>
    <row r="30" ht="15.75">
      <c r="A30" s="3" t="s">
        <v>270</v>
      </c>
    </row>
    <row r="31" ht="15.75">
      <c r="A31" s="171" t="s">
        <v>269</v>
      </c>
    </row>
    <row r="32" ht="15.75">
      <c r="A32" s="3" t="s">
        <v>180</v>
      </c>
    </row>
    <row r="33" ht="15.75">
      <c r="A33" s="171" t="s">
        <v>181</v>
      </c>
    </row>
    <row r="34" ht="15.75">
      <c r="A34" s="171" t="s">
        <v>182</v>
      </c>
    </row>
    <row r="36" spans="1:9" ht="15.75">
      <c r="A36" s="153" t="s">
        <v>122</v>
      </c>
      <c r="B36" s="153"/>
      <c r="C36" s="153"/>
      <c r="D36" s="153"/>
      <c r="E36" s="153"/>
      <c r="F36" s="153"/>
      <c r="G36" s="153"/>
      <c r="H36" s="153"/>
      <c r="I36" s="153"/>
    </row>
    <row r="37" spans="1:9" ht="15.75">
      <c r="A37" s="153" t="s">
        <v>123</v>
      </c>
      <c r="B37" s="153"/>
      <c r="C37" s="153"/>
      <c r="D37" s="153"/>
      <c r="E37" s="153"/>
      <c r="F37" s="153"/>
      <c r="G37" s="153"/>
      <c r="H37" s="153"/>
      <c r="I37" s="153"/>
    </row>
    <row r="39" spans="1:9" ht="15.75">
      <c r="A39" s="72" t="s">
        <v>124</v>
      </c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 t="s">
        <v>125</v>
      </c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 t="s">
        <v>126</v>
      </c>
      <c r="B41" s="72"/>
      <c r="C41" s="72"/>
      <c r="D41" s="72"/>
      <c r="E41" s="72"/>
      <c r="F41" s="72"/>
      <c r="G41" s="72"/>
      <c r="H41" s="72"/>
      <c r="I41" s="72"/>
    </row>
    <row r="43" ht="15.75">
      <c r="A43" s="3" t="s">
        <v>127</v>
      </c>
    </row>
    <row r="45" spans="1:9" ht="15.75">
      <c r="A45" s="292" t="s">
        <v>128</v>
      </c>
      <c r="B45" s="293"/>
      <c r="C45" s="293"/>
      <c r="D45" s="293"/>
      <c r="E45" s="293"/>
      <c r="F45" s="293"/>
      <c r="G45" s="293"/>
      <c r="H45" s="293"/>
      <c r="I45" s="293"/>
    </row>
    <row r="47" spans="1:10" ht="15.75">
      <c r="A47" s="290" t="s">
        <v>194</v>
      </c>
      <c r="B47" s="291"/>
      <c r="C47" s="291"/>
      <c r="D47" s="291"/>
      <c r="E47" s="291"/>
      <c r="F47" s="291"/>
      <c r="G47" s="291"/>
      <c r="H47" s="291"/>
      <c r="I47" s="291"/>
      <c r="J47" s="291"/>
    </row>
    <row r="48" spans="1:10" ht="15.75">
      <c r="A48" s="173" t="s">
        <v>189</v>
      </c>
      <c r="B48" s="174"/>
      <c r="C48" s="174"/>
      <c r="D48" s="174"/>
      <c r="E48" s="174"/>
      <c r="F48" s="174"/>
      <c r="G48" s="174"/>
      <c r="H48" s="174"/>
      <c r="I48" s="174"/>
      <c r="J48" s="174"/>
    </row>
    <row r="49" spans="1:10" ht="15.75">
      <c r="A49" s="173"/>
      <c r="B49" s="174"/>
      <c r="C49" s="174"/>
      <c r="D49" s="174"/>
      <c r="E49" s="174"/>
      <c r="F49" s="174"/>
      <c r="G49" s="174"/>
      <c r="H49" s="174"/>
      <c r="I49" s="174"/>
      <c r="J49" s="174"/>
    </row>
    <row r="50" spans="1:10" ht="15.75">
      <c r="A50" s="173" t="s">
        <v>273</v>
      </c>
      <c r="B50" s="174"/>
      <c r="C50" s="174"/>
      <c r="D50" s="174"/>
      <c r="E50" s="174"/>
      <c r="F50" s="174"/>
      <c r="G50" s="174"/>
      <c r="H50" s="174"/>
      <c r="I50" s="174"/>
      <c r="J50" s="174"/>
    </row>
    <row r="51" ht="15.75">
      <c r="A51" s="3" t="s">
        <v>274</v>
      </c>
    </row>
    <row r="52" ht="15.75">
      <c r="A52" s="3" t="s">
        <v>275</v>
      </c>
    </row>
    <row r="53" ht="15.75">
      <c r="A53" s="3" t="s">
        <v>276</v>
      </c>
    </row>
    <row r="55" ht="15.75">
      <c r="A55" s="3" t="s">
        <v>271</v>
      </c>
    </row>
    <row r="56" ht="15.75">
      <c r="A56" s="3" t="s">
        <v>272</v>
      </c>
    </row>
    <row r="58" ht="15.75">
      <c r="A58" s="3" t="s">
        <v>277</v>
      </c>
    </row>
    <row r="59" ht="15.75">
      <c r="A59" s="3" t="s">
        <v>193</v>
      </c>
    </row>
    <row r="60" ht="15.75">
      <c r="A60" s="3" t="s">
        <v>192</v>
      </c>
    </row>
    <row r="61" ht="15.75">
      <c r="A61" s="3" t="s">
        <v>145</v>
      </c>
    </row>
    <row r="62" ht="15.75">
      <c r="A62" s="3" t="s">
        <v>146</v>
      </c>
    </row>
    <row r="63" ht="15.75">
      <c r="A63" s="3" t="s">
        <v>183</v>
      </c>
    </row>
    <row r="64" ht="15.75">
      <c r="A64" s="172" t="s">
        <v>129</v>
      </c>
    </row>
    <row r="66" ht="15.75">
      <c r="A66" s="3" t="s">
        <v>278</v>
      </c>
    </row>
    <row r="67" ht="15.75">
      <c r="A67" s="3" t="s">
        <v>184</v>
      </c>
    </row>
    <row r="68" ht="15.75">
      <c r="A68" s="3" t="s">
        <v>279</v>
      </c>
    </row>
    <row r="69" ht="15.75">
      <c r="A69" s="3" t="s">
        <v>190</v>
      </c>
    </row>
    <row r="70" ht="15.75">
      <c r="A70" s="3" t="s">
        <v>191</v>
      </c>
    </row>
    <row r="71" spans="1:10" ht="79.5" customHeight="1">
      <c r="A71" s="288" t="s">
        <v>280</v>
      </c>
      <c r="B71" s="289"/>
      <c r="C71" s="289"/>
      <c r="D71" s="289"/>
      <c r="E71" s="289"/>
      <c r="F71" s="289"/>
      <c r="G71" s="289"/>
      <c r="H71" s="289"/>
      <c r="I71" s="289"/>
      <c r="J71" s="289"/>
    </row>
    <row r="73" ht="15.75">
      <c r="A73" s="3" t="s">
        <v>281</v>
      </c>
    </row>
    <row r="74" ht="15.75">
      <c r="A74" s="3" t="s">
        <v>195</v>
      </c>
    </row>
    <row r="75" ht="15.75">
      <c r="A75" s="3" t="s">
        <v>196</v>
      </c>
    </row>
    <row r="76" ht="15.75">
      <c r="A76" s="175" t="s">
        <v>197</v>
      </c>
    </row>
    <row r="77" ht="15.75">
      <c r="A77" s="3" t="s">
        <v>282</v>
      </c>
    </row>
    <row r="78" ht="15.75">
      <c r="A78" s="3" t="s">
        <v>284</v>
      </c>
    </row>
    <row r="80" ht="15.75">
      <c r="A80" s="3" t="s">
        <v>283</v>
      </c>
    </row>
    <row r="81" ht="15.75">
      <c r="A81" s="3" t="s">
        <v>178</v>
      </c>
    </row>
    <row r="82" ht="15.75">
      <c r="A82" s="3" t="s">
        <v>159</v>
      </c>
    </row>
    <row r="83" ht="15.75">
      <c r="A83" s="3" t="s">
        <v>185</v>
      </c>
    </row>
    <row r="84" ht="15.75">
      <c r="A84" s="3" t="s">
        <v>285</v>
      </c>
    </row>
    <row r="85" ht="15.75">
      <c r="A85" s="3" t="s">
        <v>286</v>
      </c>
    </row>
    <row r="87" ht="15.75">
      <c r="A87" s="3" t="s">
        <v>287</v>
      </c>
    </row>
    <row r="88" ht="15.75">
      <c r="A88" s="3" t="s">
        <v>143</v>
      </c>
    </row>
    <row r="89" ht="15.75">
      <c r="A89" s="3" t="s">
        <v>147</v>
      </c>
    </row>
    <row r="90" ht="15.75">
      <c r="A90" s="3" t="s">
        <v>186</v>
      </c>
    </row>
    <row r="91" ht="15.75">
      <c r="A91" s="3" t="s">
        <v>187</v>
      </c>
    </row>
    <row r="92" ht="15.75">
      <c r="A92" s="3" t="s">
        <v>148</v>
      </c>
    </row>
    <row r="93" ht="15.75">
      <c r="A93" s="3" t="s">
        <v>151</v>
      </c>
    </row>
    <row r="94" ht="15.75">
      <c r="A94" s="3" t="s">
        <v>153</v>
      </c>
    </row>
    <row r="96" ht="15.75">
      <c r="A96" s="3" t="s">
        <v>288</v>
      </c>
    </row>
    <row r="97" ht="15.75">
      <c r="A97" s="3" t="s">
        <v>149</v>
      </c>
    </row>
    <row r="98" ht="15.75">
      <c r="A98" s="3" t="s">
        <v>150</v>
      </c>
    </row>
    <row r="99" ht="15.75">
      <c r="A99" s="3" t="s">
        <v>188</v>
      </c>
    </row>
    <row r="100" ht="15.75">
      <c r="A100" s="3" t="s">
        <v>154</v>
      </c>
    </row>
    <row r="101" ht="15.75">
      <c r="A101" s="3" t="s">
        <v>152</v>
      </c>
    </row>
    <row r="103" ht="15.75">
      <c r="A103" s="3" t="s">
        <v>289</v>
      </c>
    </row>
    <row r="104" ht="15.75">
      <c r="A104" s="3" t="s">
        <v>155</v>
      </c>
    </row>
    <row r="106" ht="15.75">
      <c r="A106" s="3" t="s">
        <v>290</v>
      </c>
    </row>
    <row r="107" ht="15.75">
      <c r="A107" s="3" t="s">
        <v>156</v>
      </c>
    </row>
  </sheetData>
  <sheetProtection sheet="1"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SpecFire!C3</f>
        <v>Spec.FireEquip.Replacement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inputComp!F5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6">
        <f>inputComp!F7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inputComp!F9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inputComp!F11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6">
        <f>inputComp!F13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5">
        <f>inputComp!F15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inputComp!F17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4">
        <f>inputComp!F19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0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0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s="78" customFormat="1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s="78" customFormat="1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26" t="s">
        <v>37</v>
      </c>
      <c r="F50" s="56" t="s">
        <v>314</v>
      </c>
      <c r="G50" s="1"/>
      <c r="H50" s="1"/>
      <c r="I50" s="1"/>
      <c r="J50" s="1"/>
    </row>
  </sheetData>
  <sheetProtection/>
  <mergeCells count="5">
    <mergeCell ref="A3:J3"/>
    <mergeCell ref="E4:G4"/>
    <mergeCell ref="A46:J46"/>
    <mergeCell ref="A47:J47"/>
    <mergeCell ref="A45:J45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2">
      <selection activeCell="E27" sqref="E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247" t="str">
        <f>cert2!A12</f>
        <v>Cemetery Dist. #1</v>
      </c>
      <c r="D3" s="248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>
        <v>7202.4</v>
      </c>
      <c r="E9" s="21">
        <f>+D36</f>
        <v>2131.0499999999993</v>
      </c>
      <c r="F9" s="21">
        <f>+E36</f>
        <v>437.3299999999999</v>
      </c>
    </row>
    <row r="10" spans="1:6" ht="15.75">
      <c r="A10" s="198" t="s">
        <v>14</v>
      </c>
      <c r="B10" s="199"/>
      <c r="C10" s="200"/>
      <c r="D10" s="195">
        <v>9541</v>
      </c>
      <c r="E10" s="37">
        <v>9635.74</v>
      </c>
      <c r="F10" s="20" t="s">
        <v>6</v>
      </c>
    </row>
    <row r="11" spans="1:6" ht="15.75">
      <c r="A11" s="35" t="s">
        <v>15</v>
      </c>
      <c r="B11" s="36"/>
      <c r="C11" s="200"/>
      <c r="D11" s="195">
        <f>3.68+1.15+51.11+0.01+0.47</f>
        <v>56.419999999999995</v>
      </c>
      <c r="E11" s="37">
        <f>1.89+1.87+33.78</f>
        <v>37.54</v>
      </c>
      <c r="F11" s="37">
        <v>35</v>
      </c>
    </row>
    <row r="12" spans="1:6" ht="15.75">
      <c r="A12" s="35" t="s">
        <v>16</v>
      </c>
      <c r="B12" s="36"/>
      <c r="C12" s="200"/>
      <c r="D12" s="195">
        <v>162.15</v>
      </c>
      <c r="E12" s="37">
        <v>145</v>
      </c>
      <c r="F12" s="21">
        <f>D51</f>
        <v>135</v>
      </c>
    </row>
    <row r="13" spans="1:6" ht="15.75">
      <c r="A13" s="35" t="s">
        <v>17</v>
      </c>
      <c r="B13" s="36"/>
      <c r="C13" s="200"/>
      <c r="D13" s="195">
        <v>6.83</v>
      </c>
      <c r="E13" s="37">
        <v>6</v>
      </c>
      <c r="F13" s="21">
        <f>E51</f>
        <v>6</v>
      </c>
    </row>
    <row r="14" spans="1:6" ht="15.75">
      <c r="A14" s="35" t="s">
        <v>86</v>
      </c>
      <c r="B14" s="36"/>
      <c r="C14" s="200"/>
      <c r="D14" s="195"/>
      <c r="E14" s="37"/>
      <c r="F14" s="21">
        <f>F51</f>
        <v>5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 t="s">
        <v>371</v>
      </c>
      <c r="B16" s="36"/>
      <c r="C16" s="200"/>
      <c r="D16" s="195"/>
      <c r="E16" s="37"/>
      <c r="F16" s="108">
        <v>8.44</v>
      </c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 t="s">
        <v>343</v>
      </c>
      <c r="B18" s="39"/>
      <c r="C18" s="201"/>
      <c r="D18" s="195">
        <v>100</v>
      </c>
      <c r="E18" s="37">
        <v>200</v>
      </c>
      <c r="F18" s="37">
        <v>300</v>
      </c>
    </row>
    <row r="19" spans="1:6" ht="15.75">
      <c r="A19" s="40" t="s">
        <v>344</v>
      </c>
      <c r="B19" s="39"/>
      <c r="C19" s="201"/>
      <c r="D19" s="195">
        <v>15</v>
      </c>
      <c r="E19" s="37"/>
      <c r="F19" s="37"/>
    </row>
    <row r="20" spans="1:6" ht="15.75">
      <c r="A20" s="38" t="s">
        <v>345</v>
      </c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>
        <v>9.94</v>
      </c>
      <c r="E22" s="37">
        <v>10</v>
      </c>
      <c r="F22" s="37">
        <v>10</v>
      </c>
    </row>
    <row r="23" spans="1:6" ht="15.75">
      <c r="A23" s="43" t="s">
        <v>22</v>
      </c>
      <c r="B23" s="36"/>
      <c r="C23" s="200"/>
      <c r="D23" s="196">
        <f>SUM(D10:D22)</f>
        <v>9891.34</v>
      </c>
      <c r="E23" s="182">
        <f>SUM(E10:E22)</f>
        <v>10034.28</v>
      </c>
      <c r="F23" s="182">
        <f>SUM(F10:F22)</f>
        <v>499.44</v>
      </c>
    </row>
    <row r="24" spans="1:6" ht="15.75">
      <c r="A24" s="43" t="s">
        <v>23</v>
      </c>
      <c r="B24" s="36"/>
      <c r="C24" s="200"/>
      <c r="D24" s="196">
        <f>+D9+D23</f>
        <v>17093.739999999998</v>
      </c>
      <c r="E24" s="182">
        <f>+E9+E23</f>
        <v>12165.33</v>
      </c>
      <c r="F24" s="182">
        <f>+F9+F23</f>
        <v>936.77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 t="s">
        <v>346</v>
      </c>
      <c r="B26" s="39"/>
      <c r="C26" s="201"/>
      <c r="D26" s="195">
        <v>1467.7</v>
      </c>
      <c r="E26" s="37">
        <v>1478</v>
      </c>
      <c r="F26" s="37">
        <v>1000</v>
      </c>
    </row>
    <row r="27" spans="1:6" ht="15.75">
      <c r="A27" s="41" t="s">
        <v>347</v>
      </c>
      <c r="B27" s="39"/>
      <c r="C27" s="201"/>
      <c r="D27" s="195">
        <v>4800</v>
      </c>
      <c r="E27" s="37">
        <v>5000</v>
      </c>
      <c r="F27" s="37">
        <v>5000</v>
      </c>
    </row>
    <row r="28" spans="1:6" ht="15.75">
      <c r="A28" s="41" t="s">
        <v>348</v>
      </c>
      <c r="B28" s="39"/>
      <c r="C28" s="201"/>
      <c r="D28" s="195">
        <v>6399.99</v>
      </c>
      <c r="E28" s="37">
        <v>1000</v>
      </c>
      <c r="F28" s="37">
        <v>500</v>
      </c>
    </row>
    <row r="29" spans="1:6" ht="15.75">
      <c r="A29" s="41" t="s">
        <v>349</v>
      </c>
      <c r="B29" s="39"/>
      <c r="C29" s="201"/>
      <c r="D29" s="195">
        <v>770</v>
      </c>
      <c r="E29" s="37">
        <v>2000</v>
      </c>
      <c r="F29" s="37">
        <v>2500</v>
      </c>
    </row>
    <row r="30" spans="1:6" ht="15.75">
      <c r="A30" s="38" t="s">
        <v>350</v>
      </c>
      <c r="B30" s="39"/>
      <c r="C30" s="201"/>
      <c r="D30" s="195"/>
      <c r="E30" s="37"/>
      <c r="F30" s="37"/>
    </row>
    <row r="31" spans="1:6" ht="15.75">
      <c r="A31" s="38" t="s">
        <v>351</v>
      </c>
      <c r="B31" s="39"/>
      <c r="C31" s="201"/>
      <c r="D31" s="195"/>
      <c r="E31" s="37">
        <v>500</v>
      </c>
      <c r="F31" s="37"/>
    </row>
    <row r="32" spans="1:6" ht="15.75">
      <c r="A32" s="38" t="s">
        <v>352</v>
      </c>
      <c r="B32" s="39"/>
      <c r="C32" s="201"/>
      <c r="D32" s="195">
        <v>1525</v>
      </c>
      <c r="E32" s="37">
        <v>1750</v>
      </c>
      <c r="F32" s="37">
        <v>1750</v>
      </c>
    </row>
    <row r="33" spans="1:6" ht="15.75">
      <c r="A33" s="38" t="s">
        <v>353</v>
      </c>
      <c r="B33" s="39"/>
      <c r="C33" s="201"/>
      <c r="D33" s="195"/>
      <c r="E33" s="37"/>
      <c r="F33" s="37"/>
    </row>
    <row r="34" spans="1:6" ht="15.75">
      <c r="A34" s="38" t="s">
        <v>354</v>
      </c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14962.689999999999</v>
      </c>
      <c r="E35" s="182">
        <f>SUM(E26:E34)</f>
        <v>11728</v>
      </c>
      <c r="F35" s="182">
        <f>SUM(F26:F34)</f>
        <v>10750</v>
      </c>
    </row>
    <row r="36" spans="1:6" ht="15.75">
      <c r="A36" s="35" t="s">
        <v>26</v>
      </c>
      <c r="B36" s="36"/>
      <c r="C36" s="200"/>
      <c r="D36" s="189">
        <f>+D24-D35</f>
        <v>2131.0499999999993</v>
      </c>
      <c r="E36" s="183">
        <f>+E24-E35</f>
        <v>437.3299999999999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10750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9813.23</v>
      </c>
    </row>
    <row r="40" spans="1:6" ht="15.75">
      <c r="A40" s="314" t="s">
        <v>167</v>
      </c>
      <c r="B40" s="315"/>
      <c r="C40" s="315"/>
      <c r="D40" s="315"/>
      <c r="E40" s="188">
        <v>0.01</v>
      </c>
      <c r="F40" s="21">
        <f>ROUND(IF($E$40&gt;0,($F$39*$E$40),0),0)</f>
        <v>98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9911.23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inputVehicle!G$5</f>
        <v>9718</v>
      </c>
      <c r="D51" s="128">
        <f>IF(C51&gt;0,ROUND(+C51*D$59,0)," ")</f>
        <v>135</v>
      </c>
      <c r="E51" s="128">
        <f>IF(C51&gt;0,ROUND(+C51*E$60,0)," ")</f>
        <v>6</v>
      </c>
      <c r="F51" s="128">
        <f>IF(C51&gt;0,ROUND(+C51*F$61,0)," ")</f>
        <v>5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9718</v>
      </c>
      <c r="D53" s="190">
        <f>SUM(D51:D52)</f>
        <v>135</v>
      </c>
      <c r="E53" s="190">
        <f>SUM(E51:E52)</f>
        <v>6</v>
      </c>
      <c r="F53" s="190">
        <f>SUM(F51:F52)</f>
        <v>5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inputVehicle!G$7</f>
        <v>135.46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inputVehicle!G$9</f>
        <v>5.57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inputVehicle!G$11</f>
        <v>5.1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0.01393908211566166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0.0005731632023050011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0.0005247993414282774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21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2">
      <selection activeCell="J43" sqref="J43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Cem1!C3</f>
        <v>Cemetery Dist. #1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inputComp!G$5</f>
        <v>9718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6">
        <f>inputComp!G7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9718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inputComp!G9</f>
        <v>397999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inputComp!G11</f>
        <v>503314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6">
        <f>inputComp!G13</f>
        <v>804564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5">
        <f>inputComp!G15</f>
        <v>133963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531962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inputComp!G17</f>
        <v>111085085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110553123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0.0048118224575166456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46.76129064214676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9764.761290642147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4">
        <f>inputComp!G19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9764.761290642147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145.76999999999998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9910.531290642148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s="78" customFormat="1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s="78" customFormat="1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26" t="s">
        <v>37</v>
      </c>
      <c r="F50" s="56" t="s">
        <v>315</v>
      </c>
      <c r="G50" s="1"/>
      <c r="H50" s="1"/>
      <c r="I50" s="1"/>
      <c r="J50" s="1"/>
    </row>
  </sheetData>
  <sheetProtection/>
  <mergeCells count="5">
    <mergeCell ref="A3:J3"/>
    <mergeCell ref="E4:G4"/>
    <mergeCell ref="A46:J46"/>
    <mergeCell ref="A47:J47"/>
    <mergeCell ref="A45:J45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2">
      <selection activeCell="F27" sqref="F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 t="str">
        <f>cert2!A13</f>
        <v>Cemetery Dist. #4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>
        <v>9146.85</v>
      </c>
      <c r="E9" s="21">
        <f>+D36</f>
        <v>9347.48</v>
      </c>
      <c r="F9" s="21">
        <f>+E36</f>
        <v>4867.48</v>
      </c>
    </row>
    <row r="10" spans="1:6" ht="15.75">
      <c r="A10" s="198" t="s">
        <v>14</v>
      </c>
      <c r="B10" s="199"/>
      <c r="C10" s="200"/>
      <c r="D10" s="195">
        <v>9842.57</v>
      </c>
      <c r="E10" s="37">
        <v>10115</v>
      </c>
      <c r="F10" s="20" t="s">
        <v>6</v>
      </c>
    </row>
    <row r="11" spans="1:6" ht="15.75">
      <c r="A11" s="35" t="s">
        <v>15</v>
      </c>
      <c r="B11" s="36"/>
      <c r="C11" s="200"/>
      <c r="D11" s="195">
        <f>31.22+12.87+241.69+0.06</f>
        <v>285.84</v>
      </c>
      <c r="E11" s="37"/>
      <c r="F11" s="37"/>
    </row>
    <row r="12" spans="1:6" ht="15.75">
      <c r="A12" s="35" t="s">
        <v>16</v>
      </c>
      <c r="B12" s="36"/>
      <c r="C12" s="200"/>
      <c r="D12" s="195">
        <v>1349.12</v>
      </c>
      <c r="E12" s="37">
        <v>1227</v>
      </c>
      <c r="F12" s="21">
        <f>D51</f>
        <v>1257</v>
      </c>
    </row>
    <row r="13" spans="1:6" ht="15.75">
      <c r="A13" s="35" t="s">
        <v>17</v>
      </c>
      <c r="B13" s="36"/>
      <c r="C13" s="200"/>
      <c r="D13" s="195">
        <v>38.1</v>
      </c>
      <c r="E13" s="37">
        <v>36</v>
      </c>
      <c r="F13" s="21">
        <f>E51</f>
        <v>35</v>
      </c>
    </row>
    <row r="14" spans="1:6" ht="15.75">
      <c r="A14" s="35" t="s">
        <v>86</v>
      </c>
      <c r="B14" s="36"/>
      <c r="C14" s="200"/>
      <c r="D14" s="195"/>
      <c r="E14" s="37">
        <v>142</v>
      </c>
      <c r="F14" s="21">
        <f>F51</f>
        <v>164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 t="s">
        <v>371</v>
      </c>
      <c r="B16" s="36"/>
      <c r="C16" s="200"/>
      <c r="D16" s="195"/>
      <c r="E16" s="37"/>
      <c r="F16" s="108">
        <v>42.04</v>
      </c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 t="s">
        <v>343</v>
      </c>
      <c r="B18" s="39"/>
      <c r="C18" s="201"/>
      <c r="D18" s="195"/>
      <c r="E18" s="37"/>
      <c r="F18" s="37"/>
    </row>
    <row r="19" spans="1:6" ht="15.75">
      <c r="A19" s="40" t="s">
        <v>355</v>
      </c>
      <c r="B19" s="39"/>
      <c r="C19" s="201"/>
      <c r="D19" s="195"/>
      <c r="E19" s="37"/>
      <c r="F19" s="37"/>
    </row>
    <row r="20" spans="1:6" ht="15.75">
      <c r="A20" s="38" t="s">
        <v>356</v>
      </c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11515.63</v>
      </c>
      <c r="E23" s="182">
        <f>SUM(E10:E22)</f>
        <v>11520</v>
      </c>
      <c r="F23" s="182">
        <f>SUM(F10:F22)</f>
        <v>1498.04</v>
      </c>
    </row>
    <row r="24" spans="1:6" ht="15.75">
      <c r="A24" s="43" t="s">
        <v>23</v>
      </c>
      <c r="B24" s="36"/>
      <c r="C24" s="200"/>
      <c r="D24" s="196">
        <f>+D9+D23</f>
        <v>20662.48</v>
      </c>
      <c r="E24" s="182">
        <f>+E9+E23</f>
        <v>20867.48</v>
      </c>
      <c r="F24" s="182">
        <f>+F9+F23</f>
        <v>6365.5199999999995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 t="s">
        <v>346</v>
      </c>
      <c r="B26" s="39"/>
      <c r="C26" s="201"/>
      <c r="D26" s="195"/>
      <c r="E26" s="37">
        <v>1000</v>
      </c>
      <c r="F26" s="37">
        <v>1071</v>
      </c>
    </row>
    <row r="27" spans="1:6" ht="15.75">
      <c r="A27" s="41" t="s">
        <v>357</v>
      </c>
      <c r="B27" s="39"/>
      <c r="C27" s="201"/>
      <c r="D27" s="195"/>
      <c r="E27" s="37"/>
      <c r="F27" s="37"/>
    </row>
    <row r="28" spans="1:6" ht="15.75">
      <c r="A28" s="41" t="s">
        <v>347</v>
      </c>
      <c r="B28" s="39"/>
      <c r="C28" s="201"/>
      <c r="D28" s="195">
        <v>11250</v>
      </c>
      <c r="E28" s="37">
        <v>14000</v>
      </c>
      <c r="F28" s="37">
        <v>14500</v>
      </c>
    </row>
    <row r="29" spans="1:6" ht="15.75">
      <c r="A29" s="41" t="s">
        <v>358</v>
      </c>
      <c r="B29" s="39"/>
      <c r="C29" s="201"/>
      <c r="D29" s="195"/>
      <c r="E29" s="37"/>
      <c r="F29" s="37"/>
    </row>
    <row r="30" spans="1:6" ht="15.75">
      <c r="A30" s="38" t="s">
        <v>359</v>
      </c>
      <c r="B30" s="39"/>
      <c r="C30" s="201"/>
      <c r="D30" s="195"/>
      <c r="E30" s="37"/>
      <c r="F30" s="37"/>
    </row>
    <row r="31" spans="1:6" ht="15.75">
      <c r="A31" s="38" t="s">
        <v>360</v>
      </c>
      <c r="B31" s="39"/>
      <c r="C31" s="201"/>
      <c r="D31" s="195"/>
      <c r="E31" s="37">
        <v>1000</v>
      </c>
      <c r="F31" s="37">
        <v>1000</v>
      </c>
    </row>
    <row r="32" spans="1:6" ht="15.75">
      <c r="A32" s="38" t="s">
        <v>370</v>
      </c>
      <c r="B32" s="39"/>
      <c r="C32" s="201"/>
      <c r="D32" s="195">
        <v>65</v>
      </c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11315</v>
      </c>
      <c r="E35" s="182">
        <f>SUM(E26:E34)</f>
        <v>16000</v>
      </c>
      <c r="F35" s="182">
        <f>SUM(F26:F34)</f>
        <v>16571</v>
      </c>
    </row>
    <row r="36" spans="1:6" ht="15.75">
      <c r="A36" s="35" t="s">
        <v>26</v>
      </c>
      <c r="B36" s="36"/>
      <c r="C36" s="200"/>
      <c r="D36" s="189">
        <f>+D24-D35</f>
        <v>9347.48</v>
      </c>
      <c r="E36" s="183">
        <f>+E24-E35</f>
        <v>4867.48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16571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10205.48</v>
      </c>
    </row>
    <row r="40" spans="1:6" ht="15.75">
      <c r="A40" s="314" t="s">
        <v>167</v>
      </c>
      <c r="B40" s="315"/>
      <c r="C40" s="315"/>
      <c r="D40" s="315"/>
      <c r="E40" s="188">
        <v>0.03</v>
      </c>
      <c r="F40" s="183">
        <f>ROUND(IF($E$40&gt;0,($F$39*$E$40),0),0)</f>
        <v>306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10511.48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inputVehicle!H$5</f>
        <v>10115</v>
      </c>
      <c r="D51" s="128">
        <f>IF(C51&gt;0,ROUND(+C51*D$59,0)," ")</f>
        <v>1257</v>
      </c>
      <c r="E51" s="128">
        <f>IF(C51&gt;0,ROUND(+C51*E$60,0)," ")</f>
        <v>35</v>
      </c>
      <c r="F51" s="128">
        <f>IF(C51&gt;0,ROUND(+C51*F$61,0)," ")</f>
        <v>164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10115</v>
      </c>
      <c r="D53" s="190">
        <f>SUM(D51:D52)</f>
        <v>1257</v>
      </c>
      <c r="E53" s="190">
        <f>SUM(E51:E52)</f>
        <v>35</v>
      </c>
      <c r="F53" s="190">
        <f>SUM(F51:F52)</f>
        <v>164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inputVehicle!H$7</f>
        <v>1256.59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inputVehicle!H$9</f>
        <v>35.29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inputVehicle!H$11</f>
        <v>164.37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0.12423035096391497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0.0034888779041028174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0.0162501235788433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22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2">
      <selection activeCell="A42" sqref="A4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Cem4!C3</f>
        <v>Cemetery Dist. #4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inputComp!H$5</f>
        <v>10115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inputComp!H$7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10115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inputComp!H$9</f>
        <v>83598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inputComp!H$11</f>
        <v>213630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inputComp!H$13</f>
        <v>285072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inputComp!H15</f>
        <v>117511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201109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inputComp!H$17</f>
        <v>8533572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8332463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0.02413560072213942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244.13160130444024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10359.13160130444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inputComp!H$19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10359.13160130444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151.725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10510.85660130444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s="78" customFormat="1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s="78" customFormat="1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26" t="s">
        <v>37</v>
      </c>
      <c r="F50" s="56" t="s">
        <v>316</v>
      </c>
      <c r="G50" s="1"/>
      <c r="H50" s="1"/>
      <c r="I50" s="1"/>
      <c r="J50" s="1"/>
    </row>
  </sheetData>
  <sheetProtection/>
  <mergeCells count="5">
    <mergeCell ref="A3:J3"/>
    <mergeCell ref="E4:G4"/>
    <mergeCell ref="A46:J46"/>
    <mergeCell ref="A47:J47"/>
    <mergeCell ref="A45:J45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 t="str">
        <f>cert2!A14</f>
        <v>Cemetery Dist. #5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>
        <v>1024.64</v>
      </c>
      <c r="E9" s="21">
        <f>+D36</f>
        <v>801.869999999999</v>
      </c>
      <c r="F9" s="21">
        <f>+E36</f>
        <v>763.1299999999992</v>
      </c>
    </row>
    <row r="10" spans="1:6" ht="15.75">
      <c r="A10" s="198" t="s">
        <v>14</v>
      </c>
      <c r="B10" s="199"/>
      <c r="C10" s="200"/>
      <c r="D10" s="195">
        <v>6911.7</v>
      </c>
      <c r="E10" s="37">
        <v>7733</v>
      </c>
      <c r="F10" s="20" t="s">
        <v>6</v>
      </c>
    </row>
    <row r="11" spans="1:6" ht="15.75">
      <c r="A11" s="35" t="s">
        <v>15</v>
      </c>
      <c r="B11" s="36"/>
      <c r="C11" s="200"/>
      <c r="D11" s="195">
        <f>16.04+3.06+141.75+0.02</f>
        <v>160.87</v>
      </c>
      <c r="E11" s="37">
        <v>58</v>
      </c>
      <c r="F11" s="37"/>
    </row>
    <row r="12" spans="1:6" ht="15.75">
      <c r="A12" s="35" t="s">
        <v>16</v>
      </c>
      <c r="B12" s="36"/>
      <c r="C12" s="200"/>
      <c r="D12" s="195">
        <v>669.96</v>
      </c>
      <c r="E12" s="37">
        <v>542</v>
      </c>
      <c r="F12" s="21">
        <f>D51</f>
        <v>683</v>
      </c>
    </row>
    <row r="13" spans="1:6" ht="15.75">
      <c r="A13" s="35" t="s">
        <v>17</v>
      </c>
      <c r="B13" s="36"/>
      <c r="C13" s="200"/>
      <c r="D13" s="195">
        <v>8.94</v>
      </c>
      <c r="E13" s="37">
        <v>5</v>
      </c>
      <c r="F13" s="21">
        <f>E51</f>
        <v>13</v>
      </c>
    </row>
    <row r="14" spans="1:6" ht="15.75">
      <c r="A14" s="35" t="s">
        <v>86</v>
      </c>
      <c r="B14" s="36"/>
      <c r="C14" s="200"/>
      <c r="D14" s="195"/>
      <c r="E14" s="37">
        <v>70</v>
      </c>
      <c r="F14" s="21">
        <f>F51</f>
        <v>57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 t="s">
        <v>371</v>
      </c>
      <c r="B16" s="36"/>
      <c r="C16" s="200"/>
      <c r="D16" s="195"/>
      <c r="E16" s="37"/>
      <c r="F16" s="108">
        <v>11.23</v>
      </c>
    </row>
    <row r="17" spans="1:6" ht="15.75">
      <c r="A17" s="38" t="s">
        <v>20</v>
      </c>
      <c r="B17" s="39"/>
      <c r="C17" s="201"/>
      <c r="D17" s="195">
        <v>297.27</v>
      </c>
      <c r="E17" s="37">
        <v>316</v>
      </c>
      <c r="F17" s="37">
        <v>320.36</v>
      </c>
    </row>
    <row r="18" spans="1:6" ht="15.75">
      <c r="A18" s="40" t="s">
        <v>343</v>
      </c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>
        <v>3.36</v>
      </c>
      <c r="E22" s="37">
        <v>4.09</v>
      </c>
      <c r="F22" s="37"/>
    </row>
    <row r="23" spans="1:6" ht="15.75">
      <c r="A23" s="43" t="s">
        <v>22</v>
      </c>
      <c r="B23" s="36"/>
      <c r="C23" s="200"/>
      <c r="D23" s="196">
        <f>SUM(D10:D22)</f>
        <v>8052.099999999999</v>
      </c>
      <c r="E23" s="182">
        <f>SUM(E10:E22)</f>
        <v>8728.09</v>
      </c>
      <c r="F23" s="182">
        <f>SUM(F10:F22)</f>
        <v>1084.5900000000001</v>
      </c>
    </row>
    <row r="24" spans="1:6" ht="15.75">
      <c r="A24" s="43" t="s">
        <v>23</v>
      </c>
      <c r="B24" s="36"/>
      <c r="C24" s="200"/>
      <c r="D24" s="196">
        <f>+D9+D23</f>
        <v>9076.74</v>
      </c>
      <c r="E24" s="182">
        <f>+E9+E23</f>
        <v>9529.96</v>
      </c>
      <c r="F24" s="182">
        <f>+F9+F23</f>
        <v>1847.7199999999993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 t="s">
        <v>346</v>
      </c>
      <c r="B26" s="39"/>
      <c r="C26" s="201"/>
      <c r="D26" s="195">
        <v>354.77</v>
      </c>
      <c r="E26" s="37">
        <f>57.2+240+240+38.66+40+15.97+80+15</f>
        <v>726.83</v>
      </c>
      <c r="F26" s="37">
        <v>1254</v>
      </c>
    </row>
    <row r="27" spans="1:6" ht="15.75">
      <c r="A27" s="41" t="s">
        <v>347</v>
      </c>
      <c r="B27" s="39"/>
      <c r="C27" s="201"/>
      <c r="D27" s="195">
        <v>5445</v>
      </c>
      <c r="E27" s="37">
        <f>2475+3465</f>
        <v>5940</v>
      </c>
      <c r="F27" s="37">
        <v>5940</v>
      </c>
    </row>
    <row r="28" spans="1:6" ht="15.75">
      <c r="A28" s="41" t="s">
        <v>361</v>
      </c>
      <c r="B28" s="39"/>
      <c r="C28" s="201"/>
      <c r="D28" s="195">
        <v>825</v>
      </c>
      <c r="E28" s="37"/>
      <c r="F28" s="37"/>
    </row>
    <row r="29" spans="1:6" ht="15.75">
      <c r="A29" s="41" t="s">
        <v>357</v>
      </c>
      <c r="B29" s="39"/>
      <c r="C29" s="201"/>
      <c r="D29" s="195"/>
      <c r="E29" s="37"/>
      <c r="F29" s="37"/>
    </row>
    <row r="30" spans="1:6" ht="15.75">
      <c r="A30" s="38" t="s">
        <v>362</v>
      </c>
      <c r="B30" s="39"/>
      <c r="C30" s="201"/>
      <c r="D30" s="195">
        <f>450+200.1</f>
        <v>650.1</v>
      </c>
      <c r="E30" s="37">
        <f>400+300+800</f>
        <v>1500</v>
      </c>
      <c r="F30" s="37">
        <v>1600</v>
      </c>
    </row>
    <row r="31" spans="1:6" ht="15.75">
      <c r="A31" s="38" t="s">
        <v>363</v>
      </c>
      <c r="B31" s="39"/>
      <c r="C31" s="201"/>
      <c r="D31" s="195">
        <v>1000</v>
      </c>
      <c r="E31" s="37">
        <v>600</v>
      </c>
      <c r="F31" s="37">
        <v>1000</v>
      </c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8274.87</v>
      </c>
      <c r="E35" s="182">
        <f>SUM(E26:E34)</f>
        <v>8766.83</v>
      </c>
      <c r="F35" s="182">
        <f>SUM(F26:F34)</f>
        <v>9794</v>
      </c>
    </row>
    <row r="36" spans="1:6" ht="15.75">
      <c r="A36" s="35" t="s">
        <v>26</v>
      </c>
      <c r="B36" s="36"/>
      <c r="C36" s="200"/>
      <c r="D36" s="189">
        <f>+D24-D35</f>
        <v>801.869999999999</v>
      </c>
      <c r="E36" s="183">
        <f>+E24-E35</f>
        <v>763.1299999999992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9794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7946.280000000001</v>
      </c>
    </row>
    <row r="40" spans="1:6" ht="15.75">
      <c r="A40" s="314" t="s">
        <v>167</v>
      </c>
      <c r="B40" s="315"/>
      <c r="C40" s="315"/>
      <c r="D40" s="315"/>
      <c r="E40" s="188">
        <v>0.005</v>
      </c>
      <c r="F40" s="183">
        <f>ROUND(IF($E$40&gt;0,($F$39*$E$40),0),0)</f>
        <v>40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7986.280000000001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inputVehicle!I$5</f>
        <v>7733</v>
      </c>
      <c r="D51" s="128">
        <f>IF(C51&gt;0,ROUND(+C51*D$59,0)," ")</f>
        <v>683</v>
      </c>
      <c r="E51" s="128">
        <f>IF(C51&gt;0,ROUND(+C51*E$60,0)," ")</f>
        <v>13</v>
      </c>
      <c r="F51" s="128">
        <f>IF(C51&gt;0,ROUND(+C51*F$61,0)," ")</f>
        <v>57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7733</v>
      </c>
      <c r="D53" s="190">
        <f>SUM(D51:D52)</f>
        <v>683</v>
      </c>
      <c r="E53" s="190">
        <f>SUM(E51:E52)</f>
        <v>13</v>
      </c>
      <c r="F53" s="190">
        <f>SUM(F51:F52)</f>
        <v>57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inputVehicle!I$7</f>
        <v>683.48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inputVehicle!I$9</f>
        <v>13.45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inputVehicle!I$11</f>
        <v>56.73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0.08838484417431786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0.0017392991077201602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0.007336092072934178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23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2">
      <selection activeCell="J42" sqref="J4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Cem5!C3</f>
        <v>Cemetery Dist. #5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inputComp!$I$5</f>
        <v>7733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inputComp!$I$7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7733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inputComp!$I$9</f>
        <v>1666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inputComp!$I$11</f>
        <v>19821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inputComp!$I$13</f>
        <v>28322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inputComp!$I$15</f>
        <v>45190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46856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inputComp!$I$17</f>
        <v>2701132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2654276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0.01765302477963859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136.5108406209452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7869.510840620946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inputComp!$I$19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7869.510840620946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115.99499999999999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7985.5058406209455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s="78" customFormat="1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s="78" customFormat="1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26" t="s">
        <v>37</v>
      </c>
      <c r="F50" s="56" t="s">
        <v>317</v>
      </c>
      <c r="G50" s="1"/>
      <c r="H50" s="1"/>
      <c r="I50" s="1"/>
      <c r="J50" s="1"/>
    </row>
  </sheetData>
  <sheetProtection/>
  <mergeCells count="5">
    <mergeCell ref="A3:J3"/>
    <mergeCell ref="E4:G4"/>
    <mergeCell ref="A46:J46"/>
    <mergeCell ref="A47:J47"/>
    <mergeCell ref="A45:J45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3">
      <selection activeCell="F11" sqref="F1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 t="str">
        <f>cert2!A15</f>
        <v>Sewer Dist. #1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>
        <v>10188</v>
      </c>
      <c r="E9" s="21">
        <f>+D36</f>
        <v>10188</v>
      </c>
      <c r="F9" s="21">
        <f>+E36</f>
        <v>10723.400000000001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 t="s">
        <v>364</v>
      </c>
      <c r="B18" s="39"/>
      <c r="C18" s="201"/>
      <c r="D18" s="195">
        <v>6218.13</v>
      </c>
      <c r="E18" s="195">
        <v>6218.13</v>
      </c>
      <c r="F18" s="195">
        <v>6218.13</v>
      </c>
    </row>
    <row r="19" spans="1:6" ht="15.75">
      <c r="A19" s="40" t="s">
        <v>365</v>
      </c>
      <c r="B19" s="39"/>
      <c r="C19" s="201"/>
      <c r="D19" s="195">
        <v>3232.47</v>
      </c>
      <c r="E19" s="195">
        <v>3232.47</v>
      </c>
      <c r="F19" s="195">
        <v>3232.47</v>
      </c>
    </row>
    <row r="20" spans="1:6" ht="15.75">
      <c r="A20" s="38" t="s">
        <v>366</v>
      </c>
      <c r="B20" s="39"/>
      <c r="C20" s="201"/>
      <c r="D20" s="195">
        <v>2456.74</v>
      </c>
      <c r="E20" s="195">
        <v>2456.74</v>
      </c>
      <c r="F20" s="195">
        <v>2456.74</v>
      </c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11907.34</v>
      </c>
      <c r="E23" s="182">
        <f>SUM(E10:E22)</f>
        <v>11907.34</v>
      </c>
      <c r="F23" s="182">
        <f>SUM(F10:F22)</f>
        <v>11907.34</v>
      </c>
    </row>
    <row r="24" spans="1:6" ht="15.75">
      <c r="A24" s="43" t="s">
        <v>23</v>
      </c>
      <c r="B24" s="36"/>
      <c r="C24" s="200"/>
      <c r="D24" s="196">
        <f>+D9+D23</f>
        <v>22095.34</v>
      </c>
      <c r="E24" s="182">
        <f>+E9+E23</f>
        <v>22095.34</v>
      </c>
      <c r="F24" s="182">
        <f>+F9+F23</f>
        <v>22630.74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 t="s">
        <v>346</v>
      </c>
      <c r="B26" s="39"/>
      <c r="C26" s="201"/>
      <c r="D26" s="195">
        <v>5857.21</v>
      </c>
      <c r="E26" s="37">
        <v>5322.53</v>
      </c>
      <c r="F26" s="37">
        <v>13103.78</v>
      </c>
    </row>
    <row r="27" spans="1:6" ht="15.75">
      <c r="A27" s="41" t="s">
        <v>367</v>
      </c>
      <c r="B27" s="39"/>
      <c r="C27" s="201"/>
      <c r="D27" s="195"/>
      <c r="E27" s="37"/>
      <c r="F27" s="37"/>
    </row>
    <row r="28" spans="1:6" ht="15.75">
      <c r="A28" s="41" t="s">
        <v>368</v>
      </c>
      <c r="B28" s="39"/>
      <c r="C28" s="201"/>
      <c r="D28" s="195">
        <v>1472</v>
      </c>
      <c r="E28" s="37">
        <v>1532</v>
      </c>
      <c r="F28" s="37">
        <v>1595</v>
      </c>
    </row>
    <row r="29" spans="1:6" ht="15.75">
      <c r="A29" s="41" t="s">
        <v>369</v>
      </c>
      <c r="B29" s="39"/>
      <c r="C29" s="201"/>
      <c r="D29" s="195">
        <v>4578.13</v>
      </c>
      <c r="E29" s="37">
        <v>4517.41</v>
      </c>
      <c r="F29" s="37">
        <v>4454.22</v>
      </c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202">
        <f>SUM(D26:D34)</f>
        <v>11907.34</v>
      </c>
      <c r="E35" s="45">
        <f>SUM(E26:E34)</f>
        <v>11371.939999999999</v>
      </c>
      <c r="F35" s="45">
        <f>SUM(F26:F34)</f>
        <v>19153</v>
      </c>
    </row>
    <row r="36" spans="1:6" ht="15.75">
      <c r="A36" s="35" t="s">
        <v>26</v>
      </c>
      <c r="B36" s="36"/>
      <c r="C36" s="200"/>
      <c r="D36" s="189">
        <f>+D24-D35</f>
        <v>10188</v>
      </c>
      <c r="E36" s="183">
        <f>+E24-E35</f>
        <v>10723.400000000001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19153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inputVehicle!J$5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inputVehicle!J$7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inputVehicle!J$9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inputVehicle!J$11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24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32">
      <selection activeCell="A45" sqref="A45:J4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Sewer1!C3</f>
        <v>Sewer Dist. #1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inputComp!$J$5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inputComp!$J$7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inputComp!$J$9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inputComp!$J$11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inputComp!$J$13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inputComp!$J$15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inputComp!$J$17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inputComp!$J$19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0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0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s="78" customFormat="1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s="78" customFormat="1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26" t="s">
        <v>37</v>
      </c>
      <c r="F50" s="56" t="s">
        <v>318</v>
      </c>
      <c r="G50" s="1"/>
      <c r="H50" s="1"/>
      <c r="I50" s="1"/>
      <c r="J50" s="1"/>
    </row>
  </sheetData>
  <sheetProtection/>
  <mergeCells count="5">
    <mergeCell ref="A3:J3"/>
    <mergeCell ref="E4:G4"/>
    <mergeCell ref="A46:J46"/>
    <mergeCell ref="A47:J47"/>
    <mergeCell ref="A45:J45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cert2!A16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38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inputVehicle!K$5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inputVehicle!K$7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inputVehicle!K$9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inputVehicle!K$11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6384" width="9.140625" style="3" customWidth="1"/>
  </cols>
  <sheetData>
    <row r="3" spans="2:9" ht="15.75">
      <c r="B3" s="294" t="s">
        <v>179</v>
      </c>
      <c r="C3" s="295"/>
      <c r="D3" s="295"/>
      <c r="E3" s="295"/>
      <c r="F3" s="295"/>
      <c r="G3" s="295"/>
      <c r="H3" s="295"/>
      <c r="I3" s="295"/>
    </row>
    <row r="4" spans="2:9" ht="15.75">
      <c r="B4" s="266"/>
      <c r="C4" s="266"/>
      <c r="D4" s="266"/>
      <c r="E4" s="266"/>
      <c r="F4" s="266"/>
      <c r="G4" s="266"/>
      <c r="H4" s="266"/>
      <c r="I4" s="266"/>
    </row>
    <row r="5" spans="2:9" ht="15.75">
      <c r="B5" s="266" t="s">
        <v>164</v>
      </c>
      <c r="C5" s="266"/>
      <c r="D5" s="266"/>
      <c r="E5" s="266"/>
      <c r="F5" s="270" t="s">
        <v>301</v>
      </c>
      <c r="G5" s="271"/>
      <c r="H5" s="272"/>
      <c r="I5" s="266"/>
    </row>
    <row r="6" spans="2:9" ht="15.75">
      <c r="B6" s="266"/>
      <c r="C6" s="266"/>
      <c r="D6" s="266"/>
      <c r="E6" s="266" t="s">
        <v>228</v>
      </c>
      <c r="F6" s="266" t="s">
        <v>229</v>
      </c>
      <c r="G6" s="266"/>
      <c r="H6" s="267"/>
      <c r="I6" s="266"/>
    </row>
    <row r="7" spans="2:9" ht="15.75">
      <c r="B7" s="266"/>
      <c r="C7" s="266"/>
      <c r="D7" s="266"/>
      <c r="E7" s="266"/>
      <c r="F7" s="266"/>
      <c r="G7" s="266"/>
      <c r="H7" s="266"/>
      <c r="I7" s="266"/>
    </row>
    <row r="8" spans="2:9" ht="15.75">
      <c r="B8" s="266" t="s">
        <v>296</v>
      </c>
      <c r="C8" s="266"/>
      <c r="D8" s="266"/>
      <c r="E8" s="266"/>
      <c r="F8" s="176">
        <v>2015</v>
      </c>
      <c r="G8" s="266"/>
      <c r="H8" s="266"/>
      <c r="I8" s="266"/>
    </row>
    <row r="9" spans="2:9" ht="15.75">
      <c r="B9" s="266"/>
      <c r="C9" s="266"/>
      <c r="D9" s="266"/>
      <c r="E9" s="266" t="s">
        <v>228</v>
      </c>
      <c r="F9" s="266" t="s">
        <v>210</v>
      </c>
      <c r="G9" s="266"/>
      <c r="H9" s="266"/>
      <c r="I9" s="266"/>
    </row>
    <row r="10" spans="2:9" ht="15.75">
      <c r="B10" s="266"/>
      <c r="C10" s="266"/>
      <c r="D10" s="266"/>
      <c r="E10" s="266"/>
      <c r="F10" s="266"/>
      <c r="G10" s="266"/>
      <c r="H10" s="266"/>
      <c r="I10" s="266"/>
    </row>
  </sheetData>
  <sheetProtection sheet="1"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inputComp!$K$5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inputComp!$K$7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inputComp!$K$9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inputComp!$K$11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inputComp!$K$13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inputComp!$K$15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inputComp!$K$17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inputComp!$K$19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cert2!A17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inputVehicle!L$5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inputVehicle!L$7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inputVehicle!L$9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inputVehicle!L$11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inputComp!$L$5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inputComp!$L$7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inputComp!$L$9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inputComp!$L$11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inputComp!$L$13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inputComp!$L$15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inputComp!$L$17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inputComp!$L$19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cert2!A18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inputVehicle!M$5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inputVehicle!M$7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inputVehicle!M$9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inputVehicle!M$11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inputComp!$M$5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inputComp!$M$7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inputComp!$M$9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inputComp!$M$11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inputComp!$M$13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inputComp!$M$15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inputComp!$M$17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inputComp!$M$19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cert2!A19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inputVehicle!N$5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inputVehicle!N$7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inputVehicle!N$9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inputVehicle!N$11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inputComp!$N$5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inputComp!$N$7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inputComp!$N$9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inputComp!$N$11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inputComp!$N$13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inputComp!$N$15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inputComp!$N$17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inputComp!$N$19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cert2!A20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inputVehicle!O$5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inputVehicle!O$7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inputVehicle!O$9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inputVehicle!O$11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inputComp!$O$5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inputComp!$O$7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inputComp!$O$9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inputComp!$O$11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inputComp!$O$13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inputComp!$O$15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inputComp!$O$17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inputComp!$O$19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cert2!A21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3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89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inputVehicle!P$5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inputVehicle!P$7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inputVehicle!P$9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inputVehicle!P$11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9" sqref="F9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97" t="s">
        <v>234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33" ht="12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33" ht="15.75">
      <c r="A3" s="257"/>
      <c r="B3" s="257"/>
      <c r="C3" s="257"/>
      <c r="D3" s="257"/>
      <c r="E3" s="258" t="s">
        <v>235</v>
      </c>
      <c r="F3" s="258" t="s">
        <v>236</v>
      </c>
      <c r="G3" s="258" t="s">
        <v>237</v>
      </c>
      <c r="H3" s="258" t="s">
        <v>238</v>
      </c>
      <c r="I3" s="258" t="s">
        <v>239</v>
      </c>
      <c r="J3" s="258" t="s">
        <v>240</v>
      </c>
      <c r="K3" s="258" t="s">
        <v>241</v>
      </c>
      <c r="L3" s="258" t="s">
        <v>242</v>
      </c>
      <c r="M3" s="258" t="s">
        <v>243</v>
      </c>
      <c r="N3" s="258" t="s">
        <v>244</v>
      </c>
      <c r="O3" s="258" t="s">
        <v>245</v>
      </c>
      <c r="P3" s="258" t="s">
        <v>246</v>
      </c>
      <c r="Q3" s="258" t="s">
        <v>247</v>
      </c>
      <c r="R3" s="258" t="s">
        <v>248</v>
      </c>
      <c r="S3" s="258" t="s">
        <v>249</v>
      </c>
      <c r="T3" s="258" t="s">
        <v>250</v>
      </c>
      <c r="U3" s="258" t="s">
        <v>251</v>
      </c>
      <c r="V3" s="258" t="s">
        <v>252</v>
      </c>
      <c r="W3" s="258" t="s">
        <v>253</v>
      </c>
      <c r="X3" s="258" t="s">
        <v>254</v>
      </c>
      <c r="Y3" s="258" t="s">
        <v>255</v>
      </c>
      <c r="Z3" s="258" t="s">
        <v>256</v>
      </c>
      <c r="AA3" s="258" t="s">
        <v>257</v>
      </c>
      <c r="AB3" s="258" t="s">
        <v>258</v>
      </c>
      <c r="AC3" s="258" t="s">
        <v>259</v>
      </c>
      <c r="AD3" s="258" t="s">
        <v>260</v>
      </c>
      <c r="AE3" s="258" t="s">
        <v>261</v>
      </c>
      <c r="AF3" s="258" t="s">
        <v>262</v>
      </c>
      <c r="AG3" s="258" t="s">
        <v>263</v>
      </c>
    </row>
    <row r="4" spans="1:33" ht="15.75">
      <c r="A4" s="257"/>
      <c r="B4" s="257"/>
      <c r="C4" s="257"/>
      <c r="D4" s="257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</row>
    <row r="5" spans="1:33" ht="15.75">
      <c r="A5" s="296" t="str">
        <f>CONCATENATE("Tax Levy Amount in ",input!$F$8-1,":")</f>
        <v>Tax Levy Amount in 2014:</v>
      </c>
      <c r="B5" s="296"/>
      <c r="C5" s="296"/>
      <c r="D5" s="259"/>
      <c r="E5" s="260">
        <v>431609</v>
      </c>
      <c r="F5" s="261">
        <v>0</v>
      </c>
      <c r="G5" s="261">
        <v>9718</v>
      </c>
      <c r="H5" s="261">
        <v>10115</v>
      </c>
      <c r="I5" s="261">
        <v>7733</v>
      </c>
      <c r="J5" s="261">
        <v>0</v>
      </c>
      <c r="K5" s="261"/>
      <c r="L5" s="261"/>
      <c r="M5" s="261"/>
      <c r="N5" s="261"/>
      <c r="O5" s="261"/>
      <c r="P5" s="261"/>
      <c r="Q5" s="261"/>
      <c r="R5" s="262"/>
      <c r="S5" s="263"/>
      <c r="T5" s="261"/>
      <c r="U5" s="261"/>
      <c r="V5" s="262"/>
      <c r="W5" s="261"/>
      <c r="X5" s="262"/>
      <c r="Y5" s="263"/>
      <c r="Z5" s="263"/>
      <c r="AA5" s="263"/>
      <c r="AB5" s="263"/>
      <c r="AC5" s="261"/>
      <c r="AD5" s="262"/>
      <c r="AE5" s="261"/>
      <c r="AF5" s="260"/>
      <c r="AG5" s="260"/>
    </row>
    <row r="6" spans="1:33" ht="15.75">
      <c r="A6" s="258"/>
      <c r="B6" s="258"/>
      <c r="C6" s="258"/>
      <c r="D6" s="258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3" ht="15.75">
      <c r="A7" s="296" t="str">
        <f>CONCATENATE("Debt Service Levy in ",input!$F$8-1,":")</f>
        <v>Debt Service Levy in 2014:</v>
      </c>
      <c r="B7" s="296"/>
      <c r="C7" s="296"/>
      <c r="D7" s="259"/>
      <c r="E7" s="260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/>
      <c r="L7" s="261"/>
      <c r="M7" s="261"/>
      <c r="N7" s="261"/>
      <c r="O7" s="261"/>
      <c r="P7" s="261"/>
      <c r="Q7" s="261"/>
      <c r="R7" s="262"/>
      <c r="S7" s="261"/>
      <c r="T7" s="262"/>
      <c r="U7" s="261"/>
      <c r="V7" s="262"/>
      <c r="W7" s="261"/>
      <c r="X7" s="261"/>
      <c r="Y7" s="261"/>
      <c r="Z7" s="261"/>
      <c r="AA7" s="261"/>
      <c r="AB7" s="261"/>
      <c r="AC7" s="263"/>
      <c r="AD7" s="261"/>
      <c r="AE7" s="260"/>
      <c r="AF7" s="260"/>
      <c r="AG7" s="260"/>
    </row>
    <row r="8" spans="1:33" ht="15.75">
      <c r="A8" s="258"/>
      <c r="B8" s="258"/>
      <c r="C8" s="258"/>
      <c r="D8" s="258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</row>
    <row r="9" spans="1:33" ht="15.75">
      <c r="A9" s="296" t="str">
        <f>CONCATENATE("New Improvement for ",input!$F$8-1,":")</f>
        <v>New Improvement for 2014:</v>
      </c>
      <c r="B9" s="296"/>
      <c r="C9" s="296"/>
      <c r="D9" s="259"/>
      <c r="E9" s="260">
        <v>646015</v>
      </c>
      <c r="F9" s="261"/>
      <c r="G9" s="260">
        <v>397999</v>
      </c>
      <c r="H9" s="260">
        <v>83598</v>
      </c>
      <c r="I9" s="260">
        <v>1666</v>
      </c>
      <c r="J9" s="260"/>
      <c r="K9" s="260"/>
      <c r="L9" s="261"/>
      <c r="M9" s="261"/>
      <c r="N9" s="261"/>
      <c r="O9" s="261"/>
      <c r="P9" s="261"/>
      <c r="Q9" s="261"/>
      <c r="R9" s="261"/>
      <c r="S9" s="261"/>
      <c r="T9" s="261"/>
      <c r="U9" s="262"/>
      <c r="V9" s="261"/>
      <c r="W9" s="262"/>
      <c r="X9" s="261"/>
      <c r="Y9" s="262"/>
      <c r="Z9" s="261"/>
      <c r="AA9" s="261"/>
      <c r="AB9" s="262"/>
      <c r="AC9" s="263"/>
      <c r="AD9" s="261"/>
      <c r="AE9" s="260"/>
      <c r="AF9" s="260"/>
      <c r="AG9" s="260"/>
    </row>
    <row r="10" spans="1:33" ht="15.75">
      <c r="A10" s="258"/>
      <c r="B10" s="258"/>
      <c r="C10" s="258"/>
      <c r="D10" s="258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</row>
    <row r="11" spans="1:33" ht="15.75">
      <c r="A11" s="296" t="str">
        <f>CONCATENATE("Personal Property ",input!$F$8-1,":")</f>
        <v>Personal Property 2014:</v>
      </c>
      <c r="B11" s="296"/>
      <c r="C11" s="296"/>
      <c r="D11" s="259"/>
      <c r="E11" s="260">
        <v>1527001</v>
      </c>
      <c r="F11" s="261"/>
      <c r="G11" s="260">
        <v>503314</v>
      </c>
      <c r="H11" s="260">
        <v>213630</v>
      </c>
      <c r="I11" s="260">
        <v>19821</v>
      </c>
      <c r="J11" s="260"/>
      <c r="K11" s="260"/>
      <c r="L11" s="261"/>
      <c r="M11" s="262"/>
      <c r="N11" s="261"/>
      <c r="O11" s="262"/>
      <c r="P11" s="261"/>
      <c r="Q11" s="262"/>
      <c r="R11" s="261"/>
      <c r="S11" s="261"/>
      <c r="T11" s="261"/>
      <c r="U11" s="261"/>
      <c r="V11" s="261"/>
      <c r="W11" s="261"/>
      <c r="X11" s="261"/>
      <c r="Y11" s="261"/>
      <c r="Z11" s="262"/>
      <c r="AA11" s="261"/>
      <c r="AB11" s="261"/>
      <c r="AC11" s="261"/>
      <c r="AD11" s="260"/>
      <c r="AE11" s="260"/>
      <c r="AF11" s="264"/>
      <c r="AG11" s="261"/>
    </row>
    <row r="12" spans="1:33" ht="15.75">
      <c r="A12" s="258"/>
      <c r="B12" s="258"/>
      <c r="C12" s="258"/>
      <c r="D12" s="258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</row>
    <row r="13" spans="1:33" ht="15.75">
      <c r="A13" s="296" t="str">
        <f>CONCATENATE("Personal Property ",input!$F$8-2,":")</f>
        <v>Personal Property 2013:</v>
      </c>
      <c r="B13" s="296"/>
      <c r="C13" s="296"/>
      <c r="D13" s="259"/>
      <c r="E13" s="260">
        <v>2246454</v>
      </c>
      <c r="F13" s="262"/>
      <c r="G13" s="261">
        <v>804564</v>
      </c>
      <c r="H13" s="260">
        <v>285072</v>
      </c>
      <c r="I13" s="260">
        <v>28322</v>
      </c>
      <c r="J13" s="260"/>
      <c r="K13" s="260"/>
      <c r="L13" s="261"/>
      <c r="M13" s="262"/>
      <c r="N13" s="261"/>
      <c r="O13" s="261"/>
      <c r="P13" s="261"/>
      <c r="Q13" s="261"/>
      <c r="R13" s="262"/>
      <c r="S13" s="261"/>
      <c r="T13" s="262"/>
      <c r="U13" s="263"/>
      <c r="V13" s="263"/>
      <c r="W13" s="263"/>
      <c r="X13" s="263"/>
      <c r="Y13" s="261"/>
      <c r="Z13" s="262"/>
      <c r="AA13" s="263"/>
      <c r="AB13" s="261"/>
      <c r="AC13" s="261"/>
      <c r="AD13" s="260"/>
      <c r="AE13" s="260"/>
      <c r="AF13" s="260"/>
      <c r="AG13" s="260"/>
    </row>
    <row r="14" spans="1:33" ht="15.75">
      <c r="A14" s="258"/>
      <c r="B14" s="258"/>
      <c r="C14" s="258"/>
      <c r="D14" s="258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</row>
    <row r="15" spans="1:33" ht="15.75">
      <c r="A15" s="296" t="str">
        <f>CONCATENATE("Change in Use for ",input!$F$8-1,":")</f>
        <v>Change in Use for 2014:</v>
      </c>
      <c r="B15" s="296"/>
      <c r="C15" s="296"/>
      <c r="D15" s="259"/>
      <c r="E15" s="260">
        <v>758596</v>
      </c>
      <c r="F15" s="262"/>
      <c r="G15" s="261">
        <v>133963</v>
      </c>
      <c r="H15" s="260">
        <v>117511</v>
      </c>
      <c r="I15" s="262">
        <v>45190</v>
      </c>
      <c r="J15" s="261"/>
      <c r="K15" s="260"/>
      <c r="L15" s="261"/>
      <c r="M15" s="261"/>
      <c r="N15" s="261"/>
      <c r="O15" s="261"/>
      <c r="P15" s="261"/>
      <c r="Q15" s="262"/>
      <c r="R15" s="261"/>
      <c r="S15" s="261"/>
      <c r="T15" s="262"/>
      <c r="U15" s="261"/>
      <c r="V15" s="262"/>
      <c r="W15" s="261"/>
      <c r="X15" s="261"/>
      <c r="Y15" s="261"/>
      <c r="Z15" s="261"/>
      <c r="AA15" s="261"/>
      <c r="AB15" s="261"/>
      <c r="AC15" s="261"/>
      <c r="AD15" s="260"/>
      <c r="AE15" s="260"/>
      <c r="AF15" s="260"/>
      <c r="AG15" s="260"/>
    </row>
    <row r="16" spans="1:33" ht="15.75">
      <c r="A16" s="258"/>
      <c r="B16" s="258"/>
      <c r="C16" s="258"/>
      <c r="D16" s="258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</row>
    <row r="17" spans="1:33" ht="15.75">
      <c r="A17" s="296" t="str">
        <f>CONCATENATE("Tot Estimated Valuation ",input!$F$8-1,":")</f>
        <v>Tot Estimated Valuation 2014:</v>
      </c>
      <c r="B17" s="296"/>
      <c r="C17" s="296"/>
      <c r="D17" s="259"/>
      <c r="E17" s="260">
        <v>163335662</v>
      </c>
      <c r="F17" s="260"/>
      <c r="G17" s="260">
        <v>111085085</v>
      </c>
      <c r="H17" s="260">
        <v>8533572</v>
      </c>
      <c r="I17" s="260">
        <v>2701132</v>
      </c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</row>
    <row r="18" spans="1:33" ht="15.75">
      <c r="A18" s="258"/>
      <c r="B18" s="258"/>
      <c r="C18" s="258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</row>
    <row r="19" spans="1:33" ht="15.75">
      <c r="A19" s="296" t="str">
        <f>CONCATENATE("Debt Service Levy in ",input!$F$8,":")</f>
        <v>Debt Service Levy in 2015:</v>
      </c>
      <c r="B19" s="296"/>
      <c r="C19" s="296"/>
      <c r="D19" s="259"/>
      <c r="E19" s="260">
        <v>0</v>
      </c>
      <c r="F19" s="260">
        <v>0</v>
      </c>
      <c r="G19" s="261">
        <v>0</v>
      </c>
      <c r="H19" s="260">
        <v>0</v>
      </c>
      <c r="I19" s="260">
        <v>0</v>
      </c>
      <c r="J19" s="260">
        <v>0</v>
      </c>
      <c r="K19" s="260"/>
      <c r="L19" s="261"/>
      <c r="M19" s="264"/>
      <c r="N19" s="261"/>
      <c r="O19" s="261"/>
      <c r="P19" s="262"/>
      <c r="Q19" s="263"/>
      <c r="R19" s="261"/>
      <c r="S19" s="261"/>
      <c r="T19" s="261"/>
      <c r="U19" s="261"/>
      <c r="V19" s="262"/>
      <c r="W19" s="261"/>
      <c r="X19" s="261"/>
      <c r="Y19" s="261"/>
      <c r="Z19" s="261"/>
      <c r="AA19" s="262"/>
      <c r="AB19" s="261"/>
      <c r="AC19" s="261"/>
      <c r="AD19" s="260"/>
      <c r="AE19" s="260"/>
      <c r="AF19" s="260"/>
      <c r="AG19" s="260"/>
    </row>
    <row r="20" spans="1:33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6"/>
      <c r="G23" s="245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 sheet="1"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inputComp!$P$5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inputComp!$P$7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inputComp!$P$9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inputComp!$P$11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inputComp!$P$13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inputComp!$P$15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inputComp!$P$17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inputComp!$P$19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cert2!A22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inputVehicle!Q$5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inputVehicle!Q$7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inputVehicle!Q$9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inputVehicle!Q$11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inputComp!$Q$5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inputComp!$Q$7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inputComp!$Q$9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inputComp!$Q$11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inputComp!$Q$13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inputComp!$Q$15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inputComp!$Q$17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inputComp!$Q$19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cert2!A23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36"/>
      <c r="C36" s="200"/>
      <c r="D36" s="189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inputVehicle!R$5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inputVehicle!R$7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inputVehicle!R$9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inputVehicle!R$11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inputComp!$R$5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inputComp!$R$7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inputComp!$R$9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inputComp!$R$11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inputComp!$R$13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inputComp!$R$15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inputComp!$R$17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inputComp!$R$19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cert2!A24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38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inputVehicle!S$5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inputVehicle!S$7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inputVehicle!S$9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inputVehicle!S$11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inputComp!$S$5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inputComp!$S$7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inputComp!$S$9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inputComp!$S$11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inputComp!$S$13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inputComp!$S$15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inputComp!$S$17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inputComp!$S$19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cert2!A25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38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inputVehicle!T$5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inputVehicle!T$7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inputVehicle!T$9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inputVehicle!T$11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inputComp!$T$5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inputComp!$T$7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inputComp!$T$9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inputComp!$T$11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inputComp!$T$13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inputComp!$T$15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inputComp!$T$17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inputComp!$T$19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cert2!A26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inputVehicle!U$5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inputVehicle!U$7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inputVehicle!U$9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inputVehicle!U$11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2" sqref="E12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98" t="s">
        <v>234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33" ht="12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33" ht="15.75">
      <c r="A3" s="257"/>
      <c r="B3" s="257"/>
      <c r="C3" s="257"/>
      <c r="D3" s="257"/>
      <c r="E3" s="258" t="s">
        <v>235</v>
      </c>
      <c r="F3" s="258" t="s">
        <v>236</v>
      </c>
      <c r="G3" s="258" t="s">
        <v>237</v>
      </c>
      <c r="H3" s="258" t="s">
        <v>238</v>
      </c>
      <c r="I3" s="258" t="s">
        <v>239</v>
      </c>
      <c r="J3" s="258" t="s">
        <v>240</v>
      </c>
      <c r="K3" s="258" t="s">
        <v>241</v>
      </c>
      <c r="L3" s="258" t="s">
        <v>242</v>
      </c>
      <c r="M3" s="258" t="s">
        <v>243</v>
      </c>
      <c r="N3" s="258" t="s">
        <v>244</v>
      </c>
      <c r="O3" s="258" t="s">
        <v>245</v>
      </c>
      <c r="P3" s="258" t="s">
        <v>246</v>
      </c>
      <c r="Q3" s="258" t="s">
        <v>247</v>
      </c>
      <c r="R3" s="258" t="s">
        <v>248</v>
      </c>
      <c r="S3" s="258" t="s">
        <v>249</v>
      </c>
      <c r="T3" s="258" t="s">
        <v>250</v>
      </c>
      <c r="U3" s="258" t="s">
        <v>251</v>
      </c>
      <c r="V3" s="258" t="s">
        <v>252</v>
      </c>
      <c r="W3" s="258" t="s">
        <v>253</v>
      </c>
      <c r="X3" s="258" t="s">
        <v>254</v>
      </c>
      <c r="Y3" s="258" t="s">
        <v>255</v>
      </c>
      <c r="Z3" s="258" t="s">
        <v>256</v>
      </c>
      <c r="AA3" s="258" t="s">
        <v>257</v>
      </c>
      <c r="AB3" s="258" t="s">
        <v>258</v>
      </c>
      <c r="AC3" s="258" t="s">
        <v>259</v>
      </c>
      <c r="AD3" s="258" t="s">
        <v>260</v>
      </c>
      <c r="AE3" s="258" t="s">
        <v>261</v>
      </c>
      <c r="AF3" s="258" t="s">
        <v>262</v>
      </c>
      <c r="AG3" s="258" t="s">
        <v>263</v>
      </c>
    </row>
    <row r="4" spans="1:33" ht="15.75">
      <c r="A4" s="257"/>
      <c r="B4" s="257"/>
      <c r="C4" s="257"/>
      <c r="D4" s="257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</row>
    <row r="5" spans="1:33" ht="15.75">
      <c r="A5" s="296" t="str">
        <f>CONCATENATE("Ad Valorem Tax Amt for ",input!$F$8-1,":")</f>
        <v>Ad Valorem Tax Amt for 2014:</v>
      </c>
      <c r="B5" s="296"/>
      <c r="C5" s="296"/>
      <c r="D5" s="259"/>
      <c r="E5" s="260">
        <v>431609</v>
      </c>
      <c r="F5" s="261">
        <v>0</v>
      </c>
      <c r="G5" s="261">
        <v>9718</v>
      </c>
      <c r="H5" s="261">
        <v>10115</v>
      </c>
      <c r="I5" s="261">
        <v>7733</v>
      </c>
      <c r="J5" s="261">
        <v>0</v>
      </c>
      <c r="K5" s="261"/>
      <c r="L5" s="261"/>
      <c r="M5" s="261"/>
      <c r="N5" s="261"/>
      <c r="O5" s="261"/>
      <c r="P5" s="261"/>
      <c r="Q5" s="261"/>
      <c r="R5" s="262"/>
      <c r="S5" s="263"/>
      <c r="T5" s="261"/>
      <c r="U5" s="261"/>
      <c r="V5" s="262"/>
      <c r="W5" s="261"/>
      <c r="X5" s="262"/>
      <c r="Y5" s="263"/>
      <c r="Z5" s="263"/>
      <c r="AA5" s="263"/>
      <c r="AB5" s="263"/>
      <c r="AC5" s="261"/>
      <c r="AD5" s="262"/>
      <c r="AE5" s="261"/>
      <c r="AF5" s="260"/>
      <c r="AG5" s="260"/>
    </row>
    <row r="6" spans="1:33" ht="15.75">
      <c r="A6" s="258"/>
      <c r="B6" s="258"/>
      <c r="C6" s="258"/>
      <c r="D6" s="258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3" ht="15.75">
      <c r="A7" s="299" t="s">
        <v>264</v>
      </c>
      <c r="B7" s="299"/>
      <c r="C7" s="299"/>
      <c r="D7" s="259"/>
      <c r="E7" s="260">
        <v>19739.63</v>
      </c>
      <c r="F7" s="261">
        <v>0</v>
      </c>
      <c r="G7" s="261">
        <v>135.46</v>
      </c>
      <c r="H7" s="261">
        <v>1256.59</v>
      </c>
      <c r="I7" s="261">
        <v>683.48</v>
      </c>
      <c r="J7" s="261">
        <v>0</v>
      </c>
      <c r="K7" s="261"/>
      <c r="L7" s="261"/>
      <c r="M7" s="261"/>
      <c r="N7" s="261"/>
      <c r="O7" s="261"/>
      <c r="P7" s="261"/>
      <c r="Q7" s="261"/>
      <c r="R7" s="262"/>
      <c r="S7" s="261"/>
      <c r="T7" s="262"/>
      <c r="U7" s="261"/>
      <c r="V7" s="262"/>
      <c r="W7" s="261"/>
      <c r="X7" s="261"/>
      <c r="Y7" s="261"/>
      <c r="Z7" s="261"/>
      <c r="AA7" s="261"/>
      <c r="AB7" s="261"/>
      <c r="AC7" s="263"/>
      <c r="AD7" s="261"/>
      <c r="AE7" s="260"/>
      <c r="AF7" s="260"/>
      <c r="AG7" s="260"/>
    </row>
    <row r="8" spans="1:33" ht="15.75">
      <c r="A8" s="258"/>
      <c r="B8" s="258"/>
      <c r="C8" s="258"/>
      <c r="D8" s="258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</row>
    <row r="9" spans="1:33" ht="15.75">
      <c r="A9" s="299" t="s">
        <v>265</v>
      </c>
      <c r="B9" s="299"/>
      <c r="C9" s="299"/>
      <c r="D9" s="259"/>
      <c r="E9" s="260">
        <v>564.63</v>
      </c>
      <c r="F9" s="261">
        <v>0</v>
      </c>
      <c r="G9" s="260">
        <v>5.57</v>
      </c>
      <c r="H9" s="260">
        <v>35.29</v>
      </c>
      <c r="I9" s="260">
        <v>13.45</v>
      </c>
      <c r="J9" s="260">
        <v>0</v>
      </c>
      <c r="K9" s="260"/>
      <c r="L9" s="261"/>
      <c r="M9" s="261"/>
      <c r="N9" s="261"/>
      <c r="O9" s="261"/>
      <c r="P9" s="261"/>
      <c r="Q9" s="261"/>
      <c r="R9" s="261"/>
      <c r="S9" s="261"/>
      <c r="T9" s="261"/>
      <c r="U9" s="262"/>
      <c r="V9" s="261"/>
      <c r="W9" s="262"/>
      <c r="X9" s="261"/>
      <c r="Y9" s="262"/>
      <c r="Z9" s="261"/>
      <c r="AA9" s="261"/>
      <c r="AB9" s="262"/>
      <c r="AC9" s="263"/>
      <c r="AD9" s="261"/>
      <c r="AE9" s="260"/>
      <c r="AF9" s="260"/>
      <c r="AG9" s="260"/>
    </row>
    <row r="10" spans="1:34" ht="15.75">
      <c r="A10" s="258"/>
      <c r="B10" s="258"/>
      <c r="C10" s="258"/>
      <c r="D10" s="258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65"/>
    </row>
    <row r="11" spans="1:33" ht="15.75">
      <c r="A11" s="299" t="s">
        <v>266</v>
      </c>
      <c r="B11" s="299"/>
      <c r="C11" s="299"/>
      <c r="D11" s="259"/>
      <c r="E11" s="260">
        <v>2805.07</v>
      </c>
      <c r="F11" s="261">
        <v>0</v>
      </c>
      <c r="G11" s="260">
        <v>5.1</v>
      </c>
      <c r="H11" s="260">
        <v>164.37</v>
      </c>
      <c r="I11" s="260">
        <v>56.73</v>
      </c>
      <c r="J11" s="260">
        <v>0</v>
      </c>
      <c r="K11" s="260"/>
      <c r="L11" s="261"/>
      <c r="M11" s="262"/>
      <c r="N11" s="261"/>
      <c r="O11" s="262"/>
      <c r="P11" s="261"/>
      <c r="Q11" s="262"/>
      <c r="R11" s="261"/>
      <c r="S11" s="261"/>
      <c r="T11" s="261"/>
      <c r="U11" s="261"/>
      <c r="V11" s="261"/>
      <c r="W11" s="261"/>
      <c r="X11" s="261"/>
      <c r="Y11" s="261"/>
      <c r="Z11" s="262"/>
      <c r="AA11" s="261"/>
      <c r="AB11" s="261"/>
      <c r="AC11" s="261"/>
      <c r="AD11" s="260"/>
      <c r="AE11" s="260"/>
      <c r="AF11" s="264"/>
      <c r="AG11" s="261"/>
    </row>
    <row r="12" spans="1:33" ht="15.75">
      <c r="A12" s="258"/>
      <c r="B12" s="258"/>
      <c r="C12" s="258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7"/>
      <c r="L13" s="16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6"/>
      <c r="G16" s="245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 sheet="1"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inputComp!$U$5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inputComp!$U$7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inputComp!$U$9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inputComp!$U$11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inputComp!$U$13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inputComp!$U$15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inputComp!$U$17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inputComp!$U$19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 you must")</f>
        <v>If the 2015 budget includes tax levies exceeding the total on line 14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cert2!A27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inputVehicle!V$5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inputVehicle!V$7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inputVehicle!V$9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inputVehicle!V$11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inputComp!$V$5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inputComp!$V$7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inputComp!$V$9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inputComp!$V$11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inputComp!$V$13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inputComp!$V$15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inputComp!$V$17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inputComp!$V$19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cert2!A28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inputVehicle!W$5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inputVehicle!W$7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inputVehicle!W$9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inputVehicle!W$11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inputComp!$W$5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inputComp!$W$7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inputComp!$W$9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inputComp!$W$11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inputComp!$W$13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inputComp!$W$15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inputComp!$W$17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inputComp!$W$19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cert2!A29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inputVehicle!X$5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inputVehicle!X$7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inputVehicle!X$9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inputVehicle!X$11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inputComp!$X$5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inputComp!$X$7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inputComp!$X$9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inputComp!$X$11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inputComp!$X$13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inputComp!$X$15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inputComp!$X$17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inputComp!$X$19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cert2!A30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6"/>
    </row>
    <row r="16" spans="1:6" ht="15.75">
      <c r="A16" s="35"/>
      <c r="B16" s="36"/>
      <c r="C16" s="200"/>
      <c r="D16" s="195"/>
      <c r="E16" s="37"/>
      <c r="F16" s="16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inputVehicle!Y$5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inputVehicle!Y$7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inputVehicle!Y$9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inputVehicle!Y$11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inputComp!$Y$5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inputComp!$Y$7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inputComp!$Y$9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inputComp!$Y$11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inputComp!$Y$13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inputComp!$Y$15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inputComp!$Y$17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inputComp!$Y$19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cert2!A31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inputVehicle!Z$5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inputVehicle!Z$7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inputVehicle!Z$9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inputVehicle!Z$11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Linn County</v>
      </c>
      <c r="B1" s="1"/>
      <c r="C1" s="2"/>
      <c r="D1" s="2"/>
      <c r="E1" s="1"/>
      <c r="F1" s="1"/>
      <c r="G1" s="1"/>
      <c r="H1" s="1">
        <f>input!F8</f>
        <v>2015</v>
      </c>
    </row>
    <row r="2" spans="1:8" ht="15.75">
      <c r="A2" s="302" t="s">
        <v>163</v>
      </c>
      <c r="B2" s="303"/>
      <c r="C2" s="303"/>
      <c r="D2" s="303"/>
      <c r="E2" s="303"/>
      <c r="F2" s="303"/>
      <c r="G2" s="303"/>
      <c r="H2" s="303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4"/>
      <c r="B4" s="144"/>
      <c r="C4" s="144"/>
      <c r="D4" s="144"/>
      <c r="E4" s="144"/>
      <c r="F4" s="144"/>
      <c r="G4" s="144"/>
      <c r="H4" s="144"/>
    </row>
    <row r="5" spans="1:8" ht="15.75">
      <c r="A5" s="1"/>
      <c r="B5" s="1"/>
      <c r="C5" s="1"/>
      <c r="D5" s="1"/>
      <c r="E5" s="300" t="str">
        <f>CONCATENATE("",H1," Adopted Budget")</f>
        <v>2015 Adopted Budget</v>
      </c>
      <c r="F5" s="304"/>
      <c r="G5" s="304"/>
      <c r="H5" s="305"/>
    </row>
    <row r="6" spans="1:8" ht="21" customHeight="1">
      <c r="A6" s="1"/>
      <c r="B6" s="1"/>
      <c r="C6" s="9"/>
      <c r="D6" s="311" t="s">
        <v>230</v>
      </c>
      <c r="E6" s="306" t="s">
        <v>3</v>
      </c>
      <c r="F6" s="162">
        <f>H1-1</f>
        <v>2014</v>
      </c>
      <c r="G6" s="300" t="s">
        <v>88</v>
      </c>
      <c r="H6" s="301"/>
    </row>
    <row r="7" spans="1:8" ht="15.75">
      <c r="A7" s="157"/>
      <c r="B7" s="31"/>
      <c r="C7" s="160" t="s">
        <v>0</v>
      </c>
      <c r="D7" s="312"/>
      <c r="E7" s="307"/>
      <c r="F7" s="309" t="s">
        <v>166</v>
      </c>
      <c r="G7" s="94" t="s">
        <v>89</v>
      </c>
      <c r="H7" s="95" t="s">
        <v>91</v>
      </c>
    </row>
    <row r="8" spans="1:8" ht="15.75">
      <c r="A8" s="11" t="s">
        <v>1</v>
      </c>
      <c r="B8" s="159"/>
      <c r="C8" s="33" t="s">
        <v>2</v>
      </c>
      <c r="D8" s="313"/>
      <c r="E8" s="308"/>
      <c r="F8" s="310"/>
      <c r="G8" s="93" t="s">
        <v>90</v>
      </c>
      <c r="H8" s="33" t="s">
        <v>92</v>
      </c>
    </row>
    <row r="9" spans="1:8" ht="15.75">
      <c r="A9" s="158" t="s">
        <v>4</v>
      </c>
      <c r="B9" s="156" t="s">
        <v>5</v>
      </c>
      <c r="C9" s="16"/>
      <c r="D9" s="204"/>
      <c r="E9" s="161"/>
      <c r="F9" s="161"/>
      <c r="G9" s="93"/>
      <c r="H9" s="33"/>
    </row>
    <row r="10" spans="1:8" ht="15.75">
      <c r="A10" s="115" t="s">
        <v>303</v>
      </c>
      <c r="B10" s="244" t="s">
        <v>304</v>
      </c>
      <c r="C10" s="250">
        <f>IF(RuralFire!C72&gt;0,RuralFire!C72," ")</f>
        <v>19</v>
      </c>
      <c r="D10" s="250" t="str">
        <f>IF(RuralFire!F44&gt;RFComp!J35,"Yes","No")</f>
        <v>Yes</v>
      </c>
      <c r="E10" s="21">
        <f>RuralFire!F38</f>
        <v>527124</v>
      </c>
      <c r="F10" s="21">
        <f>RuralFire!F44</f>
        <v>494625.5399999998</v>
      </c>
      <c r="G10" s="185">
        <v>163273579</v>
      </c>
      <c r="H10" s="164">
        <f>IF(G10&gt;0,ROUND(F10/$G10*1000,3),"  ")</f>
        <v>3.029</v>
      </c>
    </row>
    <row r="11" spans="1:8" ht="15.75">
      <c r="A11" s="17" t="s">
        <v>305</v>
      </c>
      <c r="B11" s="244" t="s">
        <v>306</v>
      </c>
      <c r="C11" s="250">
        <f>IF(SpecFire!C69&gt;0,SpecFire!C69," ")</f>
        <v>20</v>
      </c>
      <c r="D11" s="250" t="str">
        <f>IF(SpecFire!F41&gt;SFComp!J35,"Yes","No")</f>
        <v>No</v>
      </c>
      <c r="E11" s="21">
        <f>SpecFire!F35</f>
        <v>0</v>
      </c>
      <c r="F11" s="21">
        <f>SpecFire!F41</f>
        <v>0</v>
      </c>
      <c r="G11" s="185"/>
      <c r="H11" s="164" t="str">
        <f aca="true" t="shared" si="0" ref="H11:H38">IF(G11&gt;0,ROUND(F11/$G11*1000,3),"  ")</f>
        <v>  </v>
      </c>
    </row>
    <row r="12" spans="1:8" ht="15.75">
      <c r="A12" s="17" t="s">
        <v>307</v>
      </c>
      <c r="B12" s="244" t="s">
        <v>311</v>
      </c>
      <c r="C12" s="250">
        <f>IF(Cem1!C69&gt;0,Cem1!C69," ")</f>
        <v>21</v>
      </c>
      <c r="D12" s="250" t="str">
        <f>IF(Cem1!F41&gt;Cem1Comp!J35,"Yes","No")</f>
        <v>Yes</v>
      </c>
      <c r="E12" s="21">
        <f>Cem1!F35</f>
        <v>10750</v>
      </c>
      <c r="F12" s="21">
        <f>Cem1!F41</f>
        <v>9911.23</v>
      </c>
      <c r="G12" s="185">
        <v>111079389</v>
      </c>
      <c r="H12" s="164">
        <f t="shared" si="0"/>
        <v>0.089</v>
      </c>
    </row>
    <row r="13" spans="1:8" ht="15.75">
      <c r="A13" s="17" t="s">
        <v>309</v>
      </c>
      <c r="B13" s="244" t="s">
        <v>311</v>
      </c>
      <c r="C13" s="250">
        <f>IF(Cem4!C69&gt;0,Cem4!C69," ")</f>
        <v>22</v>
      </c>
      <c r="D13" s="250" t="str">
        <f>IF(Cem4!F41&gt;Cem4Comp!J35,"Yes","No")</f>
        <v>Yes</v>
      </c>
      <c r="E13" s="21">
        <f>Cem4!F35</f>
        <v>16571</v>
      </c>
      <c r="F13" s="21">
        <f>Cem4!F41</f>
        <v>10511.48</v>
      </c>
      <c r="G13" s="185">
        <v>8534628</v>
      </c>
      <c r="H13" s="164">
        <f t="shared" si="0"/>
        <v>1.232</v>
      </c>
    </row>
    <row r="14" spans="1:8" ht="15.75">
      <c r="A14" s="17" t="s">
        <v>308</v>
      </c>
      <c r="B14" s="244" t="s">
        <v>311</v>
      </c>
      <c r="C14" s="250">
        <f>IF(Cem5!C69&gt;0,Cem5!C69," ")</f>
        <v>23</v>
      </c>
      <c r="D14" s="250" t="str">
        <f>IF(Cem5!F41&gt;Cem5Comp!J35,"Yes","No")</f>
        <v>Yes</v>
      </c>
      <c r="E14" s="21">
        <f>Cem5!F35</f>
        <v>9794</v>
      </c>
      <c r="F14" s="21">
        <f>Cem5!F41</f>
        <v>7986.280000000001</v>
      </c>
      <c r="G14" s="185">
        <v>2701132</v>
      </c>
      <c r="H14" s="164">
        <f t="shared" si="0"/>
        <v>2.957</v>
      </c>
    </row>
    <row r="15" spans="1:8" ht="15.75">
      <c r="A15" s="17" t="s">
        <v>310</v>
      </c>
      <c r="B15" s="244" t="s">
        <v>312</v>
      </c>
      <c r="C15" s="250">
        <f>IF(Sewer1!C69&gt;0,Sewer1!C69," ")</f>
        <v>24</v>
      </c>
      <c r="D15" s="250" t="str">
        <f>IF(Sewer1!F41&gt;Sew1Comp!J35,"Yes","No")</f>
        <v>No</v>
      </c>
      <c r="E15" s="21">
        <f>Sewer1!F35</f>
        <v>19153</v>
      </c>
      <c r="F15" s="21">
        <f>Sewer1!F41</f>
        <v>0</v>
      </c>
      <c r="G15" s="185"/>
      <c r="H15" s="164" t="str">
        <f t="shared" si="0"/>
        <v>  </v>
      </c>
    </row>
    <row r="16" spans="1:8" ht="15.75">
      <c r="A16" s="17"/>
      <c r="B16" s="244"/>
      <c r="C16" s="250" t="str">
        <f>IF(Sheet7!C69&gt;0,Sheet7!C69," ")</f>
        <v> </v>
      </c>
      <c r="D16" s="250" t="str">
        <f>IF(Sheet7!$F$41&gt;Comp7!$J$35,"Yes","No")</f>
        <v>No</v>
      </c>
      <c r="E16" s="21">
        <f>Sheet7!F35</f>
        <v>0</v>
      </c>
      <c r="F16" s="21">
        <f>Sheet7!F41</f>
        <v>0</v>
      </c>
      <c r="G16" s="185"/>
      <c r="H16" s="164" t="str">
        <f t="shared" si="0"/>
        <v>  </v>
      </c>
    </row>
    <row r="17" spans="1:8" ht="15.75">
      <c r="A17" s="17"/>
      <c r="B17" s="244"/>
      <c r="C17" s="250" t="str">
        <f>IF(Sheet8!C69&gt;0,Sheet8!C69," ")</f>
        <v> </v>
      </c>
      <c r="D17" s="250" t="str">
        <f>IF(Sheet8!$F$41&gt;Comp7!$J$35,"Yes","No")</f>
        <v>No</v>
      </c>
      <c r="E17" s="21">
        <f>Sheet8!F35</f>
        <v>0</v>
      </c>
      <c r="F17" s="21">
        <f>Sheet8!F41</f>
        <v>0</v>
      </c>
      <c r="G17" s="185"/>
      <c r="H17" s="164" t="str">
        <f t="shared" si="0"/>
        <v>  </v>
      </c>
    </row>
    <row r="18" spans="1:8" ht="15.75">
      <c r="A18" s="17"/>
      <c r="B18" s="244"/>
      <c r="C18" s="250" t="str">
        <f>IF(Sheet9!C69&gt;0,Sheet9!C69," ")</f>
        <v> </v>
      </c>
      <c r="D18" s="250" t="str">
        <f>IF(Sheet9!$F$41&gt;Comp9!$J$35,"Yes","No")</f>
        <v>No</v>
      </c>
      <c r="E18" s="21">
        <f>Sheet9!F35</f>
        <v>0</v>
      </c>
      <c r="F18" s="21">
        <f>Sheet9!F41</f>
        <v>0</v>
      </c>
      <c r="G18" s="185"/>
      <c r="H18" s="164" t="str">
        <f t="shared" si="0"/>
        <v>  </v>
      </c>
    </row>
    <row r="19" spans="1:8" ht="15.75">
      <c r="A19" s="17"/>
      <c r="B19" s="244"/>
      <c r="C19" s="250" t="str">
        <f>IF(Sheet10!C69&gt;0,Sheet10!C69," ")</f>
        <v> </v>
      </c>
      <c r="D19" s="250" t="str">
        <f>IF(Sheet10!$F$41&gt;Comp10!$J$35,"Yes","No")</f>
        <v>No</v>
      </c>
      <c r="E19" s="21">
        <f>Sheet10!F35</f>
        <v>0</v>
      </c>
      <c r="F19" s="21">
        <f>Sheet10!F41</f>
        <v>0</v>
      </c>
      <c r="G19" s="185"/>
      <c r="H19" s="164" t="str">
        <f t="shared" si="0"/>
        <v>  </v>
      </c>
    </row>
    <row r="20" spans="1:8" ht="15.75">
      <c r="A20" s="17"/>
      <c r="B20" s="244"/>
      <c r="C20" s="250" t="str">
        <f>IF(Sheet11!C69&gt;0,Sheet11!C69," ")</f>
        <v> </v>
      </c>
      <c r="D20" s="250" t="str">
        <f>IF(Sheet11!$F$41&gt;Comp11!$J$35,"Yes","No")</f>
        <v>No</v>
      </c>
      <c r="E20" s="21">
        <f>Sheet11!F35</f>
        <v>0</v>
      </c>
      <c r="F20" s="21">
        <f>Sheet11!F41</f>
        <v>0</v>
      </c>
      <c r="G20" s="185"/>
      <c r="H20" s="164" t="str">
        <f t="shared" si="0"/>
        <v>  </v>
      </c>
    </row>
    <row r="21" spans="1:8" ht="15.75">
      <c r="A21" s="17"/>
      <c r="B21" s="244"/>
      <c r="C21" s="250" t="str">
        <f>IF(Sheet12!C69&gt;0,Sheet12!C69," ")</f>
        <v> </v>
      </c>
      <c r="D21" s="250" t="str">
        <f>IF(Sheet12!$F$41&gt;Comp12!$J$35,"Yes","No")</f>
        <v>No</v>
      </c>
      <c r="E21" s="21">
        <f>Sheet12!F35</f>
        <v>0</v>
      </c>
      <c r="F21" s="21">
        <f>Sheet12!F41</f>
        <v>0</v>
      </c>
      <c r="G21" s="185"/>
      <c r="H21" s="164" t="str">
        <f t="shared" si="0"/>
        <v>  </v>
      </c>
    </row>
    <row r="22" spans="1:8" ht="15.75">
      <c r="A22" s="17"/>
      <c r="B22" s="244"/>
      <c r="C22" s="250" t="str">
        <f>IF(Sheet13!C69&gt;0,Sheet13!C69," ")</f>
        <v> </v>
      </c>
      <c r="D22" s="250" t="str">
        <f>IF(Sheet13!$F$41&gt;Comp13!$J$35,"Yes","No")</f>
        <v>No</v>
      </c>
      <c r="E22" s="21">
        <f>Sheet13!F35</f>
        <v>0</v>
      </c>
      <c r="F22" s="21">
        <f>Sheet13!F41</f>
        <v>0</v>
      </c>
      <c r="G22" s="185"/>
      <c r="H22" s="164" t="str">
        <f t="shared" si="0"/>
        <v>  </v>
      </c>
    </row>
    <row r="23" spans="1:8" ht="15.75">
      <c r="A23" s="17"/>
      <c r="B23" s="244"/>
      <c r="C23" s="250" t="str">
        <f>IF(Sheet14!C69&gt;0,Sheet14!C69," ")</f>
        <v> </v>
      </c>
      <c r="D23" s="250" t="str">
        <f>IF(Sheet14!$F$41&gt;Comp14!$J$35,"Yes","No")</f>
        <v>No</v>
      </c>
      <c r="E23" s="21">
        <f>Sheet14!F35</f>
        <v>0</v>
      </c>
      <c r="F23" s="21">
        <f>Sheet14!F41</f>
        <v>0</v>
      </c>
      <c r="G23" s="185"/>
      <c r="H23" s="164" t="str">
        <f t="shared" si="0"/>
        <v>  </v>
      </c>
    </row>
    <row r="24" spans="1:8" ht="15.75">
      <c r="A24" s="17"/>
      <c r="B24" s="244"/>
      <c r="C24" s="250" t="str">
        <f>IF(Sheet15!C69&gt;0,Sheet15!C69," ")</f>
        <v> </v>
      </c>
      <c r="D24" s="250" t="str">
        <f>IF(Sheet15!$F$41&gt;Comp15!$J$35,"Yes","No")</f>
        <v>No</v>
      </c>
      <c r="E24" s="21">
        <f>Sheet15!F35</f>
        <v>0</v>
      </c>
      <c r="F24" s="21">
        <f>Sheet15!F41</f>
        <v>0</v>
      </c>
      <c r="G24" s="185"/>
      <c r="H24" s="164" t="str">
        <f t="shared" si="0"/>
        <v>  </v>
      </c>
    </row>
    <row r="25" spans="1:8" ht="15.75">
      <c r="A25" s="17"/>
      <c r="B25" s="244"/>
      <c r="C25" s="250" t="str">
        <f>IF(Sheet16!C69&gt;0,Sheet16!C69," ")</f>
        <v> </v>
      </c>
      <c r="D25" s="250" t="str">
        <f>IF(Sheet16!$F$41&gt;comp16!$J$35,"Yes","No")</f>
        <v>No</v>
      </c>
      <c r="E25" s="21">
        <f>Sheet16!F35</f>
        <v>0</v>
      </c>
      <c r="F25" s="21">
        <f>Sheet16!F41</f>
        <v>0</v>
      </c>
      <c r="G25" s="185"/>
      <c r="H25" s="164" t="str">
        <f t="shared" si="0"/>
        <v>  </v>
      </c>
    </row>
    <row r="26" spans="1:8" ht="15.75">
      <c r="A26" s="17"/>
      <c r="B26" s="244"/>
      <c r="C26" s="250" t="str">
        <f>IF(Sheet17!C69&gt;0,Sheet17!C69," ")</f>
        <v> </v>
      </c>
      <c r="D26" s="250" t="str">
        <f>IF(Sheet17!$F$41&gt;Comp17!$J$35,"Yes","No")</f>
        <v>No</v>
      </c>
      <c r="E26" s="21">
        <f>Sheet17!F35</f>
        <v>0</v>
      </c>
      <c r="F26" s="21">
        <f>Sheet17!F41</f>
        <v>0</v>
      </c>
      <c r="G26" s="185"/>
      <c r="H26" s="164" t="str">
        <f t="shared" si="0"/>
        <v>  </v>
      </c>
    </row>
    <row r="27" spans="1:8" ht="15.75">
      <c r="A27" s="17"/>
      <c r="B27" s="244"/>
      <c r="C27" s="250" t="str">
        <f>IF(Sheet18!C69&gt;0,Sheet18!C69," ")</f>
        <v> </v>
      </c>
      <c r="D27" s="250" t="str">
        <f>IF(Sheet18!$F$41&gt;Comp18!$J$35,"Yes","No")</f>
        <v>No</v>
      </c>
      <c r="E27" s="21">
        <f>Sheet18!F35</f>
        <v>0</v>
      </c>
      <c r="F27" s="21">
        <f>Sheet18!F41</f>
        <v>0</v>
      </c>
      <c r="G27" s="185"/>
      <c r="H27" s="164" t="str">
        <f t="shared" si="0"/>
        <v>  </v>
      </c>
    </row>
    <row r="28" spans="1:8" ht="15.75">
      <c r="A28" s="17"/>
      <c r="B28" s="244"/>
      <c r="C28" s="250" t="str">
        <f>IF(Sheet19!C69&gt;0,Sheet19!C69," ")</f>
        <v> </v>
      </c>
      <c r="D28" s="250" t="str">
        <f>IF(Sheet19!$F$41&gt;Comp19!$J$35,"Yes","No")</f>
        <v>No</v>
      </c>
      <c r="E28" s="21">
        <f>Sheet19!F35</f>
        <v>0</v>
      </c>
      <c r="F28" s="21">
        <f>Sheet19!F41</f>
        <v>0</v>
      </c>
      <c r="G28" s="185"/>
      <c r="H28" s="164" t="str">
        <f t="shared" si="0"/>
        <v>  </v>
      </c>
    </row>
    <row r="29" spans="1:8" ht="15.75">
      <c r="A29" s="17"/>
      <c r="B29" s="244"/>
      <c r="C29" s="250" t="str">
        <f>IF(Sheet20!C69&gt;0,Sheet20!C69," ")</f>
        <v> </v>
      </c>
      <c r="D29" s="250" t="str">
        <f>IF(Sheet20!$F$41&gt;comp20!$J$35,"Yes","No")</f>
        <v>No</v>
      </c>
      <c r="E29" s="21">
        <f>Sheet20!F35</f>
        <v>0</v>
      </c>
      <c r="F29" s="21">
        <f>Sheet20!F41</f>
        <v>0</v>
      </c>
      <c r="G29" s="185"/>
      <c r="H29" s="164" t="str">
        <f t="shared" si="0"/>
        <v>  </v>
      </c>
    </row>
    <row r="30" spans="1:8" ht="15.75">
      <c r="A30" s="17"/>
      <c r="B30" s="244"/>
      <c r="C30" s="250" t="str">
        <f>IF(Sheet21!C69&gt;0,Sheet21!C69," ")</f>
        <v> </v>
      </c>
      <c r="D30" s="250" t="str">
        <f>IF(Sheet21!$F$41&gt;Comp21!$J$35,"Yes","No")</f>
        <v>No</v>
      </c>
      <c r="E30" s="21">
        <f>Sheet21!F35</f>
        <v>0</v>
      </c>
      <c r="F30" s="21">
        <f>Sheet21!F41</f>
        <v>0</v>
      </c>
      <c r="G30" s="185"/>
      <c r="H30" s="164" t="str">
        <f t="shared" si="0"/>
        <v>  </v>
      </c>
    </row>
    <row r="31" spans="1:8" ht="15.75">
      <c r="A31" s="17"/>
      <c r="B31" s="244"/>
      <c r="C31" s="250" t="str">
        <f>IF(Sheet22!C69&gt;0,Sheet22!C69," ")</f>
        <v> </v>
      </c>
      <c r="D31" s="250" t="str">
        <f>IF(Sheet22!$F$41&gt;Comp22!$J$35,"Yes","No")</f>
        <v>No</v>
      </c>
      <c r="E31" s="21">
        <f>Sheet22!F35</f>
        <v>0</v>
      </c>
      <c r="F31" s="21">
        <f>Sheet22!F41</f>
        <v>0</v>
      </c>
      <c r="G31" s="185"/>
      <c r="H31" s="164" t="str">
        <f t="shared" si="0"/>
        <v>  </v>
      </c>
    </row>
    <row r="32" spans="1:8" ht="15.75">
      <c r="A32" s="17"/>
      <c r="B32" s="244"/>
      <c r="C32" s="250" t="str">
        <f>IF(Sheet23!C69&gt;0,Sheet23!C69," ")</f>
        <v> </v>
      </c>
      <c r="D32" s="250" t="str">
        <f>IF(Sheet23!$F$41&gt;Comp23!$J$35,"Yes","No")</f>
        <v>No</v>
      </c>
      <c r="E32" s="21">
        <f>Sheet23!F35</f>
        <v>0</v>
      </c>
      <c r="F32" s="21">
        <f>Sheet23!F41</f>
        <v>0</v>
      </c>
      <c r="G32" s="185"/>
      <c r="H32" s="164" t="str">
        <f t="shared" si="0"/>
        <v>  </v>
      </c>
    </row>
    <row r="33" spans="1:8" ht="15.75">
      <c r="A33" s="17"/>
      <c r="B33" s="244"/>
      <c r="C33" s="250" t="str">
        <f>IF(Sheet24!C69&gt;0,Sheet24!C69," ")</f>
        <v> </v>
      </c>
      <c r="D33" s="250" t="str">
        <f>IF(Sheet24!$F$41&gt;Comp24!$J$35,"Yes","No")</f>
        <v>No</v>
      </c>
      <c r="E33" s="21">
        <f>Sheet24!F35</f>
        <v>0</v>
      </c>
      <c r="F33" s="21">
        <f>Sheet24!F41</f>
        <v>0</v>
      </c>
      <c r="G33" s="185"/>
      <c r="H33" s="164" t="str">
        <f t="shared" si="0"/>
        <v>  </v>
      </c>
    </row>
    <row r="34" spans="1:8" ht="15.75">
      <c r="A34" s="17"/>
      <c r="B34" s="244"/>
      <c r="C34" s="250" t="str">
        <f>IF(Sheet25!C69&gt;0,Sheet25!C69," ")</f>
        <v> </v>
      </c>
      <c r="D34" s="250" t="str">
        <f>IF(Sheet25!$F$41&gt;Comp25!$J$35,"Yes","No")</f>
        <v>No</v>
      </c>
      <c r="E34" s="21">
        <f>Sheet25!F35</f>
        <v>0</v>
      </c>
      <c r="F34" s="21">
        <f>Sheet25!F41</f>
        <v>0</v>
      </c>
      <c r="G34" s="185"/>
      <c r="H34" s="164" t="str">
        <f t="shared" si="0"/>
        <v>  </v>
      </c>
    </row>
    <row r="35" spans="1:8" ht="15.75">
      <c r="A35" s="17"/>
      <c r="B35" s="244"/>
      <c r="C35" s="250" t="str">
        <f>IF(Sheet26!C69&gt;0,Sheet26!C69," ")</f>
        <v> </v>
      </c>
      <c r="D35" s="250" t="str">
        <f>IF(Sheet26!$F$41&gt;Comp26!$J$35,"Yes","No")</f>
        <v>No</v>
      </c>
      <c r="E35" s="21">
        <f>Sheet26!F35</f>
        <v>0</v>
      </c>
      <c r="F35" s="21">
        <f>Sheet26!F41</f>
        <v>0</v>
      </c>
      <c r="G35" s="185"/>
      <c r="H35" s="164" t="str">
        <f t="shared" si="0"/>
        <v>  </v>
      </c>
    </row>
    <row r="36" spans="1:8" ht="15.75">
      <c r="A36" s="17"/>
      <c r="B36" s="244"/>
      <c r="C36" s="250" t="str">
        <f>IF(Sheet27!C69&gt;0,Sheet27!C69," ")</f>
        <v> </v>
      </c>
      <c r="D36" s="250" t="str">
        <f>IF(Sheet27!$F$41&gt;Comp27!$J$35,"Yes","No")</f>
        <v>No</v>
      </c>
      <c r="E36" s="21">
        <f>Sheet27!F35</f>
        <v>0</v>
      </c>
      <c r="F36" s="21">
        <f>Sheet27!F41</f>
        <v>0</v>
      </c>
      <c r="G36" s="185"/>
      <c r="H36" s="164" t="str">
        <f t="shared" si="0"/>
        <v>  </v>
      </c>
    </row>
    <row r="37" spans="1:8" ht="15.75">
      <c r="A37" s="17"/>
      <c r="B37" s="244"/>
      <c r="C37" s="250" t="str">
        <f>IF(Sheet28!C69&gt;0,Sheet28!C69," ")</f>
        <v> </v>
      </c>
      <c r="D37" s="250" t="str">
        <f>IF(Sheet28!$F$41&gt;Comp28!$J$35,"Yes","No")</f>
        <v>No</v>
      </c>
      <c r="E37" s="21">
        <f>Sheet28!F35</f>
        <v>0</v>
      </c>
      <c r="F37" s="21">
        <f>Sheet28!F41</f>
        <v>0</v>
      </c>
      <c r="G37" s="185"/>
      <c r="H37" s="164" t="str">
        <f t="shared" si="0"/>
        <v>  </v>
      </c>
    </row>
    <row r="38" spans="1:8" ht="15.75">
      <c r="A38" s="17"/>
      <c r="B38" s="244"/>
      <c r="C38" s="250" t="str">
        <f>IF(Sheet29!C69&gt;0,Sheet29!C69," ")</f>
        <v> </v>
      </c>
      <c r="D38" s="250" t="str">
        <f>IF(Sheet29!$F$41&gt;Comp29!$J$35,"Yes","No")</f>
        <v>No</v>
      </c>
      <c r="E38" s="21">
        <f>Sheet29!F35</f>
        <v>0</v>
      </c>
      <c r="F38" s="21">
        <f>Sheet29!F41</f>
        <v>0</v>
      </c>
      <c r="G38" s="185"/>
      <c r="H38" s="164" t="str">
        <f t="shared" si="0"/>
        <v>  </v>
      </c>
    </row>
    <row r="39" spans="1:8" ht="15.75">
      <c r="A39" s="1"/>
      <c r="B39" s="1"/>
      <c r="C39" s="1"/>
      <c r="D39" s="1"/>
      <c r="E39" s="1"/>
      <c r="F39" s="1"/>
      <c r="G39" s="1"/>
      <c r="H39" s="30"/>
    </row>
    <row r="40" spans="1:8" ht="15.75">
      <c r="A40" s="144"/>
      <c r="B40" s="144"/>
      <c r="C40" s="144"/>
      <c r="D40" s="144"/>
      <c r="E40" s="144"/>
      <c r="F40" s="144"/>
      <c r="G40" s="30"/>
      <c r="H40" s="30"/>
    </row>
    <row r="41" spans="1:8" ht="15.75">
      <c r="A41" s="144"/>
      <c r="B41" s="144"/>
      <c r="C41" s="144"/>
      <c r="D41" s="144"/>
      <c r="E41" s="144"/>
      <c r="F41" s="144"/>
      <c r="G41" s="1"/>
      <c r="H41" s="1"/>
    </row>
    <row r="42" spans="1:8" ht="15.75">
      <c r="A42" s="96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26" t="s">
        <v>37</v>
      </c>
      <c r="C44" s="56" t="s">
        <v>302</v>
      </c>
      <c r="D44" s="56"/>
      <c r="E44" s="1"/>
      <c r="F44" s="1"/>
      <c r="G44" s="1"/>
      <c r="H44" s="1"/>
    </row>
    <row r="45" spans="1:7" ht="15.75">
      <c r="A45" s="23"/>
      <c r="B45" s="23"/>
      <c r="C45" s="23"/>
      <c r="D45" s="23"/>
      <c r="E45" s="23"/>
      <c r="F45" s="23"/>
      <c r="G45" s="24"/>
    </row>
    <row r="55" spans="1:7" ht="15.75">
      <c r="A55" s="23"/>
      <c r="B55" s="23"/>
      <c r="C55" s="23"/>
      <c r="D55" s="23"/>
      <c r="E55" s="23"/>
      <c r="F55" s="23"/>
      <c r="G55" s="23"/>
    </row>
    <row r="59" spans="1:7" ht="15.75">
      <c r="A59" s="23"/>
      <c r="B59" s="23"/>
      <c r="C59" s="23"/>
      <c r="D59" s="23"/>
      <c r="E59" s="22"/>
      <c r="F59" s="23"/>
      <c r="G59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4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inputComp!$Z$5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inputComp!$Z$7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inputComp!$Z$9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inputComp!$Z$11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inputComp!$Z$13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inputComp!$Z$15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inputComp!$Z$17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inputComp!$Z$19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cert2!A32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inputVehicle!AA$5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inputVehicle!AA$7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inputVehicle!AA$9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inputVehicle!AA$11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inputComp!$AA$5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inputComp!$AA$7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inputComp!$AA$9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inputComp!$AA$11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inputComp!$AA$13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inputComp!$AA$15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inputComp!$AA$17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inputComp!$AA$19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cert2!A33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inputVehicle!AB$5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inputVehicle!AB$7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inputVehicle!AB$9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inputVehicle!AB$11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inputComp!$AB$5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inputComp!$AB$7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inputComp!$AB$9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inputComp!$AB$11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inputComp!$AB$13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inputComp!$AB$15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inputComp!$AB$17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inputComp!$AB$19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cert2!A34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0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inputVehicle!AC$5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inputVehicle!AC$7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inputVehicle!AC$9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inputVehicle!AC$11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inputComp!$AC$5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inputComp!$AC$7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inputComp!$AC$9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inputComp!$AC$11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inputComp!$AC$13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inputComp!$AC$15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inputComp!$AC$17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inputComp!$AC$19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cert2!A35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38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inputVehicle!AD$5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inputVehicle!AD$7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inputVehicle!AD$9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inputVehicle!AD$11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inputComp!$AD$5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inputComp!$AD$7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inputComp!$AD$9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inputComp!$AD$11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inputComp!$AD$13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inputComp!$AD$15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191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inputComp!$AD$17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inputComp!$AD$19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cert2!A36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inputVehicle!AE$5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inputVehicle!AE$7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inputVehicle!AE$9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inputVehicle!AE$11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2" t="str">
        <f>input!F5</f>
        <v>Linn County</v>
      </c>
      <c r="B1" s="72"/>
      <c r="C1" s="72"/>
      <c r="D1" s="72"/>
      <c r="E1" s="72"/>
      <c r="F1" s="72"/>
      <c r="G1" s="72">
        <f>input!F8</f>
        <v>2015</v>
      </c>
    </row>
    <row r="2" spans="1:7" ht="15.75">
      <c r="A2" s="1"/>
      <c r="B2" s="1"/>
      <c r="C2" s="2" t="s">
        <v>144</v>
      </c>
      <c r="D2" s="1"/>
      <c r="E2" s="1"/>
      <c r="F2" s="72"/>
      <c r="G2" s="72"/>
    </row>
    <row r="3" spans="1:7" ht="15.75">
      <c r="A3" s="133"/>
      <c r="B3" s="1"/>
      <c r="C3" s="2"/>
      <c r="D3" s="30"/>
      <c r="E3" s="30"/>
      <c r="F3" s="70"/>
      <c r="G3" s="72"/>
    </row>
    <row r="4" spans="1:7" ht="15.75">
      <c r="A4" s="1"/>
      <c r="B4" s="1"/>
      <c r="C4" s="1"/>
      <c r="D4" s="300" t="str">
        <f>CONCATENATE("",input!F8," Adopted Budget")</f>
        <v>2015 Adopted Budget</v>
      </c>
      <c r="E4" s="304"/>
      <c r="F4" s="304"/>
      <c r="G4" s="305"/>
    </row>
    <row r="5" spans="1:7" ht="19.5" customHeight="1">
      <c r="A5" s="1"/>
      <c r="B5" s="1"/>
      <c r="C5" s="9"/>
      <c r="D5" s="100"/>
      <c r="E5" s="151">
        <f>G1-1</f>
        <v>2014</v>
      </c>
      <c r="F5" s="300" t="s">
        <v>88</v>
      </c>
      <c r="G5" s="305"/>
    </row>
    <row r="6" spans="1:7" ht="32.25" customHeight="1">
      <c r="A6" s="11" t="s">
        <v>1</v>
      </c>
      <c r="B6" s="12"/>
      <c r="C6" s="143" t="s">
        <v>138</v>
      </c>
      <c r="D6" s="13" t="s">
        <v>3</v>
      </c>
      <c r="E6" s="152" t="s">
        <v>161</v>
      </c>
      <c r="F6" s="155" t="s">
        <v>165</v>
      </c>
      <c r="G6" s="154" t="s">
        <v>211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9"/>
    </row>
    <row r="8" spans="1:7" ht="15.75">
      <c r="A8" s="115"/>
      <c r="B8" s="140"/>
      <c r="C8" s="140"/>
      <c r="D8" s="140"/>
      <c r="E8" s="140"/>
      <c r="F8" s="18"/>
      <c r="G8" s="164" t="str">
        <f>IF(F8&gt;0,ROUND(E8/$F8*1000,3),"  ")</f>
        <v>  </v>
      </c>
    </row>
    <row r="9" spans="1:7" ht="15.75">
      <c r="A9" s="17"/>
      <c r="B9" s="140"/>
      <c r="C9" s="140"/>
      <c r="D9" s="140"/>
      <c r="E9" s="140"/>
      <c r="F9" s="18"/>
      <c r="G9" s="164" t="str">
        <f aca="true" t="shared" si="0" ref="G9:G36">IF(F9&gt;0,ROUND(E9/$F9*1000,3),"  ")</f>
        <v>  </v>
      </c>
    </row>
    <row r="10" spans="1:7" ht="15.75">
      <c r="A10" s="17"/>
      <c r="B10" s="140"/>
      <c r="C10" s="140"/>
      <c r="D10" s="140"/>
      <c r="E10" s="140"/>
      <c r="F10" s="18"/>
      <c r="G10" s="164" t="str">
        <f t="shared" si="0"/>
        <v>  </v>
      </c>
    </row>
    <row r="11" spans="1:7" ht="15.75">
      <c r="A11" s="17"/>
      <c r="B11" s="140"/>
      <c r="C11" s="140"/>
      <c r="D11" s="140"/>
      <c r="E11" s="140"/>
      <c r="F11" s="18"/>
      <c r="G11" s="164" t="str">
        <f t="shared" si="0"/>
        <v>  </v>
      </c>
    </row>
    <row r="12" spans="1:7" ht="15.75">
      <c r="A12" s="17"/>
      <c r="B12" s="140"/>
      <c r="C12" s="140"/>
      <c r="D12" s="140"/>
      <c r="E12" s="140"/>
      <c r="F12" s="18"/>
      <c r="G12" s="164" t="str">
        <f t="shared" si="0"/>
        <v>  </v>
      </c>
    </row>
    <row r="13" spans="1:7" ht="15.75">
      <c r="A13" s="17"/>
      <c r="B13" s="140"/>
      <c r="C13" s="140"/>
      <c r="D13" s="140"/>
      <c r="E13" s="140"/>
      <c r="F13" s="18"/>
      <c r="G13" s="164" t="str">
        <f t="shared" si="0"/>
        <v>  </v>
      </c>
    </row>
    <row r="14" spans="1:7" ht="15.75">
      <c r="A14" s="17"/>
      <c r="B14" s="140"/>
      <c r="C14" s="140"/>
      <c r="D14" s="140"/>
      <c r="E14" s="140"/>
      <c r="F14" s="18"/>
      <c r="G14" s="164" t="str">
        <f t="shared" si="0"/>
        <v>  </v>
      </c>
    </row>
    <row r="15" spans="1:7" ht="15.75">
      <c r="A15" s="17"/>
      <c r="B15" s="140"/>
      <c r="C15" s="140"/>
      <c r="D15" s="140"/>
      <c r="E15" s="140"/>
      <c r="F15" s="18"/>
      <c r="G15" s="164" t="str">
        <f t="shared" si="0"/>
        <v>  </v>
      </c>
    </row>
    <row r="16" spans="1:7" ht="15.75">
      <c r="A16" s="17"/>
      <c r="B16" s="140"/>
      <c r="C16" s="140"/>
      <c r="D16" s="140"/>
      <c r="E16" s="140"/>
      <c r="F16" s="18"/>
      <c r="G16" s="164" t="str">
        <f t="shared" si="0"/>
        <v>  </v>
      </c>
    </row>
    <row r="17" spans="1:7" ht="15.75">
      <c r="A17" s="17"/>
      <c r="B17" s="140"/>
      <c r="C17" s="140"/>
      <c r="D17" s="140"/>
      <c r="E17" s="140"/>
      <c r="F17" s="18"/>
      <c r="G17" s="164" t="str">
        <f t="shared" si="0"/>
        <v>  </v>
      </c>
    </row>
    <row r="18" spans="1:7" ht="15.75">
      <c r="A18" s="17"/>
      <c r="B18" s="140"/>
      <c r="C18" s="140"/>
      <c r="D18" s="140"/>
      <c r="E18" s="140"/>
      <c r="F18" s="18"/>
      <c r="G18" s="164" t="str">
        <f t="shared" si="0"/>
        <v>  </v>
      </c>
    </row>
    <row r="19" spans="1:7" ht="15.75">
      <c r="A19" s="17"/>
      <c r="B19" s="140"/>
      <c r="C19" s="140"/>
      <c r="D19" s="140"/>
      <c r="E19" s="140"/>
      <c r="F19" s="18"/>
      <c r="G19" s="164" t="str">
        <f t="shared" si="0"/>
        <v>  </v>
      </c>
    </row>
    <row r="20" spans="1:7" ht="15.75">
      <c r="A20" s="17"/>
      <c r="B20" s="140"/>
      <c r="C20" s="140"/>
      <c r="D20" s="140"/>
      <c r="E20" s="140"/>
      <c r="F20" s="18"/>
      <c r="G20" s="164" t="str">
        <f t="shared" si="0"/>
        <v>  </v>
      </c>
    </row>
    <row r="21" spans="1:7" ht="15.75">
      <c r="A21" s="17"/>
      <c r="B21" s="140"/>
      <c r="C21" s="140"/>
      <c r="D21" s="140"/>
      <c r="E21" s="140"/>
      <c r="F21" s="18"/>
      <c r="G21" s="164" t="str">
        <f t="shared" si="0"/>
        <v>  </v>
      </c>
    </row>
    <row r="22" spans="1:7" ht="15.75">
      <c r="A22" s="17"/>
      <c r="B22" s="140"/>
      <c r="C22" s="140"/>
      <c r="D22" s="140"/>
      <c r="E22" s="140"/>
      <c r="F22" s="18"/>
      <c r="G22" s="164" t="str">
        <f t="shared" si="0"/>
        <v>  </v>
      </c>
    </row>
    <row r="23" spans="1:7" ht="15.75">
      <c r="A23" s="17"/>
      <c r="B23" s="140"/>
      <c r="C23" s="140"/>
      <c r="D23" s="140"/>
      <c r="E23" s="140"/>
      <c r="F23" s="18"/>
      <c r="G23" s="164" t="str">
        <f t="shared" si="0"/>
        <v>  </v>
      </c>
    </row>
    <row r="24" spans="1:7" ht="15.75">
      <c r="A24" s="17"/>
      <c r="B24" s="140"/>
      <c r="C24" s="140"/>
      <c r="D24" s="140"/>
      <c r="E24" s="140"/>
      <c r="F24" s="18"/>
      <c r="G24" s="164" t="str">
        <f t="shared" si="0"/>
        <v>  </v>
      </c>
    </row>
    <row r="25" spans="1:7" ht="15.75">
      <c r="A25" s="17"/>
      <c r="B25" s="140"/>
      <c r="C25" s="140"/>
      <c r="D25" s="140"/>
      <c r="E25" s="140"/>
      <c r="F25" s="18"/>
      <c r="G25" s="164" t="str">
        <f t="shared" si="0"/>
        <v>  </v>
      </c>
    </row>
    <row r="26" spans="1:7" ht="15.75">
      <c r="A26" s="17"/>
      <c r="B26" s="140"/>
      <c r="C26" s="140"/>
      <c r="D26" s="140"/>
      <c r="E26" s="140"/>
      <c r="F26" s="18"/>
      <c r="G26" s="164" t="str">
        <f t="shared" si="0"/>
        <v>  </v>
      </c>
    </row>
    <row r="27" spans="1:7" ht="15.75">
      <c r="A27" s="17"/>
      <c r="B27" s="141"/>
      <c r="C27" s="140"/>
      <c r="D27" s="140"/>
      <c r="E27" s="141"/>
      <c r="F27" s="18"/>
      <c r="G27" s="164" t="str">
        <f t="shared" si="0"/>
        <v>  </v>
      </c>
    </row>
    <row r="28" spans="1:7" ht="15.75">
      <c r="A28" s="17"/>
      <c r="B28" s="141"/>
      <c r="C28" s="140"/>
      <c r="D28" s="140"/>
      <c r="E28" s="141"/>
      <c r="F28" s="18"/>
      <c r="G28" s="164" t="str">
        <f t="shared" si="0"/>
        <v>  </v>
      </c>
    </row>
    <row r="29" spans="1:7" ht="15.75">
      <c r="A29" s="17"/>
      <c r="B29" s="141"/>
      <c r="C29" s="140"/>
      <c r="D29" s="140"/>
      <c r="E29" s="141"/>
      <c r="F29" s="18"/>
      <c r="G29" s="164" t="str">
        <f t="shared" si="0"/>
        <v>  </v>
      </c>
    </row>
    <row r="30" spans="1:7" ht="15.75">
      <c r="A30" s="17"/>
      <c r="B30" s="141"/>
      <c r="C30" s="140"/>
      <c r="D30" s="140"/>
      <c r="E30" s="141"/>
      <c r="F30" s="18"/>
      <c r="G30" s="164" t="str">
        <f t="shared" si="0"/>
        <v>  </v>
      </c>
    </row>
    <row r="31" spans="1:7" ht="15.75">
      <c r="A31" s="17"/>
      <c r="B31" s="141"/>
      <c r="C31" s="140"/>
      <c r="D31" s="140"/>
      <c r="E31" s="141"/>
      <c r="F31" s="18"/>
      <c r="G31" s="164" t="str">
        <f t="shared" si="0"/>
        <v>  </v>
      </c>
    </row>
    <row r="32" spans="1:7" ht="15.75">
      <c r="A32" s="17"/>
      <c r="B32" s="141"/>
      <c r="C32" s="140"/>
      <c r="D32" s="140"/>
      <c r="E32" s="141"/>
      <c r="F32" s="18"/>
      <c r="G32" s="164" t="str">
        <f t="shared" si="0"/>
        <v>  </v>
      </c>
    </row>
    <row r="33" spans="1:7" ht="15.75">
      <c r="A33" s="17"/>
      <c r="B33" s="141"/>
      <c r="C33" s="140"/>
      <c r="D33" s="140"/>
      <c r="E33" s="141"/>
      <c r="F33" s="18"/>
      <c r="G33" s="164" t="str">
        <f t="shared" si="0"/>
        <v>  </v>
      </c>
    </row>
    <row r="34" spans="1:7" ht="15.75">
      <c r="A34" s="17"/>
      <c r="B34" s="141"/>
      <c r="C34" s="140"/>
      <c r="D34" s="140"/>
      <c r="E34" s="141"/>
      <c r="F34" s="18"/>
      <c r="G34" s="164" t="str">
        <f t="shared" si="0"/>
        <v>  </v>
      </c>
    </row>
    <row r="35" spans="1:7" ht="15.75">
      <c r="A35" s="17"/>
      <c r="B35" s="141"/>
      <c r="C35" s="140"/>
      <c r="D35" s="140"/>
      <c r="E35" s="141"/>
      <c r="F35" s="18"/>
      <c r="G35" s="164" t="str">
        <f t="shared" si="0"/>
        <v>  </v>
      </c>
    </row>
    <row r="36" spans="1:7" ht="15.75">
      <c r="A36" s="17"/>
      <c r="B36" s="141"/>
      <c r="C36" s="140"/>
      <c r="D36" s="140"/>
      <c r="E36" s="141"/>
      <c r="F36" s="18"/>
      <c r="G36" s="164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2"/>
    </row>
    <row r="38" spans="1:7" ht="15.75">
      <c r="A38" s="177" t="s">
        <v>212</v>
      </c>
      <c r="B38" s="177"/>
      <c r="C38" s="177"/>
      <c r="D38" s="177"/>
      <c r="E38" s="177"/>
      <c r="F38" s="177"/>
      <c r="G38" s="178"/>
    </row>
    <row r="39" spans="1:7" ht="15.75">
      <c r="A39" s="144"/>
      <c r="B39" s="26" t="s">
        <v>37</v>
      </c>
      <c r="C39" s="56">
        <v>32</v>
      </c>
      <c r="D39" s="144"/>
      <c r="E39" s="144"/>
      <c r="F39" s="144"/>
      <c r="G39" s="72"/>
    </row>
    <row r="40" spans="1:7" ht="15.75">
      <c r="A40" s="144"/>
      <c r="B40" s="144"/>
      <c r="C40" s="144"/>
      <c r="D40" s="144"/>
      <c r="E40" s="144"/>
      <c r="F40" s="144"/>
      <c r="G40" s="72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2"/>
      <c r="B42" s="142"/>
      <c r="C42" s="142"/>
      <c r="D42" s="142"/>
      <c r="E42" s="142"/>
      <c r="F42" s="142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inputComp!$AE$5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inputComp!$AE$7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inputComp!$AE$9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inputComp!$AE$11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inputComp!$AE$13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inputComp!$AE$15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inputComp!$AE$17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inputComp!$AE$19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cert2!A37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inputVehicle!AF$5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inputVehicle!AF$7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inputVehicle!AF$9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inputVehicle!AF$11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inputComp!$AF$5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inputComp!$AF$7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inputComp!$AF$9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inputComp!$AF$11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inputComp!$AF$13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inputComp!$AF$15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inputComp!$AF$17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inputComp!$AF$19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113">
        <f>cert2!A38</f>
        <v>0</v>
      </c>
      <c r="D3" s="114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/>
      <c r="E9" s="21">
        <f>+D36</f>
        <v>0</v>
      </c>
      <c r="F9" s="21">
        <f>+E36</f>
        <v>0</v>
      </c>
    </row>
    <row r="10" spans="1:6" ht="15.75">
      <c r="A10" s="198" t="s">
        <v>14</v>
      </c>
      <c r="B10" s="199"/>
      <c r="C10" s="200"/>
      <c r="D10" s="195"/>
      <c r="E10" s="37"/>
      <c r="F10" s="20" t="s">
        <v>6</v>
      </c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 t="str">
        <f>D51</f>
        <v> </v>
      </c>
    </row>
    <row r="13" spans="1:6" ht="15.75">
      <c r="A13" s="35" t="s">
        <v>17</v>
      </c>
      <c r="B13" s="36"/>
      <c r="C13" s="200"/>
      <c r="D13" s="195"/>
      <c r="E13" s="37"/>
      <c r="F13" s="21" t="str">
        <f>E51</f>
        <v> </v>
      </c>
    </row>
    <row r="14" spans="1:6" ht="15.75">
      <c r="A14" s="35" t="s">
        <v>86</v>
      </c>
      <c r="B14" s="36"/>
      <c r="C14" s="200"/>
      <c r="D14" s="195"/>
      <c r="E14" s="37"/>
      <c r="F14" s="21" t="str">
        <f>F51</f>
        <v> 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6"/>
    </row>
    <row r="16" spans="1:6" ht="15.75">
      <c r="A16" s="35"/>
      <c r="B16" s="36"/>
      <c r="C16" s="200"/>
      <c r="D16" s="195"/>
      <c r="E16" s="37"/>
      <c r="F16" s="16"/>
    </row>
    <row r="17" spans="1:6" ht="15.75">
      <c r="A17" s="38" t="s">
        <v>20</v>
      </c>
      <c r="B17" s="39"/>
      <c r="C17" s="201"/>
      <c r="D17" s="195"/>
      <c r="E17" s="37" t="s">
        <v>19</v>
      </c>
      <c r="F17" s="37" t="s">
        <v>19</v>
      </c>
    </row>
    <row r="18" spans="1:6" ht="15.75">
      <c r="A18" s="40"/>
      <c r="B18" s="39"/>
      <c r="C18" s="201"/>
      <c r="D18" s="195"/>
      <c r="E18" s="37"/>
      <c r="F18" s="37"/>
    </row>
    <row r="19" spans="1:6" ht="15.75">
      <c r="A19" s="40"/>
      <c r="B19" s="39"/>
      <c r="C19" s="201"/>
      <c r="D19" s="195"/>
      <c r="E19" s="37"/>
      <c r="F19" s="37"/>
    </row>
    <row r="20" spans="1:6" ht="15.75">
      <c r="A20" s="38"/>
      <c r="B20" s="39"/>
      <c r="C20" s="201"/>
      <c r="D20" s="195"/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0</v>
      </c>
      <c r="E23" s="182">
        <f>SUM(E10:E22)</f>
        <v>0</v>
      </c>
      <c r="F23" s="182">
        <f>SUM(F10:F22)</f>
        <v>0</v>
      </c>
    </row>
    <row r="24" spans="1:6" ht="15.75">
      <c r="A24" s="43" t="s">
        <v>23</v>
      </c>
      <c r="B24" s="36"/>
      <c r="C24" s="200"/>
      <c r="D24" s="196">
        <f>+D9+D23</f>
        <v>0</v>
      </c>
      <c r="E24" s="182">
        <f>+E9+E23</f>
        <v>0</v>
      </c>
      <c r="F24" s="182">
        <f>+F9+F23</f>
        <v>0</v>
      </c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/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>
        <f>SUM(E26:E34)</f>
        <v>0</v>
      </c>
      <c r="F35" s="182">
        <f>SUM(F26:F34)</f>
        <v>0</v>
      </c>
    </row>
    <row r="36" spans="1:6" ht="15.75">
      <c r="A36" s="35" t="s">
        <v>26</v>
      </c>
      <c r="B36" s="44"/>
      <c r="C36" s="204"/>
      <c r="D36" s="183">
        <f>+D24-D35</f>
        <v>0</v>
      </c>
      <c r="E36" s="183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3">
        <f>IF(F38-F24&gt;0,F38-F24,0)</f>
        <v>0</v>
      </c>
    </row>
    <row r="40" spans="1:6" ht="15.75">
      <c r="A40" s="314" t="s">
        <v>167</v>
      </c>
      <c r="B40" s="315"/>
      <c r="C40" s="315"/>
      <c r="D40" s="315"/>
      <c r="E40" s="188"/>
      <c r="F40" s="183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2014 Ad Valorem Tax</v>
      </c>
      <c r="F41" s="183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>
      <c r="A51" s="105" t="s">
        <v>33</v>
      </c>
      <c r="B51" s="111"/>
      <c r="C51" s="251">
        <f>inputVehicle!AG$5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 ht="15.75">
      <c r="A54" s="29"/>
      <c r="B54" s="29"/>
      <c r="C54" s="50"/>
      <c r="D54" s="126"/>
      <c r="E54" s="126"/>
      <c r="F54" s="126"/>
    </row>
    <row r="55" spans="1:6" ht="15.75">
      <c r="A55" s="29" t="s">
        <v>83</v>
      </c>
      <c r="B55" s="29"/>
      <c r="C55" s="50"/>
      <c r="D55" s="252">
        <f>inputVehicle!AG$7</f>
        <v>0</v>
      </c>
      <c r="E55" s="126"/>
      <c r="F55" s="126"/>
    </row>
    <row r="56" spans="1:6" ht="15.75">
      <c r="A56" s="29" t="s">
        <v>84</v>
      </c>
      <c r="B56" s="29"/>
      <c r="C56" s="50"/>
      <c r="D56" s="126"/>
      <c r="E56" s="252">
        <f>inputVehicle!AG$9</f>
        <v>0</v>
      </c>
      <c r="F56" s="126"/>
    </row>
    <row r="57" spans="1:6" ht="15.75">
      <c r="A57" s="29" t="s">
        <v>85</v>
      </c>
      <c r="B57" s="29"/>
      <c r="C57" s="50"/>
      <c r="D57" s="126"/>
      <c r="E57" s="126"/>
      <c r="F57" s="252">
        <f>inputVehicle!AG$11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inputComp!$AG$5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3">
        <f>inputComp!$AG$7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inputComp!$AG$9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inputComp!$AG$11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3">
        <f>inputComp!$AG$13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3">
        <f>inputComp!$AG$15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inputComp!$AG$17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3">
        <f>inputComp!$AG$19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2015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4.00390625" style="3" customWidth="1"/>
    <col min="10" max="10" width="2.7109375" style="3" customWidth="1"/>
    <col min="11" max="16384" width="9.140625" style="3" customWidth="1"/>
  </cols>
  <sheetData>
    <row r="1" spans="1:10" ht="15.75">
      <c r="A1" s="113" t="str">
        <f>input!$F$5</f>
        <v>Linn County</v>
      </c>
      <c r="B1" s="1"/>
      <c r="C1" s="1"/>
      <c r="D1" s="1"/>
      <c r="E1" s="1"/>
      <c r="F1" s="1"/>
      <c r="G1" s="1"/>
      <c r="H1" s="4"/>
      <c r="I1" s="1">
        <f>input!$F$8</f>
        <v>2015</v>
      </c>
      <c r="J1" s="72"/>
    </row>
    <row r="2" spans="1:10" ht="15.75">
      <c r="A2" s="1"/>
      <c r="B2" s="1"/>
      <c r="C2" s="1"/>
      <c r="D2" s="1"/>
      <c r="E2" s="1"/>
      <c r="F2" s="1"/>
      <c r="G2" s="1"/>
      <c r="H2" s="4"/>
      <c r="I2" s="72"/>
      <c r="J2" s="72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97"/>
      <c r="J3" s="72"/>
    </row>
    <row r="4" spans="1:10" ht="15.75">
      <c r="A4" s="1"/>
      <c r="B4" s="81"/>
      <c r="C4" s="81"/>
      <c r="D4" s="81"/>
      <c r="E4" s="81"/>
      <c r="F4" s="81"/>
      <c r="G4" s="81"/>
      <c r="H4" s="81"/>
      <c r="I4" s="72"/>
      <c r="J4" s="72"/>
    </row>
    <row r="5" spans="1:10" ht="15.75">
      <c r="A5" s="1"/>
      <c r="B5" s="323" t="str">
        <f>CONCATENATE("Prior Year Actual ",I1-2,"")</f>
        <v>Prior Year Actual 2013</v>
      </c>
      <c r="C5" s="324"/>
      <c r="D5" s="321" t="str">
        <f>CONCATENATE("Current Yr Estimate ",I1-1,"")</f>
        <v>Current Yr Estimate 2014</v>
      </c>
      <c r="E5" s="322"/>
      <c r="F5" s="300" t="str">
        <f>CONCATENATE("Proposed Budget Year ",I1,"")</f>
        <v>Proposed Budget Year 2015</v>
      </c>
      <c r="G5" s="320"/>
      <c r="H5" s="320"/>
      <c r="I5" s="301"/>
      <c r="J5" s="72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2014 Ad</v>
      </c>
      <c r="H6" s="100" t="s">
        <v>72</v>
      </c>
      <c r="I6" s="101" t="s">
        <v>94</v>
      </c>
      <c r="J6" s="72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8" t="s">
        <v>93</v>
      </c>
      <c r="H7" s="34" t="s">
        <v>74</v>
      </c>
      <c r="I7" s="102" t="s">
        <v>95</v>
      </c>
      <c r="J7" s="72"/>
    </row>
    <row r="8" spans="1:10" ht="15.75">
      <c r="A8" s="21" t="str">
        <f>cert2!A10</f>
        <v>Rural Fire Dist. #1</v>
      </c>
      <c r="B8" s="21">
        <f>RuralFire!D38</f>
        <v>552410.87</v>
      </c>
      <c r="C8" s="103">
        <v>3.579</v>
      </c>
      <c r="D8" s="21">
        <f>RuralFire!E38</f>
        <v>527124</v>
      </c>
      <c r="E8" s="103">
        <v>2.769</v>
      </c>
      <c r="F8" s="21">
        <f>RuralFire!F38</f>
        <v>527124</v>
      </c>
      <c r="G8" s="21">
        <f>RuralFire!F44</f>
        <v>494625.5399999998</v>
      </c>
      <c r="H8" s="164">
        <f>IF(G8&gt;0,ROUND(G8/$I8*1000,3),"  ")</f>
        <v>3.028</v>
      </c>
      <c r="I8" s="185">
        <v>163335662</v>
      </c>
      <c r="J8" s="72"/>
    </row>
    <row r="9" spans="1:10" ht="15.75">
      <c r="A9" s="21" t="str">
        <f>cert2!A11</f>
        <v>Spec.FireEquip.Replacement</v>
      </c>
      <c r="B9" s="21">
        <f>SpecFire!D35</f>
        <v>0</v>
      </c>
      <c r="C9" s="103">
        <v>0</v>
      </c>
      <c r="D9" s="21">
        <f>SpecFire!E35</f>
        <v>0</v>
      </c>
      <c r="E9" s="103">
        <v>0</v>
      </c>
      <c r="F9" s="21">
        <f>SpecFire!F35</f>
        <v>0</v>
      </c>
      <c r="G9" s="21">
        <f>SpecFire!F41</f>
        <v>0</v>
      </c>
      <c r="H9" s="164" t="str">
        <f aca="true" t="shared" si="0" ref="H9:H36">IF(G9&gt;0,ROUND(G9/$I9*1000,3),"  ")</f>
        <v>  </v>
      </c>
      <c r="I9" s="185"/>
      <c r="J9" s="72"/>
    </row>
    <row r="10" spans="1:10" ht="15.75">
      <c r="A10" s="21" t="str">
        <f>cert2!A12</f>
        <v>Cemetery Dist. #1</v>
      </c>
      <c r="B10" s="21">
        <f>Cem1!D35</f>
        <v>14962.689999999999</v>
      </c>
      <c r="C10" s="103">
        <v>0.094</v>
      </c>
      <c r="D10" s="21">
        <f>Cem1!E35</f>
        <v>11728</v>
      </c>
      <c r="E10" s="103">
        <v>0.092</v>
      </c>
      <c r="F10" s="21">
        <f>Cem1!F35</f>
        <v>10750</v>
      </c>
      <c r="G10" s="21">
        <f>Cem1!F41</f>
        <v>9911.23</v>
      </c>
      <c r="H10" s="164">
        <f t="shared" si="0"/>
        <v>0.089</v>
      </c>
      <c r="I10" s="185">
        <v>111085085</v>
      </c>
      <c r="J10" s="72"/>
    </row>
    <row r="11" spans="1:10" ht="15.75">
      <c r="A11" s="21" t="str">
        <f>cert2!A13</f>
        <v>Cemetery Dist. #4</v>
      </c>
      <c r="B11" s="21">
        <f>Cem4!D35</f>
        <v>11315</v>
      </c>
      <c r="C11" s="103">
        <v>1.294</v>
      </c>
      <c r="D11" s="21">
        <f>Cem4!E35</f>
        <v>16000</v>
      </c>
      <c r="E11" s="103">
        <v>1.249</v>
      </c>
      <c r="F11" s="21">
        <f>Cem4!F35</f>
        <v>16571</v>
      </c>
      <c r="G11" s="21">
        <f>Cem4!F41</f>
        <v>10511.48</v>
      </c>
      <c r="H11" s="164">
        <f t="shared" si="0"/>
        <v>1.232</v>
      </c>
      <c r="I11" s="185">
        <v>8533572</v>
      </c>
      <c r="J11" s="72"/>
    </row>
    <row r="12" spans="1:10" ht="15.75">
      <c r="A12" s="21" t="str">
        <f>cert2!A14</f>
        <v>Cemetery Dist. #5</v>
      </c>
      <c r="B12" s="21">
        <f>Cem5!D35</f>
        <v>8274.87</v>
      </c>
      <c r="C12" s="103">
        <v>3.301</v>
      </c>
      <c r="D12" s="21">
        <f>Cem5!E35</f>
        <v>8766.83</v>
      </c>
      <c r="E12" s="103">
        <v>3.633</v>
      </c>
      <c r="F12" s="21">
        <f>Cem5!F35</f>
        <v>9794</v>
      </c>
      <c r="G12" s="21">
        <f>Cem5!F41</f>
        <v>7986.280000000001</v>
      </c>
      <c r="H12" s="164">
        <f t="shared" si="0"/>
        <v>2.957</v>
      </c>
      <c r="I12" s="185">
        <v>2701132</v>
      </c>
      <c r="J12" s="72"/>
    </row>
    <row r="13" spans="1:10" ht="15.75">
      <c r="A13" s="21" t="str">
        <f>cert2!A15</f>
        <v>Sewer Dist. #1</v>
      </c>
      <c r="B13" s="21">
        <f>Sewer1!D35</f>
        <v>11907.34</v>
      </c>
      <c r="C13" s="103">
        <v>0</v>
      </c>
      <c r="D13" s="21">
        <f>Sewer1!E35</f>
        <v>11371.939999999999</v>
      </c>
      <c r="E13" s="103">
        <v>0</v>
      </c>
      <c r="F13" s="21">
        <f>Sewer1!F35</f>
        <v>19153</v>
      </c>
      <c r="G13" s="21">
        <f>Sewer1!F41</f>
        <v>0</v>
      </c>
      <c r="H13" s="164" t="str">
        <f t="shared" si="0"/>
        <v>  </v>
      </c>
      <c r="I13" s="185"/>
      <c r="J13" s="72"/>
    </row>
    <row r="14" spans="1:10" ht="15.75">
      <c r="A14" s="21">
        <f>cert2!A16</f>
        <v>0</v>
      </c>
      <c r="B14" s="21">
        <f>Sheet7!D35</f>
        <v>0</v>
      </c>
      <c r="C14" s="103"/>
      <c r="D14" s="21">
        <f>Sheet7!E35</f>
        <v>0</v>
      </c>
      <c r="E14" s="103"/>
      <c r="F14" s="21">
        <f>Sheet7!F35</f>
        <v>0</v>
      </c>
      <c r="G14" s="21">
        <f>Sheet7!F41</f>
        <v>0</v>
      </c>
      <c r="H14" s="164" t="str">
        <f t="shared" si="0"/>
        <v>  </v>
      </c>
      <c r="I14" s="179"/>
      <c r="J14" s="72"/>
    </row>
    <row r="15" spans="1:10" ht="15.75">
      <c r="A15" s="21">
        <f>cert2!A17</f>
        <v>0</v>
      </c>
      <c r="B15" s="21">
        <f>Sheet8!D35</f>
        <v>0</v>
      </c>
      <c r="C15" s="103"/>
      <c r="D15" s="21">
        <f>Sheet8!E35</f>
        <v>0</v>
      </c>
      <c r="E15" s="103"/>
      <c r="F15" s="21">
        <f>Sheet8!F35</f>
        <v>0</v>
      </c>
      <c r="G15" s="21">
        <f>Sheet8!F41</f>
        <v>0</v>
      </c>
      <c r="H15" s="164" t="str">
        <f t="shared" si="0"/>
        <v>  </v>
      </c>
      <c r="I15" s="179"/>
      <c r="J15" s="72"/>
    </row>
    <row r="16" spans="1:10" ht="15.75">
      <c r="A16" s="21">
        <f>cert2!A18</f>
        <v>0</v>
      </c>
      <c r="B16" s="21">
        <f>Sheet9!D35</f>
        <v>0</v>
      </c>
      <c r="C16" s="103"/>
      <c r="D16" s="21">
        <f>Sheet9!E35</f>
        <v>0</v>
      </c>
      <c r="E16" s="103"/>
      <c r="F16" s="21">
        <f>Sheet9!F35</f>
        <v>0</v>
      </c>
      <c r="G16" s="21">
        <f>Sheet9!F41</f>
        <v>0</v>
      </c>
      <c r="H16" s="164" t="str">
        <f t="shared" si="0"/>
        <v>  </v>
      </c>
      <c r="I16" s="179"/>
      <c r="J16" s="72"/>
    </row>
    <row r="17" spans="1:10" ht="15.75">
      <c r="A17" s="21">
        <f>cert2!A19</f>
        <v>0</v>
      </c>
      <c r="B17" s="21">
        <f>Sheet10!D35</f>
        <v>0</v>
      </c>
      <c r="C17" s="103"/>
      <c r="D17" s="21">
        <f>Sheet10!E35</f>
        <v>0</v>
      </c>
      <c r="E17" s="103"/>
      <c r="F17" s="21">
        <f>Sheet10!F35</f>
        <v>0</v>
      </c>
      <c r="G17" s="21">
        <f>Sheet10!F41</f>
        <v>0</v>
      </c>
      <c r="H17" s="164" t="str">
        <f t="shared" si="0"/>
        <v>  </v>
      </c>
      <c r="I17" s="179"/>
      <c r="J17" s="72"/>
    </row>
    <row r="18" spans="1:10" ht="15.75">
      <c r="A18" s="21">
        <f>cert2!A20</f>
        <v>0</v>
      </c>
      <c r="B18" s="21">
        <f>Sheet11!D35</f>
        <v>0</v>
      </c>
      <c r="C18" s="103"/>
      <c r="D18" s="21">
        <f>Sheet11!E35</f>
        <v>0</v>
      </c>
      <c r="E18" s="103"/>
      <c r="F18" s="21">
        <f>Sheet11!F35</f>
        <v>0</v>
      </c>
      <c r="G18" s="21">
        <f>Sheet11!F41</f>
        <v>0</v>
      </c>
      <c r="H18" s="164" t="str">
        <f t="shared" si="0"/>
        <v>  </v>
      </c>
      <c r="I18" s="179"/>
      <c r="J18" s="72"/>
    </row>
    <row r="19" spans="1:10" ht="15.75">
      <c r="A19" s="21">
        <f>cert2!A21</f>
        <v>0</v>
      </c>
      <c r="B19" s="21">
        <f>Sheet12!D35</f>
        <v>0</v>
      </c>
      <c r="C19" s="103"/>
      <c r="D19" s="21">
        <f>Sheet12!E35</f>
        <v>0</v>
      </c>
      <c r="E19" s="103"/>
      <c r="F19" s="21">
        <f>Sheet12!F35</f>
        <v>0</v>
      </c>
      <c r="G19" s="21">
        <f>Sheet12!F41</f>
        <v>0</v>
      </c>
      <c r="H19" s="164" t="str">
        <f t="shared" si="0"/>
        <v>  </v>
      </c>
      <c r="I19" s="179"/>
      <c r="J19" s="72"/>
    </row>
    <row r="20" spans="1:10" ht="15.75">
      <c r="A20" s="21">
        <f>cert2!A22</f>
        <v>0</v>
      </c>
      <c r="B20" s="21">
        <f>Sheet13!D35</f>
        <v>0</v>
      </c>
      <c r="C20" s="103"/>
      <c r="D20" s="21">
        <f>Sheet13!E35</f>
        <v>0</v>
      </c>
      <c r="E20" s="103"/>
      <c r="F20" s="21">
        <f>Sheet13!F35</f>
        <v>0</v>
      </c>
      <c r="G20" s="21">
        <f>Sheet13!F41</f>
        <v>0</v>
      </c>
      <c r="H20" s="164" t="str">
        <f t="shared" si="0"/>
        <v>  </v>
      </c>
      <c r="I20" s="179"/>
      <c r="J20" s="72"/>
    </row>
    <row r="21" spans="1:10" ht="15.75">
      <c r="A21" s="21">
        <f>cert2!A23</f>
        <v>0</v>
      </c>
      <c r="B21" s="21">
        <f>Sheet14!D35</f>
        <v>0</v>
      </c>
      <c r="C21" s="103"/>
      <c r="D21" s="21">
        <f>Sheet14!E35</f>
        <v>0</v>
      </c>
      <c r="E21" s="103"/>
      <c r="F21" s="21">
        <f>Sheet14!F35</f>
        <v>0</v>
      </c>
      <c r="G21" s="21">
        <f>Sheet14!F41</f>
        <v>0</v>
      </c>
      <c r="H21" s="164" t="str">
        <f t="shared" si="0"/>
        <v>  </v>
      </c>
      <c r="I21" s="179"/>
      <c r="J21" s="72"/>
    </row>
    <row r="22" spans="1:10" ht="15.75">
      <c r="A22" s="21">
        <f>cert2!A24</f>
        <v>0</v>
      </c>
      <c r="B22" s="21">
        <f>Sheet15!D35</f>
        <v>0</v>
      </c>
      <c r="C22" s="103"/>
      <c r="D22" s="21">
        <f>Sheet15!E35</f>
        <v>0</v>
      </c>
      <c r="E22" s="103"/>
      <c r="F22" s="21">
        <f>Sheet15!F35</f>
        <v>0</v>
      </c>
      <c r="G22" s="21">
        <f>Sheet15!F41</f>
        <v>0</v>
      </c>
      <c r="H22" s="164" t="str">
        <f t="shared" si="0"/>
        <v>  </v>
      </c>
      <c r="I22" s="179"/>
      <c r="J22" s="72"/>
    </row>
    <row r="23" spans="1:10" ht="15.75">
      <c r="A23" s="21">
        <f>cert2!A25</f>
        <v>0</v>
      </c>
      <c r="B23" s="21">
        <f>Sheet16!D35</f>
        <v>0</v>
      </c>
      <c r="C23" s="103"/>
      <c r="D23" s="21">
        <f>Sheet16!E35</f>
        <v>0</v>
      </c>
      <c r="E23" s="103"/>
      <c r="F23" s="21">
        <f>Sheet16!F35</f>
        <v>0</v>
      </c>
      <c r="G23" s="21">
        <f>Sheet16!F41</f>
        <v>0</v>
      </c>
      <c r="H23" s="164" t="str">
        <f t="shared" si="0"/>
        <v>  </v>
      </c>
      <c r="I23" s="179"/>
      <c r="J23" s="72"/>
    </row>
    <row r="24" spans="1:10" ht="15.75">
      <c r="A24" s="21">
        <f>cert2!A26</f>
        <v>0</v>
      </c>
      <c r="B24" s="21">
        <f>Sheet17!D35</f>
        <v>0</v>
      </c>
      <c r="C24" s="103"/>
      <c r="D24" s="21">
        <f>Sheet17!E35</f>
        <v>0</v>
      </c>
      <c r="E24" s="103"/>
      <c r="F24" s="21">
        <f>Sheet17!F35</f>
        <v>0</v>
      </c>
      <c r="G24" s="21">
        <f>Sheet17!F41</f>
        <v>0</v>
      </c>
      <c r="H24" s="164" t="str">
        <f t="shared" si="0"/>
        <v>  </v>
      </c>
      <c r="I24" s="179"/>
      <c r="J24" s="72"/>
    </row>
    <row r="25" spans="1:10" ht="15.75">
      <c r="A25" s="21">
        <f>cert2!A27</f>
        <v>0</v>
      </c>
      <c r="B25" s="21">
        <f>Sheet18!D35</f>
        <v>0</v>
      </c>
      <c r="C25" s="103"/>
      <c r="D25" s="21">
        <f>Sheet18!E35</f>
        <v>0</v>
      </c>
      <c r="E25" s="103"/>
      <c r="F25" s="21">
        <f>Sheet18!F35</f>
        <v>0</v>
      </c>
      <c r="G25" s="21">
        <f>Sheet18!F41</f>
        <v>0</v>
      </c>
      <c r="H25" s="164" t="str">
        <f t="shared" si="0"/>
        <v>  </v>
      </c>
      <c r="I25" s="179"/>
      <c r="J25" s="72"/>
    </row>
    <row r="26" spans="1:10" ht="15.75">
      <c r="A26" s="21">
        <f>cert2!A28</f>
        <v>0</v>
      </c>
      <c r="B26" s="21">
        <f>Sheet19!D35</f>
        <v>0</v>
      </c>
      <c r="C26" s="103"/>
      <c r="D26" s="21">
        <f>Sheet19!E35</f>
        <v>0</v>
      </c>
      <c r="E26" s="103"/>
      <c r="F26" s="21">
        <f>Sheet19!F35</f>
        <v>0</v>
      </c>
      <c r="G26" s="21">
        <f>Sheet19!F41</f>
        <v>0</v>
      </c>
      <c r="H26" s="164" t="str">
        <f t="shared" si="0"/>
        <v>  </v>
      </c>
      <c r="I26" s="179"/>
      <c r="J26" s="72"/>
    </row>
    <row r="27" spans="1:10" ht="15.75">
      <c r="A27" s="21">
        <f>cert2!A29</f>
        <v>0</v>
      </c>
      <c r="B27" s="21">
        <f>Sheet20!D35</f>
        <v>0</v>
      </c>
      <c r="C27" s="103"/>
      <c r="D27" s="21">
        <f>Sheet20!E35</f>
        <v>0</v>
      </c>
      <c r="E27" s="103"/>
      <c r="F27" s="21">
        <f>Sheet20!F35</f>
        <v>0</v>
      </c>
      <c r="G27" s="21">
        <f>Sheet20!F41</f>
        <v>0</v>
      </c>
      <c r="H27" s="164" t="str">
        <f t="shared" si="0"/>
        <v>  </v>
      </c>
      <c r="I27" s="179"/>
      <c r="J27" s="72"/>
    </row>
    <row r="28" spans="1:10" ht="15.75">
      <c r="A28" s="21">
        <f>cert2!A30</f>
        <v>0</v>
      </c>
      <c r="B28" s="21">
        <f>Sheet21!D35</f>
        <v>0</v>
      </c>
      <c r="C28" s="103"/>
      <c r="D28" s="21">
        <f>Sheet21!E35</f>
        <v>0</v>
      </c>
      <c r="E28" s="103"/>
      <c r="F28" s="21">
        <f>Sheet21!F35</f>
        <v>0</v>
      </c>
      <c r="G28" s="21">
        <f>Sheet21!F41</f>
        <v>0</v>
      </c>
      <c r="H28" s="164" t="str">
        <f t="shared" si="0"/>
        <v>  </v>
      </c>
      <c r="I28" s="179"/>
      <c r="J28" s="72"/>
    </row>
    <row r="29" spans="1:10" ht="15.75">
      <c r="A29" s="21">
        <f>cert2!A31</f>
        <v>0</v>
      </c>
      <c r="B29" s="21">
        <f>Sheet22!D35</f>
        <v>0</v>
      </c>
      <c r="C29" s="103"/>
      <c r="D29" s="21">
        <f>Sheet22!E35</f>
        <v>0</v>
      </c>
      <c r="E29" s="103"/>
      <c r="F29" s="21">
        <f>Sheet22!F35</f>
        <v>0</v>
      </c>
      <c r="G29" s="21">
        <f>Sheet22!F41</f>
        <v>0</v>
      </c>
      <c r="H29" s="164" t="str">
        <f t="shared" si="0"/>
        <v>  </v>
      </c>
      <c r="I29" s="179"/>
      <c r="J29" s="72"/>
    </row>
    <row r="30" spans="1:10" ht="15.75">
      <c r="A30" s="21">
        <f>cert2!A32</f>
        <v>0</v>
      </c>
      <c r="B30" s="21">
        <f>Sheet23!D35</f>
        <v>0</v>
      </c>
      <c r="C30" s="103"/>
      <c r="D30" s="21">
        <f>Sheet23!E35</f>
        <v>0</v>
      </c>
      <c r="E30" s="103"/>
      <c r="F30" s="21">
        <f>Sheet23!F35</f>
        <v>0</v>
      </c>
      <c r="G30" s="21">
        <f>Sheet23!F41</f>
        <v>0</v>
      </c>
      <c r="H30" s="164" t="str">
        <f t="shared" si="0"/>
        <v>  </v>
      </c>
      <c r="I30" s="179"/>
      <c r="J30" s="72"/>
    </row>
    <row r="31" spans="1:10" ht="15.75">
      <c r="A31" s="21">
        <f>cert2!A33</f>
        <v>0</v>
      </c>
      <c r="B31" s="21">
        <f>Sheet24!D35</f>
        <v>0</v>
      </c>
      <c r="C31" s="103"/>
      <c r="D31" s="21">
        <f>Sheet24!E35</f>
        <v>0</v>
      </c>
      <c r="E31" s="103"/>
      <c r="F31" s="21">
        <f>Sheet24!F35</f>
        <v>0</v>
      </c>
      <c r="G31" s="21">
        <f>Sheet24!F41</f>
        <v>0</v>
      </c>
      <c r="H31" s="164" t="str">
        <f t="shared" si="0"/>
        <v>  </v>
      </c>
      <c r="I31" s="179"/>
      <c r="J31" s="72"/>
    </row>
    <row r="32" spans="1:10" ht="15.75">
      <c r="A32" s="21">
        <f>cert2!A34</f>
        <v>0</v>
      </c>
      <c r="B32" s="21">
        <f>Sheet25!D35</f>
        <v>0</v>
      </c>
      <c r="C32" s="103"/>
      <c r="D32" s="21">
        <f>Sheet25!E35</f>
        <v>0</v>
      </c>
      <c r="E32" s="103"/>
      <c r="F32" s="21">
        <f>Sheet25!F35</f>
        <v>0</v>
      </c>
      <c r="G32" s="21">
        <f>Sheet25!F41</f>
        <v>0</v>
      </c>
      <c r="H32" s="164" t="str">
        <f t="shared" si="0"/>
        <v>  </v>
      </c>
      <c r="I32" s="179"/>
      <c r="J32" s="72"/>
    </row>
    <row r="33" spans="1:10" ht="15.75">
      <c r="A33" s="21">
        <f>cert2!A35</f>
        <v>0</v>
      </c>
      <c r="B33" s="21">
        <f>Sheet26!D35</f>
        <v>0</v>
      </c>
      <c r="C33" s="103"/>
      <c r="D33" s="21">
        <f>Sheet26!E35</f>
        <v>0</v>
      </c>
      <c r="E33" s="103"/>
      <c r="F33" s="21">
        <f>Sheet26!F35</f>
        <v>0</v>
      </c>
      <c r="G33" s="21">
        <f>Sheet26!F41</f>
        <v>0</v>
      </c>
      <c r="H33" s="164" t="str">
        <f t="shared" si="0"/>
        <v>  </v>
      </c>
      <c r="I33" s="179"/>
      <c r="J33" s="72"/>
    </row>
    <row r="34" spans="1:10" ht="15.75">
      <c r="A34" s="21">
        <f>cert2!A36</f>
        <v>0</v>
      </c>
      <c r="B34" s="21">
        <f>Sheet27!D35</f>
        <v>0</v>
      </c>
      <c r="C34" s="103"/>
      <c r="D34" s="21">
        <f>Sheet27!E35</f>
        <v>0</v>
      </c>
      <c r="E34" s="103"/>
      <c r="F34" s="21">
        <f>Sheet27!F35</f>
        <v>0</v>
      </c>
      <c r="G34" s="21">
        <f>Sheet27!F41</f>
        <v>0</v>
      </c>
      <c r="H34" s="164" t="str">
        <f t="shared" si="0"/>
        <v>  </v>
      </c>
      <c r="I34" s="179"/>
      <c r="J34" s="72"/>
    </row>
    <row r="35" spans="1:10" ht="15.75">
      <c r="A35" s="21">
        <f>cert2!A37</f>
        <v>0</v>
      </c>
      <c r="B35" s="21">
        <f>Sheet28!D35</f>
        <v>0</v>
      </c>
      <c r="C35" s="103"/>
      <c r="D35" s="21">
        <f>Sheet28!E35</f>
        <v>0</v>
      </c>
      <c r="E35" s="103"/>
      <c r="F35" s="21">
        <f>Sheet28!F35</f>
        <v>0</v>
      </c>
      <c r="G35" s="21">
        <f>Sheet28!F41</f>
        <v>0</v>
      </c>
      <c r="H35" s="164" t="str">
        <f t="shared" si="0"/>
        <v>  </v>
      </c>
      <c r="I35" s="179"/>
      <c r="J35" s="72"/>
    </row>
    <row r="36" spans="1:10" ht="15.75">
      <c r="A36" s="21">
        <f>cert2!A38</f>
        <v>0</v>
      </c>
      <c r="B36" s="21">
        <f>Sheet29!D35</f>
        <v>0</v>
      </c>
      <c r="C36" s="103"/>
      <c r="D36" s="21">
        <f>Sheet29!E35</f>
        <v>0</v>
      </c>
      <c r="E36" s="103"/>
      <c r="F36" s="21">
        <f>Sheet29!F35</f>
        <v>0</v>
      </c>
      <c r="G36" s="21">
        <f>Sheet29!F41</f>
        <v>0</v>
      </c>
      <c r="H36" s="164" t="str">
        <f t="shared" si="0"/>
        <v>  </v>
      </c>
      <c r="I36" s="179"/>
      <c r="J36" s="72"/>
    </row>
    <row r="37" spans="1:10" ht="15.75">
      <c r="A37" s="19" t="s">
        <v>75</v>
      </c>
      <c r="B37" s="183">
        <f aca="true" t="shared" si="1" ref="B37:H37">SUM(B8:B36)</f>
        <v>598870.7699999999</v>
      </c>
      <c r="C37" s="186">
        <f t="shared" si="1"/>
        <v>8.268</v>
      </c>
      <c r="D37" s="183">
        <f t="shared" si="1"/>
        <v>574990.7699999999</v>
      </c>
      <c r="E37" s="186">
        <f t="shared" si="1"/>
        <v>7.743</v>
      </c>
      <c r="F37" s="183">
        <f t="shared" si="1"/>
        <v>583392</v>
      </c>
      <c r="G37" s="183">
        <f t="shared" si="1"/>
        <v>523034.5299999998</v>
      </c>
      <c r="H37" s="187">
        <f t="shared" si="1"/>
        <v>7.306</v>
      </c>
      <c r="I37" s="99"/>
      <c r="J37" s="72"/>
    </row>
    <row r="38" spans="1:10" ht="15.75">
      <c r="A38" s="1"/>
      <c r="B38" s="1"/>
      <c r="C38" s="1"/>
      <c r="D38" s="1"/>
      <c r="E38" s="1"/>
      <c r="F38" s="1"/>
      <c r="G38" s="1"/>
      <c r="H38" s="1"/>
      <c r="I38" s="72"/>
      <c r="J38" s="72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2"/>
      <c r="J39" s="72"/>
    </row>
    <row r="40" spans="1:10" ht="15.75">
      <c r="A40" s="1"/>
      <c r="B40" s="1"/>
      <c r="C40" s="1"/>
      <c r="D40" s="1"/>
      <c r="E40" s="1"/>
      <c r="F40" s="1"/>
      <c r="G40" s="1"/>
      <c r="H40" s="1"/>
      <c r="I40" s="72"/>
      <c r="J40" s="72"/>
    </row>
    <row r="41" spans="1:10" ht="15.75">
      <c r="A41" s="85"/>
      <c r="B41" s="1"/>
      <c r="C41" s="1"/>
      <c r="D41" s="1"/>
      <c r="E41" s="1"/>
      <c r="F41" s="1"/>
      <c r="G41" s="1"/>
      <c r="H41" s="1"/>
      <c r="I41" s="72"/>
      <c r="J41" s="72"/>
    </row>
    <row r="42" spans="1:10" ht="15.75">
      <c r="A42" s="6" t="s">
        <v>77</v>
      </c>
      <c r="B42" s="1"/>
      <c r="C42" s="1"/>
      <c r="D42" s="47" t="s">
        <v>138</v>
      </c>
      <c r="E42" s="56" t="s">
        <v>319</v>
      </c>
      <c r="F42" s="1"/>
      <c r="G42" s="1"/>
      <c r="H42" s="1"/>
      <c r="I42" s="72"/>
      <c r="J42" s="72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6"/>
      <c r="C46" s="23"/>
      <c r="D46" s="86"/>
      <c r="E46" s="23"/>
      <c r="F46" s="86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5"/>
      <c r="C54" s="23"/>
      <c r="D54" s="23"/>
      <c r="E54" s="23"/>
      <c r="F54" s="23"/>
      <c r="G54" s="23"/>
      <c r="H54" s="23"/>
    </row>
    <row r="55" spans="2:8" ht="15.75">
      <c r="B55" s="87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1" t="str">
        <f>input!$F$5</f>
        <v>Linn County</v>
      </c>
      <c r="B1" s="1"/>
      <c r="C1" s="1"/>
      <c r="D1" s="1"/>
      <c r="E1" s="1"/>
      <c r="F1" s="1"/>
      <c r="G1" s="1"/>
      <c r="H1" s="4"/>
      <c r="I1" s="1">
        <f>input!$F$8</f>
        <v>2015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7"/>
      <c r="J3" s="1"/>
    </row>
    <row r="4" spans="1:10" ht="15.75">
      <c r="A4" s="1"/>
      <c r="B4" s="81"/>
      <c r="C4" s="81"/>
      <c r="D4" s="81"/>
      <c r="E4" s="81"/>
      <c r="F4" s="81"/>
      <c r="G4" s="81"/>
      <c r="H4" s="81"/>
      <c r="I4" s="1"/>
      <c r="J4" s="1"/>
    </row>
    <row r="5" spans="1:10" ht="15.75">
      <c r="A5" s="1"/>
      <c r="B5" s="82" t="str">
        <f>CONCATENATE("Prior Year Actual ",I1-2,"")</f>
        <v>Prior Year Actual 2013</v>
      </c>
      <c r="C5" s="8"/>
      <c r="D5" s="83" t="str">
        <f>CONCATENATE("Current Year Estimate ",I1-1,"")</f>
        <v>Current Year Estimate 2014</v>
      </c>
      <c r="E5" s="8"/>
      <c r="F5" s="300" t="str">
        <f>CONCATENATE("Proposed Year ",I1,"")</f>
        <v>Proposed Year 2015</v>
      </c>
      <c r="G5" s="320"/>
      <c r="H5" s="320"/>
      <c r="I5" s="301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25" t="str">
        <f>CONCATENATE("Amount of ",I1-1," Ad Valorem Tax")</f>
        <v>Amount of 2014 Ad Valorem Tax</v>
      </c>
      <c r="H6" s="100" t="s">
        <v>72</v>
      </c>
      <c r="I6" s="32" t="s">
        <v>94</v>
      </c>
      <c r="J6" s="1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326"/>
      <c r="H7" s="34" t="s">
        <v>74</v>
      </c>
      <c r="I7" s="34" t="s">
        <v>95</v>
      </c>
      <c r="J7" s="1"/>
    </row>
    <row r="8" spans="1:10" ht="15.75">
      <c r="A8" s="17"/>
      <c r="B8" s="17"/>
      <c r="C8" s="103"/>
      <c r="D8" s="17"/>
      <c r="E8" s="103"/>
      <c r="F8" s="17"/>
      <c r="G8" s="17"/>
      <c r="H8" s="164" t="str">
        <f>IF(G8&gt;0,ROUND(G8/I8*1000,3)," ")</f>
        <v> </v>
      </c>
      <c r="I8" s="179"/>
      <c r="J8" s="72"/>
    </row>
    <row r="9" spans="1:10" ht="15.75">
      <c r="A9" s="17"/>
      <c r="B9" s="17"/>
      <c r="C9" s="103"/>
      <c r="D9" s="17"/>
      <c r="E9" s="103"/>
      <c r="F9" s="17"/>
      <c r="G9" s="17"/>
      <c r="H9" s="164" t="str">
        <f aca="true" t="shared" si="0" ref="H9:H37">IF(G9&gt;0,ROUND(G9/I9*1000,3)," ")</f>
        <v> </v>
      </c>
      <c r="I9" s="18"/>
      <c r="J9" s="72"/>
    </row>
    <row r="10" spans="1:10" ht="15.75">
      <c r="A10" s="17"/>
      <c r="B10" s="17"/>
      <c r="C10" s="103"/>
      <c r="D10" s="17"/>
      <c r="E10" s="103"/>
      <c r="F10" s="17"/>
      <c r="G10" s="17"/>
      <c r="H10" s="164" t="str">
        <f t="shared" si="0"/>
        <v> </v>
      </c>
      <c r="I10" s="18"/>
      <c r="J10" s="72"/>
    </row>
    <row r="11" spans="1:10" ht="15.75">
      <c r="A11" s="17"/>
      <c r="B11" s="17"/>
      <c r="C11" s="103"/>
      <c r="D11" s="17"/>
      <c r="E11" s="103"/>
      <c r="F11" s="17"/>
      <c r="G11" s="17"/>
      <c r="H11" s="164" t="str">
        <f t="shared" si="0"/>
        <v> </v>
      </c>
      <c r="I11" s="18"/>
      <c r="J11" s="72"/>
    </row>
    <row r="12" spans="1:10" ht="15.75">
      <c r="A12" s="17"/>
      <c r="B12" s="17"/>
      <c r="C12" s="103"/>
      <c r="D12" s="17"/>
      <c r="E12" s="103"/>
      <c r="F12" s="17"/>
      <c r="G12" s="17"/>
      <c r="H12" s="164" t="str">
        <f t="shared" si="0"/>
        <v> </v>
      </c>
      <c r="I12" s="18"/>
      <c r="J12" s="72"/>
    </row>
    <row r="13" spans="1:10" ht="15.75">
      <c r="A13" s="17"/>
      <c r="B13" s="17"/>
      <c r="C13" s="103"/>
      <c r="D13" s="17"/>
      <c r="E13" s="103"/>
      <c r="F13" s="17"/>
      <c r="G13" s="17"/>
      <c r="H13" s="164" t="str">
        <f t="shared" si="0"/>
        <v> </v>
      </c>
      <c r="I13" s="18"/>
      <c r="J13" s="72"/>
    </row>
    <row r="14" spans="1:10" ht="15.75">
      <c r="A14" s="17"/>
      <c r="B14" s="17"/>
      <c r="C14" s="103"/>
      <c r="D14" s="17"/>
      <c r="E14" s="103"/>
      <c r="F14" s="17"/>
      <c r="G14" s="17"/>
      <c r="H14" s="164" t="str">
        <f t="shared" si="0"/>
        <v> </v>
      </c>
      <c r="I14" s="18"/>
      <c r="J14" s="72"/>
    </row>
    <row r="15" spans="1:10" ht="15.75">
      <c r="A15" s="17"/>
      <c r="B15" s="17"/>
      <c r="C15" s="103"/>
      <c r="D15" s="17"/>
      <c r="E15" s="103"/>
      <c r="F15" s="17"/>
      <c r="G15" s="17"/>
      <c r="H15" s="164" t="str">
        <f t="shared" si="0"/>
        <v> </v>
      </c>
      <c r="I15" s="18"/>
      <c r="J15" s="72"/>
    </row>
    <row r="16" spans="1:10" ht="15.75">
      <c r="A16" s="17"/>
      <c r="B16" s="17"/>
      <c r="C16" s="103"/>
      <c r="D16" s="17"/>
      <c r="E16" s="103"/>
      <c r="F16" s="17"/>
      <c r="G16" s="17"/>
      <c r="H16" s="164" t="str">
        <f t="shared" si="0"/>
        <v> </v>
      </c>
      <c r="I16" s="18"/>
      <c r="J16" s="72"/>
    </row>
    <row r="17" spans="1:10" ht="15.75">
      <c r="A17" s="17"/>
      <c r="B17" s="17"/>
      <c r="C17" s="103"/>
      <c r="D17" s="17"/>
      <c r="E17" s="103"/>
      <c r="F17" s="17"/>
      <c r="G17" s="17"/>
      <c r="H17" s="164" t="str">
        <f t="shared" si="0"/>
        <v> </v>
      </c>
      <c r="I17" s="18"/>
      <c r="J17" s="72"/>
    </row>
    <row r="18" spans="1:10" ht="15.75">
      <c r="A18" s="17"/>
      <c r="B18" s="17"/>
      <c r="C18" s="103"/>
      <c r="D18" s="17"/>
      <c r="E18" s="103"/>
      <c r="F18" s="17"/>
      <c r="G18" s="17"/>
      <c r="H18" s="164" t="str">
        <f t="shared" si="0"/>
        <v> </v>
      </c>
      <c r="I18" s="18"/>
      <c r="J18" s="72"/>
    </row>
    <row r="19" spans="1:10" ht="15.75">
      <c r="A19" s="17"/>
      <c r="B19" s="17"/>
      <c r="C19" s="103"/>
      <c r="D19" s="17"/>
      <c r="E19" s="103"/>
      <c r="F19" s="17"/>
      <c r="G19" s="17"/>
      <c r="H19" s="164" t="str">
        <f t="shared" si="0"/>
        <v> </v>
      </c>
      <c r="I19" s="18"/>
      <c r="J19" s="72"/>
    </row>
    <row r="20" spans="1:10" ht="15.75">
      <c r="A20" s="17"/>
      <c r="B20" s="17"/>
      <c r="C20" s="103"/>
      <c r="D20" s="17"/>
      <c r="E20" s="103"/>
      <c r="F20" s="17"/>
      <c r="G20" s="17"/>
      <c r="H20" s="164" t="str">
        <f t="shared" si="0"/>
        <v> </v>
      </c>
      <c r="I20" s="18"/>
      <c r="J20" s="72"/>
    </row>
    <row r="21" spans="1:10" ht="15.75">
      <c r="A21" s="17"/>
      <c r="B21" s="17"/>
      <c r="C21" s="103"/>
      <c r="D21" s="17"/>
      <c r="E21" s="103"/>
      <c r="F21" s="17"/>
      <c r="G21" s="17"/>
      <c r="H21" s="164" t="str">
        <f t="shared" si="0"/>
        <v> </v>
      </c>
      <c r="I21" s="18"/>
      <c r="J21" s="72"/>
    </row>
    <row r="22" spans="1:10" ht="15.75">
      <c r="A22" s="17"/>
      <c r="B22" s="17"/>
      <c r="C22" s="103"/>
      <c r="D22" s="17"/>
      <c r="E22" s="103"/>
      <c r="F22" s="17"/>
      <c r="G22" s="17"/>
      <c r="H22" s="164" t="str">
        <f t="shared" si="0"/>
        <v> </v>
      </c>
      <c r="I22" s="18"/>
      <c r="J22" s="72"/>
    </row>
    <row r="23" spans="1:10" ht="15.75">
      <c r="A23" s="17"/>
      <c r="B23" s="17"/>
      <c r="C23" s="103"/>
      <c r="D23" s="17"/>
      <c r="E23" s="103"/>
      <c r="F23" s="17"/>
      <c r="G23" s="17"/>
      <c r="H23" s="164" t="str">
        <f t="shared" si="0"/>
        <v> </v>
      </c>
      <c r="I23" s="18"/>
      <c r="J23" s="72"/>
    </row>
    <row r="24" spans="1:10" ht="15.75">
      <c r="A24" s="17"/>
      <c r="B24" s="17"/>
      <c r="C24" s="103"/>
      <c r="D24" s="17"/>
      <c r="E24" s="103"/>
      <c r="F24" s="17"/>
      <c r="G24" s="17"/>
      <c r="H24" s="164" t="str">
        <f t="shared" si="0"/>
        <v> </v>
      </c>
      <c r="I24" s="18"/>
      <c r="J24" s="72"/>
    </row>
    <row r="25" spans="1:10" ht="15.75">
      <c r="A25" s="17"/>
      <c r="B25" s="17"/>
      <c r="C25" s="103"/>
      <c r="D25" s="17"/>
      <c r="E25" s="103"/>
      <c r="F25" s="17"/>
      <c r="G25" s="17"/>
      <c r="H25" s="164" t="str">
        <f t="shared" si="0"/>
        <v> </v>
      </c>
      <c r="I25" s="18"/>
      <c r="J25" s="72"/>
    </row>
    <row r="26" spans="1:10" ht="15.75">
      <c r="A26" s="17"/>
      <c r="B26" s="17"/>
      <c r="C26" s="103"/>
      <c r="D26" s="17"/>
      <c r="E26" s="103"/>
      <c r="F26" s="17"/>
      <c r="G26" s="17"/>
      <c r="H26" s="164" t="str">
        <f t="shared" si="0"/>
        <v> </v>
      </c>
      <c r="I26" s="18"/>
      <c r="J26" s="72"/>
    </row>
    <row r="27" spans="1:10" ht="15.75">
      <c r="A27" s="17"/>
      <c r="B27" s="17"/>
      <c r="C27" s="103"/>
      <c r="D27" s="17"/>
      <c r="E27" s="103"/>
      <c r="F27" s="17"/>
      <c r="G27" s="17"/>
      <c r="H27" s="164" t="str">
        <f t="shared" si="0"/>
        <v> </v>
      </c>
      <c r="I27" s="18"/>
      <c r="J27" s="72"/>
    </row>
    <row r="28" spans="1:10" ht="15.75">
      <c r="A28" s="17"/>
      <c r="B28" s="17"/>
      <c r="C28" s="103"/>
      <c r="D28" s="17"/>
      <c r="E28" s="103"/>
      <c r="F28" s="17"/>
      <c r="G28" s="17"/>
      <c r="H28" s="164" t="str">
        <f t="shared" si="0"/>
        <v> </v>
      </c>
      <c r="I28" s="18"/>
      <c r="J28" s="72"/>
    </row>
    <row r="29" spans="1:10" ht="15.75">
      <c r="A29" s="17"/>
      <c r="B29" s="17"/>
      <c r="C29" s="103"/>
      <c r="D29" s="17"/>
      <c r="E29" s="103"/>
      <c r="F29" s="17"/>
      <c r="G29" s="17"/>
      <c r="H29" s="164" t="str">
        <f t="shared" si="0"/>
        <v> </v>
      </c>
      <c r="I29" s="18"/>
      <c r="J29" s="72"/>
    </row>
    <row r="30" spans="1:10" ht="15.75">
      <c r="A30" s="17"/>
      <c r="B30" s="17"/>
      <c r="C30" s="103"/>
      <c r="D30" s="17"/>
      <c r="E30" s="103"/>
      <c r="F30" s="17"/>
      <c r="G30" s="17"/>
      <c r="H30" s="164" t="str">
        <f t="shared" si="0"/>
        <v> </v>
      </c>
      <c r="I30" s="18"/>
      <c r="J30" s="72"/>
    </row>
    <row r="31" spans="1:10" ht="15.75">
      <c r="A31" s="17"/>
      <c r="B31" s="17"/>
      <c r="C31" s="103"/>
      <c r="D31" s="17"/>
      <c r="E31" s="103"/>
      <c r="F31" s="17"/>
      <c r="G31" s="17"/>
      <c r="H31" s="164" t="str">
        <f t="shared" si="0"/>
        <v> </v>
      </c>
      <c r="I31" s="18"/>
      <c r="J31" s="72"/>
    </row>
    <row r="32" spans="1:10" ht="15.75">
      <c r="A32" s="17"/>
      <c r="B32" s="17"/>
      <c r="C32" s="103"/>
      <c r="D32" s="17"/>
      <c r="E32" s="103"/>
      <c r="F32" s="17"/>
      <c r="G32" s="17"/>
      <c r="H32" s="164" t="str">
        <f t="shared" si="0"/>
        <v> </v>
      </c>
      <c r="I32" s="18"/>
      <c r="J32" s="72"/>
    </row>
    <row r="33" spans="1:10" ht="15.75">
      <c r="A33" s="17"/>
      <c r="B33" s="17"/>
      <c r="C33" s="103"/>
      <c r="D33" s="17"/>
      <c r="E33" s="103"/>
      <c r="F33" s="17"/>
      <c r="G33" s="17"/>
      <c r="H33" s="164" t="str">
        <f t="shared" si="0"/>
        <v> </v>
      </c>
      <c r="I33" s="18"/>
      <c r="J33" s="72"/>
    </row>
    <row r="34" spans="1:10" ht="15.75">
      <c r="A34" s="17"/>
      <c r="B34" s="17"/>
      <c r="C34" s="103"/>
      <c r="D34" s="17"/>
      <c r="E34" s="103"/>
      <c r="F34" s="17"/>
      <c r="G34" s="17"/>
      <c r="H34" s="164" t="str">
        <f t="shared" si="0"/>
        <v> </v>
      </c>
      <c r="I34" s="18"/>
      <c r="J34" s="72"/>
    </row>
    <row r="35" spans="1:10" ht="15.75">
      <c r="A35" s="17"/>
      <c r="B35" s="17"/>
      <c r="C35" s="103"/>
      <c r="D35" s="17"/>
      <c r="E35" s="103"/>
      <c r="F35" s="17"/>
      <c r="G35" s="17"/>
      <c r="H35" s="164" t="str">
        <f t="shared" si="0"/>
        <v> </v>
      </c>
      <c r="I35" s="18"/>
      <c r="J35" s="72"/>
    </row>
    <row r="36" spans="1:10" ht="15.75">
      <c r="A36" s="17"/>
      <c r="B36" s="17"/>
      <c r="C36" s="103"/>
      <c r="D36" s="17"/>
      <c r="E36" s="103"/>
      <c r="F36" s="17"/>
      <c r="G36" s="17"/>
      <c r="H36" s="164" t="str">
        <f t="shared" si="0"/>
        <v> </v>
      </c>
      <c r="I36" s="18"/>
      <c r="J36" s="72"/>
    </row>
    <row r="37" spans="1:10" ht="15.75">
      <c r="A37" s="115"/>
      <c r="B37" s="17"/>
      <c r="C37" s="112"/>
      <c r="D37" s="17"/>
      <c r="E37" s="112"/>
      <c r="F37" s="17"/>
      <c r="G37" s="17"/>
      <c r="H37" s="164" t="str">
        <f t="shared" si="0"/>
        <v> </v>
      </c>
      <c r="I37" s="18"/>
      <c r="J37" s="72"/>
    </row>
    <row r="38" spans="1:10" ht="15.75">
      <c r="A38" s="1"/>
      <c r="B38" s="1"/>
      <c r="C38" s="1"/>
      <c r="D38" s="1"/>
      <c r="E38" s="1"/>
      <c r="F38" s="1"/>
      <c r="G38" s="1"/>
      <c r="H38" s="1"/>
      <c r="I38" s="72"/>
      <c r="J38" s="72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2"/>
      <c r="J39" s="72"/>
    </row>
    <row r="40" spans="1:10" ht="15.75">
      <c r="A40" s="1"/>
      <c r="B40" s="1"/>
      <c r="C40" s="1"/>
      <c r="D40" s="1"/>
      <c r="E40" s="1"/>
      <c r="F40" s="1"/>
      <c r="G40" s="1"/>
      <c r="H40" s="1"/>
      <c r="I40" s="72"/>
      <c r="J40" s="72"/>
    </row>
    <row r="41" spans="1:10" ht="15.75">
      <c r="A41" s="85"/>
      <c r="B41" s="1"/>
      <c r="C41" s="1"/>
      <c r="D41" s="1"/>
      <c r="E41" s="1"/>
      <c r="F41" s="1"/>
      <c r="G41" s="1"/>
      <c r="H41" s="1"/>
      <c r="I41" s="72"/>
      <c r="J41" s="72"/>
    </row>
    <row r="42" spans="1:10" ht="15.75">
      <c r="A42" s="6" t="s">
        <v>77</v>
      </c>
      <c r="B42" s="1"/>
      <c r="C42" s="1"/>
      <c r="D42" s="47" t="s">
        <v>138</v>
      </c>
      <c r="E42" s="56"/>
      <c r="F42" s="1"/>
      <c r="G42" s="1"/>
      <c r="H42" s="1"/>
      <c r="I42" s="72"/>
      <c r="J42" s="72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6"/>
      <c r="C46" s="23"/>
      <c r="D46" s="86"/>
      <c r="E46" s="23"/>
      <c r="F46" s="86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5"/>
      <c r="C54" s="23"/>
      <c r="D54" s="23"/>
      <c r="E54" s="23"/>
      <c r="F54" s="23"/>
      <c r="G54" s="23"/>
      <c r="H54" s="23"/>
    </row>
    <row r="55" spans="2:8" ht="15.75">
      <c r="B55" s="87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2"/>
      <c r="B1" s="72"/>
      <c r="C1" s="72"/>
      <c r="D1" s="1">
        <f>input!$F$8</f>
        <v>2015</v>
      </c>
    </row>
    <row r="2" spans="1:4" ht="15.75">
      <c r="A2" s="133" t="s">
        <v>38</v>
      </c>
      <c r="B2" s="327" t="str">
        <f>input!F5</f>
        <v>Linn County</v>
      </c>
      <c r="C2" s="327"/>
      <c r="D2" s="139"/>
    </row>
    <row r="3" spans="1:4" ht="15.75">
      <c r="A3" s="133" t="s">
        <v>142</v>
      </c>
      <c r="B3" s="328"/>
      <c r="C3" s="328"/>
      <c r="D3" s="4"/>
    </row>
    <row r="4" spans="1:4" ht="15.75">
      <c r="A4" s="1"/>
      <c r="B4" s="1"/>
      <c r="C4" s="1"/>
      <c r="D4" s="4"/>
    </row>
    <row r="5" spans="1:4" ht="15.75">
      <c r="A5" s="28" t="s">
        <v>140</v>
      </c>
      <c r="B5" s="129"/>
      <c r="C5" s="129"/>
      <c r="D5" s="80"/>
    </row>
    <row r="6" spans="1:4" ht="15.75">
      <c r="A6" s="1"/>
      <c r="B6" s="81"/>
      <c r="C6" s="81"/>
      <c r="D6" s="81"/>
    </row>
    <row r="7" spans="1:4" ht="15.75">
      <c r="A7" s="5" t="s">
        <v>132</v>
      </c>
      <c r="B7" s="121" t="s">
        <v>10</v>
      </c>
      <c r="C7" s="9" t="s">
        <v>11</v>
      </c>
      <c r="D7" s="9" t="s">
        <v>12</v>
      </c>
    </row>
    <row r="8" spans="1:4" ht="15.75">
      <c r="A8" s="122"/>
      <c r="B8" s="34" t="str">
        <f>CONCATENATE("Actual ",RuralFire!$F$1-2,"")</f>
        <v>Actual 2013</v>
      </c>
      <c r="C8" s="34" t="str">
        <f>CONCATENATE("Estimate ",RuralFire!$F$1-1,"")</f>
        <v>Estimate 2014</v>
      </c>
      <c r="D8" s="34" t="str">
        <f>CONCATENATE("Year ",RuralFire!$F$1,"")</f>
        <v>Year 2015</v>
      </c>
    </row>
    <row r="9" spans="1:4" ht="15.75">
      <c r="A9" s="19" t="s">
        <v>133</v>
      </c>
      <c r="B9" s="130"/>
      <c r="C9" s="49">
        <f>B33</f>
        <v>0</v>
      </c>
      <c r="D9" s="49">
        <f>C33</f>
        <v>0</v>
      </c>
    </row>
    <row r="10" spans="1:4" ht="15.75">
      <c r="A10" s="55" t="s">
        <v>134</v>
      </c>
      <c r="B10" s="21"/>
      <c r="C10" s="21"/>
      <c r="D10" s="21"/>
    </row>
    <row r="11" spans="1:4" ht="15.75">
      <c r="A11" s="19" t="s">
        <v>14</v>
      </c>
      <c r="B11" s="130"/>
      <c r="C11" s="130"/>
      <c r="D11" s="131" t="s">
        <v>6</v>
      </c>
    </row>
    <row r="12" spans="1:4" ht="15.75">
      <c r="A12" s="19" t="s">
        <v>15</v>
      </c>
      <c r="B12" s="130"/>
      <c r="C12" s="130"/>
      <c r="D12" s="130"/>
    </row>
    <row r="13" spans="1:4" ht="15.75">
      <c r="A13" s="19" t="s">
        <v>16</v>
      </c>
      <c r="B13" s="130"/>
      <c r="C13" s="130"/>
      <c r="D13" s="138"/>
    </row>
    <row r="14" spans="1:4" ht="15.75">
      <c r="A14" s="19" t="s">
        <v>17</v>
      </c>
      <c r="B14" s="130"/>
      <c r="C14" s="130"/>
      <c r="D14" s="138"/>
    </row>
    <row r="15" spans="1:4" ht="15.75">
      <c r="A15" s="21" t="s">
        <v>141</v>
      </c>
      <c r="B15" s="130"/>
      <c r="C15" s="130"/>
      <c r="D15" s="138"/>
    </row>
    <row r="16" spans="1:4" ht="15.75">
      <c r="A16" s="54"/>
      <c r="B16" s="130"/>
      <c r="C16" s="130"/>
      <c r="D16" s="130"/>
    </row>
    <row r="17" spans="1:4" ht="15.75">
      <c r="A17" s="54"/>
      <c r="B17" s="130"/>
      <c r="C17" s="130"/>
      <c r="D17" s="130"/>
    </row>
    <row r="18" spans="1:4" ht="15.75">
      <c r="A18" s="54"/>
      <c r="B18" s="130"/>
      <c r="C18" s="130"/>
      <c r="D18" s="130"/>
    </row>
    <row r="19" spans="1:4" ht="15.75">
      <c r="A19" s="54"/>
      <c r="B19" s="130"/>
      <c r="C19" s="130"/>
      <c r="D19" s="130"/>
    </row>
    <row r="20" spans="1:4" ht="15.75">
      <c r="A20" s="132" t="s">
        <v>21</v>
      </c>
      <c r="B20" s="130"/>
      <c r="C20" s="130"/>
      <c r="D20" s="130"/>
    </row>
    <row r="21" spans="1:4" ht="15.75">
      <c r="A21" s="124" t="s">
        <v>22</v>
      </c>
      <c r="B21" s="181">
        <f>SUM(B11:B20)</f>
        <v>0</v>
      </c>
      <c r="C21" s="181">
        <f>SUM(C11:C20)</f>
        <v>0</v>
      </c>
      <c r="D21" s="181">
        <f>SUM(D11:D20)</f>
        <v>0</v>
      </c>
    </row>
    <row r="22" spans="1:4" ht="15.75">
      <c r="A22" s="124" t="s">
        <v>23</v>
      </c>
      <c r="B22" s="181">
        <f>B9+B21</f>
        <v>0</v>
      </c>
      <c r="C22" s="181">
        <f>C9+C21</f>
        <v>0</v>
      </c>
      <c r="D22" s="181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4"/>
      <c r="B24" s="130"/>
      <c r="C24" s="130"/>
      <c r="D24" s="130"/>
    </row>
    <row r="25" spans="1:4" ht="15.75">
      <c r="A25" s="54"/>
      <c r="B25" s="130"/>
      <c r="C25" s="130"/>
      <c r="D25" s="130"/>
    </row>
    <row r="26" spans="1:4" ht="15.75">
      <c r="A26" s="54"/>
      <c r="B26" s="130"/>
      <c r="C26" s="130"/>
      <c r="D26" s="130"/>
    </row>
    <row r="27" spans="1:4" ht="15.75">
      <c r="A27" s="54"/>
      <c r="B27" s="130"/>
      <c r="C27" s="130"/>
      <c r="D27" s="130"/>
    </row>
    <row r="28" spans="1:4" ht="15.75">
      <c r="A28" s="54"/>
      <c r="B28" s="130"/>
      <c r="C28" s="130"/>
      <c r="D28" s="130"/>
    </row>
    <row r="29" spans="1:4" ht="15.75">
      <c r="A29" s="54"/>
      <c r="B29" s="130"/>
      <c r="C29" s="130"/>
      <c r="D29" s="130"/>
    </row>
    <row r="30" spans="1:4" ht="15.75">
      <c r="A30" s="54"/>
      <c r="B30" s="130"/>
      <c r="C30" s="130"/>
      <c r="D30" s="130"/>
    </row>
    <row r="31" spans="1:4" ht="15.75">
      <c r="A31" s="54"/>
      <c r="B31" s="130"/>
      <c r="C31" s="130"/>
      <c r="D31" s="130"/>
    </row>
    <row r="32" spans="1:4" ht="15.75">
      <c r="A32" s="124" t="s">
        <v>25</v>
      </c>
      <c r="B32" s="181">
        <f>SUM(B24:B31)</f>
        <v>0</v>
      </c>
      <c r="C32" s="181">
        <f>SUM(C24:C31)</f>
        <v>0</v>
      </c>
      <c r="D32" s="181">
        <f>SUM(D24:D31)</f>
        <v>0</v>
      </c>
    </row>
    <row r="33" spans="1:4" ht="15.75">
      <c r="A33" s="19" t="s">
        <v>137</v>
      </c>
      <c r="B33" s="180">
        <f>B22-B32</f>
        <v>0</v>
      </c>
      <c r="C33" s="180">
        <f>C22-C32</f>
        <v>0</v>
      </c>
      <c r="D33" s="131" t="s">
        <v>6</v>
      </c>
    </row>
    <row r="34" spans="1:5" ht="15.75">
      <c r="A34" s="1"/>
      <c r="B34" s="1"/>
      <c r="C34" s="4" t="s">
        <v>27</v>
      </c>
      <c r="D34" s="130"/>
      <c r="E34" s="194">
        <f>IF(D32/0.95-D32&lt;D34,"Exceeds 5%","")</f>
      </c>
    </row>
    <row r="35" spans="1:4" ht="15.75">
      <c r="A35" s="1"/>
      <c r="B35" s="1"/>
      <c r="C35" s="4" t="s">
        <v>28</v>
      </c>
      <c r="D35" s="49">
        <f>D32+D34</f>
        <v>0</v>
      </c>
    </row>
    <row r="36" spans="1:4" ht="15.75">
      <c r="A36" s="1"/>
      <c r="B36" s="1"/>
      <c r="C36" s="4" t="s">
        <v>29</v>
      </c>
      <c r="D36" s="180">
        <f>IF(D35-D22&gt;0,D35-D22,0)</f>
        <v>0</v>
      </c>
    </row>
    <row r="37" spans="1:4" ht="15.75">
      <c r="A37" s="314" t="s">
        <v>167</v>
      </c>
      <c r="B37" s="315"/>
      <c r="C37" s="166"/>
      <c r="D37" s="49">
        <f>ROUND(IF(C37&gt;0,(D36*C37),0),0)</f>
        <v>0</v>
      </c>
    </row>
    <row r="38" spans="1:4" ht="15.75">
      <c r="A38" s="1"/>
      <c r="B38" s="1"/>
      <c r="C38" s="4" t="str">
        <f>CONCATENATE("Amount of ",RuralFire!$F$1-1," Ad Valorem Tax")</f>
        <v>Amount of 2014 Ad Valorem Tax</v>
      </c>
      <c r="D38" s="180">
        <f>D36+D37</f>
        <v>0</v>
      </c>
    </row>
    <row r="39" spans="1:4" ht="15.75">
      <c r="A39" s="1"/>
      <c r="B39" s="1"/>
      <c r="C39" s="47"/>
      <c r="D39" s="66"/>
    </row>
    <row r="40" spans="1:4" ht="15.75">
      <c r="A40" s="47" t="s">
        <v>138</v>
      </c>
      <c r="B40" s="146"/>
      <c r="C40" s="47"/>
      <c r="D40" s="66"/>
    </row>
    <row r="41" spans="1:4" ht="15.75">
      <c r="A41" s="1"/>
      <c r="B41" s="1"/>
      <c r="C41" s="47"/>
      <c r="D41" s="66"/>
    </row>
    <row r="42" spans="1:4" ht="15.75">
      <c r="A42" s="134"/>
      <c r="B42" s="134"/>
      <c r="C42" s="135"/>
      <c r="D42" s="136"/>
    </row>
    <row r="43" spans="1:4" ht="15.75">
      <c r="A43" s="134"/>
      <c r="B43" s="134"/>
      <c r="C43" s="135"/>
      <c r="D43" s="136"/>
    </row>
    <row r="44" spans="1:4" ht="15.75">
      <c r="A44" s="134"/>
      <c r="B44" s="134"/>
      <c r="C44" s="135"/>
      <c r="D44" s="136"/>
    </row>
    <row r="45" spans="1:4" ht="15.75">
      <c r="A45" s="134"/>
      <c r="B45" s="134"/>
      <c r="C45" s="135"/>
      <c r="D45" s="136"/>
    </row>
    <row r="46" spans="1:4" ht="15.75">
      <c r="A46" s="134"/>
      <c r="B46" s="134"/>
      <c r="C46" s="135"/>
      <c r="D46" s="136"/>
    </row>
    <row r="47" spans="1:4" ht="15.75">
      <c r="A47" s="134"/>
      <c r="B47" s="134"/>
      <c r="C47" s="135"/>
      <c r="D47" s="136"/>
    </row>
    <row r="48" spans="1:4" ht="15.75">
      <c r="A48" s="134"/>
      <c r="B48" s="134"/>
      <c r="C48" s="135"/>
      <c r="D48" s="136"/>
    </row>
    <row r="49" spans="1:4" ht="15.75">
      <c r="A49" s="134"/>
      <c r="B49" s="134"/>
      <c r="C49" s="135"/>
      <c r="D49" s="136"/>
    </row>
    <row r="50" spans="1:4" ht="15.75">
      <c r="A50" s="1"/>
      <c r="B50" s="1"/>
      <c r="C50" s="47"/>
      <c r="D50" s="1">
        <f>input!$F$8</f>
        <v>2015</v>
      </c>
    </row>
    <row r="51" spans="1:4" ht="15.75">
      <c r="A51" s="1"/>
      <c r="B51" s="1"/>
      <c r="C51" s="47"/>
      <c r="D51" s="66"/>
    </row>
    <row r="52" spans="1:4" ht="15.75">
      <c r="A52" s="1" t="s">
        <v>38</v>
      </c>
      <c r="B52" s="330" t="str">
        <f>input!F5</f>
        <v>Linn County</v>
      </c>
      <c r="C52" s="330"/>
      <c r="D52" s="66"/>
    </row>
    <row r="53" spans="1:4" ht="15.75">
      <c r="A53" s="1" t="s">
        <v>142</v>
      </c>
      <c r="B53" s="329"/>
      <c r="C53" s="329"/>
      <c r="D53" s="81"/>
    </row>
    <row r="54" spans="1:4" ht="15.75">
      <c r="A54" s="1"/>
      <c r="B54" s="126"/>
      <c r="C54" s="126"/>
      <c r="D54" s="81"/>
    </row>
    <row r="55" spans="1:4" ht="15.75">
      <c r="A55" s="28" t="s">
        <v>140</v>
      </c>
      <c r="B55" s="126"/>
      <c r="C55" s="126"/>
      <c r="D55" s="81"/>
    </row>
    <row r="56" spans="1:4" ht="15.75">
      <c r="A56" s="1"/>
      <c r="B56" s="126"/>
      <c r="C56" s="126"/>
      <c r="D56" s="81"/>
    </row>
    <row r="57" spans="1:4" ht="15.75">
      <c r="A57" s="5" t="s">
        <v>132</v>
      </c>
      <c r="B57" s="121" t="s">
        <v>10</v>
      </c>
      <c r="C57" s="9" t="s">
        <v>11</v>
      </c>
      <c r="D57" s="9" t="s">
        <v>12</v>
      </c>
    </row>
    <row r="58" spans="1:4" ht="15.75">
      <c r="A58" s="122"/>
      <c r="B58" s="13" t="str">
        <f>B8</f>
        <v>Actual 2013</v>
      </c>
      <c r="C58" s="13" t="str">
        <f>C8</f>
        <v>Estimate 2014</v>
      </c>
      <c r="D58" s="13" t="str">
        <f>D8</f>
        <v>Year 2015</v>
      </c>
    </row>
    <row r="59" spans="1:4" ht="15.75">
      <c r="A59" s="19" t="s">
        <v>133</v>
      </c>
      <c r="B59" s="130"/>
      <c r="C59" s="49">
        <f>B83</f>
        <v>0</v>
      </c>
      <c r="D59" s="49">
        <f>C83</f>
        <v>0</v>
      </c>
    </row>
    <row r="60" spans="1:4" ht="15.75">
      <c r="A60" s="55" t="s">
        <v>134</v>
      </c>
      <c r="B60" s="21"/>
      <c r="C60" s="21"/>
      <c r="D60" s="21"/>
    </row>
    <row r="61" spans="1:4" ht="15.75">
      <c r="A61" s="19" t="s">
        <v>14</v>
      </c>
      <c r="B61" s="130"/>
      <c r="C61" s="130"/>
      <c r="D61" s="131" t="s">
        <v>6</v>
      </c>
    </row>
    <row r="62" spans="1:4" ht="15.75">
      <c r="A62" s="19" t="s">
        <v>15</v>
      </c>
      <c r="B62" s="130"/>
      <c r="C62" s="130"/>
      <c r="D62" s="130"/>
    </row>
    <row r="63" spans="1:4" ht="15.75">
      <c r="A63" s="19" t="s">
        <v>16</v>
      </c>
      <c r="B63" s="130"/>
      <c r="C63" s="130"/>
      <c r="D63" s="138"/>
    </row>
    <row r="64" spans="1:4" ht="15.75">
      <c r="A64" s="19" t="s">
        <v>17</v>
      </c>
      <c r="B64" s="130"/>
      <c r="C64" s="130"/>
      <c r="D64" s="138"/>
    </row>
    <row r="65" spans="1:4" ht="15.75">
      <c r="A65" s="21" t="s">
        <v>141</v>
      </c>
      <c r="B65" s="130"/>
      <c r="C65" s="130"/>
      <c r="D65" s="138"/>
    </row>
    <row r="66" spans="1:4" ht="15.75">
      <c r="A66" s="54"/>
      <c r="B66" s="130"/>
      <c r="C66" s="130"/>
      <c r="D66" s="130"/>
    </row>
    <row r="67" spans="1:4" ht="15.75">
      <c r="A67" s="54"/>
      <c r="B67" s="130"/>
      <c r="C67" s="130"/>
      <c r="D67" s="130"/>
    </row>
    <row r="68" spans="1:4" ht="15.75">
      <c r="A68" s="54"/>
      <c r="B68" s="130"/>
      <c r="C68" s="130"/>
      <c r="D68" s="130"/>
    </row>
    <row r="69" spans="1:4" ht="15.75">
      <c r="A69" s="54"/>
      <c r="B69" s="130"/>
      <c r="C69" s="130"/>
      <c r="D69" s="130"/>
    </row>
    <row r="70" spans="1:4" ht="15.75">
      <c r="A70" s="132" t="s">
        <v>21</v>
      </c>
      <c r="B70" s="130"/>
      <c r="C70" s="130"/>
      <c r="D70" s="130"/>
    </row>
    <row r="71" spans="1:4" ht="15.75">
      <c r="A71" s="124" t="s">
        <v>22</v>
      </c>
      <c r="B71" s="181">
        <f>SUM(B61:B70)</f>
        <v>0</v>
      </c>
      <c r="C71" s="181">
        <f>SUM(C61:C70)</f>
        <v>0</v>
      </c>
      <c r="D71" s="181">
        <f>SUM(D61:D70)</f>
        <v>0</v>
      </c>
    </row>
    <row r="72" spans="1:4" ht="15.75">
      <c r="A72" s="124" t="s">
        <v>23</v>
      </c>
      <c r="B72" s="181">
        <f>B59+B71</f>
        <v>0</v>
      </c>
      <c r="C72" s="181">
        <f>C59+C71</f>
        <v>0</v>
      </c>
      <c r="D72" s="181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4"/>
      <c r="B74" s="130"/>
      <c r="C74" s="130"/>
      <c r="D74" s="130"/>
    </row>
    <row r="75" spans="1:4" ht="15.75">
      <c r="A75" s="54"/>
      <c r="B75" s="130"/>
      <c r="C75" s="130"/>
      <c r="D75" s="130"/>
    </row>
    <row r="76" spans="1:4" ht="15.75">
      <c r="A76" s="54"/>
      <c r="B76" s="130"/>
      <c r="C76" s="130"/>
      <c r="D76" s="130"/>
    </row>
    <row r="77" spans="1:4" ht="15.75">
      <c r="A77" s="54"/>
      <c r="B77" s="130"/>
      <c r="C77" s="130"/>
      <c r="D77" s="130"/>
    </row>
    <row r="78" spans="1:4" ht="15.75">
      <c r="A78" s="54"/>
      <c r="B78" s="130"/>
      <c r="C78" s="130"/>
      <c r="D78" s="130"/>
    </row>
    <row r="79" spans="1:4" ht="15.75">
      <c r="A79" s="54"/>
      <c r="B79" s="130"/>
      <c r="C79" s="130"/>
      <c r="D79" s="130"/>
    </row>
    <row r="80" spans="1:4" ht="15.75">
      <c r="A80" s="54"/>
      <c r="B80" s="130"/>
      <c r="C80" s="130"/>
      <c r="D80" s="130"/>
    </row>
    <row r="81" spans="1:4" ht="15.75">
      <c r="A81" s="54"/>
      <c r="B81" s="130"/>
      <c r="C81" s="130"/>
      <c r="D81" s="130"/>
    </row>
    <row r="82" spans="1:4" ht="15.75">
      <c r="A82" s="124" t="s">
        <v>25</v>
      </c>
      <c r="B82" s="181">
        <f>SUM(B74:B81)</f>
        <v>0</v>
      </c>
      <c r="C82" s="181">
        <f>SUM(C74:C81)</f>
        <v>0</v>
      </c>
      <c r="D82" s="181">
        <f>SUM(D74:D81)</f>
        <v>0</v>
      </c>
    </row>
    <row r="83" spans="1:4" ht="15.75">
      <c r="A83" s="19" t="s">
        <v>137</v>
      </c>
      <c r="B83" s="180">
        <f>B72-B82</f>
        <v>0</v>
      </c>
      <c r="C83" s="180">
        <f>C72-C82</f>
        <v>0</v>
      </c>
      <c r="D83" s="131" t="s">
        <v>6</v>
      </c>
    </row>
    <row r="84" spans="1:5" ht="15.75">
      <c r="A84" s="1"/>
      <c r="B84" s="60"/>
      <c r="C84" s="4" t="s">
        <v>27</v>
      </c>
      <c r="D84" s="130"/>
      <c r="E84" s="194">
        <f>IF(D82/0.95-D82&lt;D84,"Exceeds 5%","")</f>
      </c>
    </row>
    <row r="85" spans="1:4" ht="15.75">
      <c r="A85" s="1"/>
      <c r="B85" s="60"/>
      <c r="C85" s="4" t="s">
        <v>28</v>
      </c>
      <c r="D85" s="49">
        <f>D82+D84</f>
        <v>0</v>
      </c>
    </row>
    <row r="86" spans="1:4" ht="15.75">
      <c r="A86" s="1"/>
      <c r="B86" s="1"/>
      <c r="C86" s="4" t="s">
        <v>29</v>
      </c>
      <c r="D86" s="180">
        <f>IF(D85-D72&gt;0,D85-D72,0)</f>
        <v>0</v>
      </c>
    </row>
    <row r="87" spans="1:4" ht="15.75">
      <c r="A87" s="314" t="s">
        <v>167</v>
      </c>
      <c r="B87" s="315"/>
      <c r="C87" s="166"/>
      <c r="D87" s="49">
        <f>ROUND(IF(C87&gt;0,(D86*C87),0),0)</f>
        <v>0</v>
      </c>
    </row>
    <row r="88" spans="1:4" ht="15.75">
      <c r="A88" s="1"/>
      <c r="B88" s="1"/>
      <c r="C88" s="4" t="str">
        <f>CONCATENATE("Amount of ",RuralFire!$F$1-1," Ad Valorem Tax")</f>
        <v>Amount of 2014 Ad Valorem Tax</v>
      </c>
      <c r="D88" s="180">
        <f>D86+D87</f>
        <v>0</v>
      </c>
    </row>
    <row r="89" spans="1:4" ht="15.75">
      <c r="A89" s="1"/>
      <c r="B89" s="1"/>
      <c r="C89" s="47"/>
      <c r="D89" s="66"/>
    </row>
    <row r="90" spans="1:4" ht="15.75">
      <c r="A90" s="4" t="s">
        <v>138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2015</v>
      </c>
    </row>
    <row r="2" spans="1:4" ht="15.75">
      <c r="A2" s="116" t="s">
        <v>8</v>
      </c>
      <c r="B2" s="331"/>
      <c r="C2" s="331"/>
      <c r="D2" s="118"/>
    </row>
    <row r="3" spans="1:4" ht="15.75">
      <c r="A3" s="116"/>
      <c r="B3" s="117"/>
      <c r="C3" s="118"/>
      <c r="D3" s="118"/>
    </row>
    <row r="4" spans="1:4" ht="15.75">
      <c r="A4" s="117" t="s">
        <v>130</v>
      </c>
      <c r="B4" s="334" t="str">
        <f>input!F5</f>
        <v>Linn County</v>
      </c>
      <c r="C4" s="334"/>
      <c r="D4" s="118"/>
    </row>
    <row r="5" spans="1:4" ht="15.75">
      <c r="A5" s="1"/>
      <c r="B5" s="1"/>
      <c r="C5" s="1"/>
      <c r="D5" s="4"/>
    </row>
    <row r="6" spans="1:4" ht="15.75">
      <c r="A6" s="28" t="s">
        <v>131</v>
      </c>
      <c r="B6" s="119"/>
      <c r="C6" s="119"/>
      <c r="D6" s="120"/>
    </row>
    <row r="7" spans="1:4" ht="15.75">
      <c r="A7" s="5" t="s">
        <v>132</v>
      </c>
      <c r="B7" s="121" t="s">
        <v>10</v>
      </c>
      <c r="C7" s="9" t="s">
        <v>11</v>
      </c>
      <c r="D7" s="9" t="s">
        <v>12</v>
      </c>
    </row>
    <row r="8" spans="1:4" ht="15.75">
      <c r="A8" s="122"/>
      <c r="B8" s="34" t="str">
        <f>CONCATENATE("Actual ",RuralFire!$F$1-2,"")</f>
        <v>Actual 2013</v>
      </c>
      <c r="C8" s="34" t="str">
        <f>CONCATENATE("Estimate ",RuralFire!$F$1-1,"")</f>
        <v>Estimate 2014</v>
      </c>
      <c r="D8" s="34" t="str">
        <f>CONCATENATE("Year ",RuralFire!$F$1,"")</f>
        <v>Year 2015</v>
      </c>
    </row>
    <row r="9" spans="1:4" ht="15.75">
      <c r="A9" s="19" t="s">
        <v>133</v>
      </c>
      <c r="B9" s="37"/>
      <c r="C9" s="21">
        <f>B35</f>
        <v>0</v>
      </c>
      <c r="D9" s="21">
        <f>C35</f>
        <v>0</v>
      </c>
    </row>
    <row r="10" spans="1:4" ht="15.75">
      <c r="A10" s="19" t="s">
        <v>134</v>
      </c>
      <c r="B10" s="21"/>
      <c r="C10" s="21"/>
      <c r="D10" s="21"/>
    </row>
    <row r="11" spans="1:4" ht="15.75">
      <c r="A11" s="137"/>
      <c r="B11" s="108"/>
      <c r="C11" s="108"/>
      <c r="D11" s="108"/>
    </row>
    <row r="12" spans="1:4" ht="15.75">
      <c r="A12" s="54"/>
      <c r="B12" s="37"/>
      <c r="C12" s="37"/>
      <c r="D12" s="37"/>
    </row>
    <row r="13" spans="1:4" ht="15.75">
      <c r="A13" s="54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4"/>
      <c r="B15" s="37"/>
      <c r="C15" s="37"/>
      <c r="D15" s="37"/>
    </row>
    <row r="16" spans="1:4" ht="15.75">
      <c r="A16" s="54"/>
      <c r="B16" s="37"/>
      <c r="C16" s="37"/>
      <c r="D16" s="37"/>
    </row>
    <row r="17" spans="1:4" ht="15.75">
      <c r="A17" s="54"/>
      <c r="B17" s="37"/>
      <c r="C17" s="37"/>
      <c r="D17" s="37"/>
    </row>
    <row r="18" spans="1:4" ht="15.75">
      <c r="A18" s="123" t="s">
        <v>21</v>
      </c>
      <c r="B18" s="37"/>
      <c r="C18" s="37"/>
      <c r="D18" s="37"/>
    </row>
    <row r="19" spans="1:4" ht="15.75">
      <c r="A19" s="124" t="s">
        <v>22</v>
      </c>
      <c r="B19" s="182">
        <f>SUM(B12:B18)</f>
        <v>0</v>
      </c>
      <c r="C19" s="182">
        <f>SUM(C12:C18)</f>
        <v>0</v>
      </c>
      <c r="D19" s="182">
        <f>SUM(D12:D18)</f>
        <v>0</v>
      </c>
    </row>
    <row r="20" spans="1:4" ht="15.75">
      <c r="A20" s="124" t="s">
        <v>23</v>
      </c>
      <c r="B20" s="182">
        <f>B9+B19</f>
        <v>0</v>
      </c>
      <c r="C20" s="182">
        <f>C9+C19</f>
        <v>0</v>
      </c>
      <c r="D20" s="182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4" t="s">
        <v>135</v>
      </c>
      <c r="B22" s="37"/>
      <c r="C22" s="37"/>
      <c r="D22" s="37"/>
    </row>
    <row r="23" spans="1:4" ht="15.75">
      <c r="A23" s="54" t="s">
        <v>136</v>
      </c>
      <c r="B23" s="37"/>
      <c r="C23" s="37"/>
      <c r="D23" s="37"/>
    </row>
    <row r="24" spans="1:4" ht="15.75">
      <c r="A24" s="54"/>
      <c r="B24" s="17"/>
      <c r="C24" s="17"/>
      <c r="D24" s="17"/>
    </row>
    <row r="25" spans="1:4" ht="15.75">
      <c r="A25" s="54"/>
      <c r="B25" s="17"/>
      <c r="C25" s="17"/>
      <c r="D25" s="17"/>
    </row>
    <row r="26" spans="1:4" ht="15.75">
      <c r="A26" s="54"/>
      <c r="B26" s="37"/>
      <c r="C26" s="37"/>
      <c r="D26" s="37"/>
    </row>
    <row r="27" spans="1:4" ht="15.75">
      <c r="A27" s="54"/>
      <c r="B27" s="37"/>
      <c r="C27" s="37"/>
      <c r="D27" s="37"/>
    </row>
    <row r="28" spans="1:4" ht="15.75">
      <c r="A28" s="54"/>
      <c r="B28" s="37"/>
      <c r="C28" s="37"/>
      <c r="D28" s="37"/>
    </row>
    <row r="29" spans="1:4" ht="15.75">
      <c r="A29" s="54"/>
      <c r="B29" s="37"/>
      <c r="C29" s="37"/>
      <c r="D29" s="37"/>
    </row>
    <row r="30" spans="1:4" ht="15.75">
      <c r="A30" s="54"/>
      <c r="B30" s="37"/>
      <c r="C30" s="37"/>
      <c r="D30" s="37"/>
    </row>
    <row r="31" spans="1:4" ht="15.75">
      <c r="A31" s="54"/>
      <c r="B31" s="37"/>
      <c r="C31" s="37"/>
      <c r="D31" s="37"/>
    </row>
    <row r="32" spans="1:4" ht="15.75">
      <c r="A32" s="54"/>
      <c r="B32" s="37"/>
      <c r="C32" s="37"/>
      <c r="D32" s="37"/>
    </row>
    <row r="33" spans="1:4" ht="15.75">
      <c r="A33" s="54"/>
      <c r="B33" s="37"/>
      <c r="C33" s="37"/>
      <c r="D33" s="37"/>
    </row>
    <row r="34" spans="1:4" ht="15.75">
      <c r="A34" s="124" t="s">
        <v>25</v>
      </c>
      <c r="B34" s="182">
        <f>SUM(B22:B33)</f>
        <v>0</v>
      </c>
      <c r="C34" s="182">
        <f>SUM(C22:C33)</f>
        <v>0</v>
      </c>
      <c r="D34" s="182">
        <f>SUM(D22:D33)</f>
        <v>0</v>
      </c>
    </row>
    <row r="35" spans="1:4" ht="15.75">
      <c r="A35" s="19" t="s">
        <v>137</v>
      </c>
      <c r="B35" s="183">
        <f>B20-B34</f>
        <v>0</v>
      </c>
      <c r="C35" s="183">
        <f>C20-C34</f>
        <v>0</v>
      </c>
      <c r="D35" s="183">
        <f>D20-D34</f>
        <v>0</v>
      </c>
    </row>
    <row r="36" spans="1:4" ht="15.75">
      <c r="A36" s="144"/>
      <c r="B36" s="144"/>
      <c r="C36" s="144"/>
      <c r="D36" s="144"/>
    </row>
    <row r="37" spans="1:4" ht="15.75">
      <c r="A37" s="150" t="s">
        <v>138</v>
      </c>
      <c r="B37" s="184"/>
      <c r="C37" s="144"/>
      <c r="D37" s="144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6"/>
      <c r="B46" s="50"/>
      <c r="C46" s="50"/>
      <c r="D46" s="148"/>
    </row>
    <row r="47" spans="1:4" ht="15.75">
      <c r="A47" s="96"/>
      <c r="B47" s="50"/>
      <c r="C47" s="50"/>
      <c r="D47" s="1">
        <f>input!$F$8</f>
        <v>2015</v>
      </c>
    </row>
    <row r="48" spans="1:4" ht="15.75">
      <c r="A48" s="96"/>
      <c r="B48" s="50"/>
      <c r="C48" s="50"/>
      <c r="D48" s="50"/>
    </row>
    <row r="49" spans="1:4" ht="15.75">
      <c r="A49" s="96" t="s">
        <v>142</v>
      </c>
      <c r="B49" s="328"/>
      <c r="C49" s="328"/>
      <c r="D49" s="50"/>
    </row>
    <row r="50" spans="1:4" ht="15.75">
      <c r="A50" s="96"/>
      <c r="B50" s="126"/>
      <c r="C50" s="126"/>
      <c r="D50" s="50"/>
    </row>
    <row r="51" spans="1:4" ht="15.75">
      <c r="A51" s="1" t="s">
        <v>38</v>
      </c>
      <c r="B51" s="333" t="str">
        <f>input!F5</f>
        <v>Linn County</v>
      </c>
      <c r="C51" s="333"/>
      <c r="D51" s="50"/>
    </row>
    <row r="52" spans="1:4" ht="15.75">
      <c r="A52" s="1"/>
      <c r="B52" s="126"/>
      <c r="C52" s="126"/>
      <c r="D52" s="50"/>
    </row>
    <row r="53" spans="1:4" ht="15.75">
      <c r="A53" s="28" t="s">
        <v>131</v>
      </c>
      <c r="B53" s="126"/>
      <c r="C53" s="126"/>
      <c r="D53" s="50"/>
    </row>
    <row r="54" spans="1:4" ht="15.75">
      <c r="A54" s="149"/>
      <c r="B54" s="332"/>
      <c r="C54" s="332"/>
      <c r="D54" s="67"/>
    </row>
    <row r="55" spans="1:4" ht="15.75">
      <c r="A55" s="5" t="s">
        <v>132</v>
      </c>
      <c r="B55" s="121" t="s">
        <v>10</v>
      </c>
      <c r="C55" s="9" t="s">
        <v>11</v>
      </c>
      <c r="D55" s="9" t="s">
        <v>12</v>
      </c>
    </row>
    <row r="56" spans="1:4" ht="15.75">
      <c r="A56" s="122"/>
      <c r="B56" s="34" t="str">
        <f>CONCATENATE("Actual ",RuralFire!$F$1-2,"")</f>
        <v>Actual 2013</v>
      </c>
      <c r="C56" s="34" t="str">
        <f>CONCATENATE("Estimate ",RuralFire!$F$1-1,"")</f>
        <v>Estimate 2014</v>
      </c>
      <c r="D56" s="34" t="str">
        <f>CONCATENATE("Year ",RuralFire!$F$1,"")</f>
        <v>Year 2015</v>
      </c>
    </row>
    <row r="57" spans="1:4" ht="15.75">
      <c r="A57" s="19" t="s">
        <v>133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134</v>
      </c>
      <c r="B58" s="21"/>
      <c r="C58" s="21"/>
      <c r="D58" s="21"/>
    </row>
    <row r="59" spans="1:4" ht="15.75">
      <c r="A59" s="54"/>
      <c r="B59" s="37"/>
      <c r="C59" s="37"/>
      <c r="D59" s="37"/>
    </row>
    <row r="60" spans="1:4" ht="15.75">
      <c r="A60" s="54"/>
      <c r="B60" s="37"/>
      <c r="C60" s="37"/>
      <c r="D60" s="37"/>
    </row>
    <row r="61" spans="1:4" ht="15.75">
      <c r="A61" s="54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4"/>
      <c r="B63" s="37"/>
      <c r="C63" s="37"/>
      <c r="D63" s="37"/>
    </row>
    <row r="64" spans="1:4" ht="15.75">
      <c r="A64" s="54"/>
      <c r="B64" s="37"/>
      <c r="C64" s="37"/>
      <c r="D64" s="37"/>
    </row>
    <row r="65" spans="1:4" ht="15.75">
      <c r="A65" s="54"/>
      <c r="B65" s="37"/>
      <c r="C65" s="37"/>
      <c r="D65" s="37"/>
    </row>
    <row r="66" spans="1:4" ht="15.75">
      <c r="A66" s="123" t="s">
        <v>21</v>
      </c>
      <c r="B66" s="37"/>
      <c r="C66" s="37"/>
      <c r="D66" s="37"/>
    </row>
    <row r="67" spans="1:4" ht="15.75">
      <c r="A67" s="124" t="s">
        <v>22</v>
      </c>
      <c r="B67" s="182">
        <f>SUM(B59:B66)</f>
        <v>0</v>
      </c>
      <c r="C67" s="182">
        <f>SUM(C59:C66)</f>
        <v>0</v>
      </c>
      <c r="D67" s="182">
        <f>SUM(D59:D66)</f>
        <v>0</v>
      </c>
    </row>
    <row r="68" spans="1:4" ht="15.75">
      <c r="A68" s="124" t="s">
        <v>23</v>
      </c>
      <c r="B68" s="182">
        <f>B57+B67</f>
        <v>0</v>
      </c>
      <c r="C68" s="182">
        <f>C57+C67</f>
        <v>0</v>
      </c>
      <c r="D68" s="182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4" t="s">
        <v>135</v>
      </c>
      <c r="B70" s="37"/>
      <c r="C70" s="37"/>
      <c r="D70" s="37"/>
    </row>
    <row r="71" spans="1:4" ht="15.75">
      <c r="A71" s="54" t="s">
        <v>136</v>
      </c>
      <c r="B71" s="37"/>
      <c r="C71" s="37"/>
      <c r="D71" s="37"/>
    </row>
    <row r="72" spans="1:4" ht="15.75">
      <c r="A72" s="54"/>
      <c r="B72" s="37"/>
      <c r="C72" s="37"/>
      <c r="D72" s="37"/>
    </row>
    <row r="73" spans="1:4" ht="15.75">
      <c r="A73" s="54"/>
      <c r="B73" s="37"/>
      <c r="C73" s="37"/>
      <c r="D73" s="37"/>
    </row>
    <row r="74" spans="1:4" ht="15.75">
      <c r="A74" s="54"/>
      <c r="B74" s="37"/>
      <c r="C74" s="37"/>
      <c r="D74" s="37"/>
    </row>
    <row r="75" spans="1:4" ht="15.75">
      <c r="A75" s="54"/>
      <c r="B75" s="37"/>
      <c r="C75" s="37"/>
      <c r="D75" s="37"/>
    </row>
    <row r="76" spans="1:4" ht="15.75">
      <c r="A76" s="54"/>
      <c r="B76" s="37"/>
      <c r="C76" s="37"/>
      <c r="D76" s="37"/>
    </row>
    <row r="77" spans="1:4" ht="15.75">
      <c r="A77" s="54"/>
      <c r="B77" s="17"/>
      <c r="C77" s="17"/>
      <c r="D77" s="17"/>
    </row>
    <row r="78" spans="1:4" ht="15.75">
      <c r="A78" s="54"/>
      <c r="B78" s="37"/>
      <c r="C78" s="17"/>
      <c r="D78" s="17"/>
    </row>
    <row r="79" spans="1:4" ht="15.75">
      <c r="A79" s="54"/>
      <c r="B79" s="37"/>
      <c r="C79" s="17"/>
      <c r="D79" s="17"/>
    </row>
    <row r="80" spans="1:4" ht="15.75">
      <c r="A80" s="54"/>
      <c r="B80" s="37"/>
      <c r="C80" s="17"/>
      <c r="D80" s="17"/>
    </row>
    <row r="81" spans="1:4" ht="15.75">
      <c r="A81" s="54"/>
      <c r="B81" s="37"/>
      <c r="C81" s="37"/>
      <c r="D81" s="37"/>
    </row>
    <row r="82" spans="1:4" ht="15.75">
      <c r="A82" s="124" t="s">
        <v>25</v>
      </c>
      <c r="B82" s="182">
        <f>SUM(B70:B81)</f>
        <v>0</v>
      </c>
      <c r="C82" s="182">
        <f>SUM(C70:C81)</f>
        <v>0</v>
      </c>
      <c r="D82" s="182">
        <f>SUM(D70:D81)</f>
        <v>0</v>
      </c>
    </row>
    <row r="83" spans="1:4" ht="15.75">
      <c r="A83" s="19" t="s">
        <v>137</v>
      </c>
      <c r="B83" s="183">
        <f>B68-B82</f>
        <v>0</v>
      </c>
      <c r="C83" s="183">
        <f>C68-C82</f>
        <v>0</v>
      </c>
      <c r="D83" s="183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138</v>
      </c>
      <c r="B85" s="147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09" customWidth="1"/>
    <col min="2" max="2" width="9.57421875" style="209" customWidth="1"/>
    <col min="3" max="3" width="14.8515625" style="209" customWidth="1"/>
    <col min="4" max="4" width="9.57421875" style="209" customWidth="1"/>
    <col min="5" max="5" width="14.8515625" style="209" customWidth="1"/>
    <col min="6" max="6" width="9.57421875" style="209" customWidth="1"/>
    <col min="7" max="7" width="14.8515625" style="209" customWidth="1"/>
    <col min="8" max="8" width="9.57421875" style="209" customWidth="1"/>
    <col min="9" max="9" width="14.8515625" style="209" customWidth="1"/>
    <col min="10" max="16384" width="9.140625" style="209" customWidth="1"/>
  </cols>
  <sheetData>
    <row r="1" spans="1:11" ht="15.75">
      <c r="A1" s="205" t="str">
        <f>input!F5</f>
        <v>Linn County</v>
      </c>
      <c r="B1" s="206"/>
      <c r="C1" s="207"/>
      <c r="D1" s="207"/>
      <c r="E1" s="207"/>
      <c r="F1" s="208" t="s">
        <v>216</v>
      </c>
      <c r="G1" s="207"/>
      <c r="H1" s="207"/>
      <c r="I1" s="207"/>
      <c r="J1" s="207"/>
      <c r="K1" s="207">
        <f>input!F8</f>
        <v>2015</v>
      </c>
    </row>
    <row r="2" spans="1:11" ht="15.75">
      <c r="A2" s="207"/>
      <c r="B2" s="207"/>
      <c r="C2" s="207"/>
      <c r="D2" s="207"/>
      <c r="E2" s="207"/>
      <c r="F2" s="210" t="str">
        <f>CONCATENATE("(Only the actual budget year for ",input!F8-2," is to be shown)")</f>
        <v>(Only the actual budget year for 2013 is to be shown)</v>
      </c>
      <c r="G2" s="207"/>
      <c r="H2" s="207"/>
      <c r="I2" s="207"/>
      <c r="J2" s="207"/>
      <c r="K2" s="207"/>
    </row>
    <row r="3" spans="1:11" ht="15.75">
      <c r="A3" s="207" t="s">
        <v>217</v>
      </c>
      <c r="B3" s="207"/>
      <c r="C3" s="207"/>
      <c r="D3" s="207"/>
      <c r="E3" s="207"/>
      <c r="F3" s="206"/>
      <c r="G3" s="207"/>
      <c r="H3" s="207"/>
      <c r="I3" s="207"/>
      <c r="J3" s="207"/>
      <c r="K3" s="207"/>
    </row>
    <row r="4" spans="1:11" ht="15.75">
      <c r="A4" s="207" t="s">
        <v>218</v>
      </c>
      <c r="B4" s="207"/>
      <c r="C4" s="207" t="s">
        <v>219</v>
      </c>
      <c r="D4" s="207"/>
      <c r="E4" s="207" t="s">
        <v>220</v>
      </c>
      <c r="F4" s="206"/>
      <c r="G4" s="207" t="s">
        <v>221</v>
      </c>
      <c r="H4" s="207"/>
      <c r="I4" s="207" t="s">
        <v>222</v>
      </c>
      <c r="J4" s="207"/>
      <c r="K4" s="207"/>
    </row>
    <row r="5" spans="1:11" ht="15.75">
      <c r="A5" s="335"/>
      <c r="B5" s="336"/>
      <c r="C5" s="335"/>
      <c r="D5" s="336"/>
      <c r="E5" s="335"/>
      <c r="F5" s="336"/>
      <c r="G5" s="335"/>
      <c r="H5" s="336"/>
      <c r="I5" s="335"/>
      <c r="J5" s="336"/>
      <c r="K5" s="211"/>
    </row>
    <row r="6" spans="1:11" ht="15.75">
      <c r="A6" s="212" t="s">
        <v>223</v>
      </c>
      <c r="B6" s="213"/>
      <c r="C6" s="214" t="s">
        <v>223</v>
      </c>
      <c r="D6" s="215"/>
      <c r="E6" s="214" t="s">
        <v>223</v>
      </c>
      <c r="F6" s="216"/>
      <c r="G6" s="214" t="s">
        <v>223</v>
      </c>
      <c r="H6" s="217"/>
      <c r="I6" s="214" t="s">
        <v>223</v>
      </c>
      <c r="J6" s="207"/>
      <c r="K6" s="218" t="s">
        <v>34</v>
      </c>
    </row>
    <row r="7" spans="1:11" ht="15.75">
      <c r="A7" s="219" t="s">
        <v>224</v>
      </c>
      <c r="B7" s="220"/>
      <c r="C7" s="221" t="s">
        <v>224</v>
      </c>
      <c r="D7" s="220"/>
      <c r="E7" s="221" t="s">
        <v>224</v>
      </c>
      <c r="F7" s="220"/>
      <c r="G7" s="221" t="s">
        <v>224</v>
      </c>
      <c r="H7" s="220"/>
      <c r="I7" s="221" t="s">
        <v>224</v>
      </c>
      <c r="J7" s="220"/>
      <c r="K7" s="222">
        <f>SUM(B7+D7+F7+H7+J7)</f>
        <v>0</v>
      </c>
    </row>
    <row r="8" spans="1:11" ht="15.75">
      <c r="A8" s="223" t="s">
        <v>134</v>
      </c>
      <c r="B8" s="224"/>
      <c r="C8" s="223" t="s">
        <v>134</v>
      </c>
      <c r="D8" s="225"/>
      <c r="E8" s="223" t="s">
        <v>134</v>
      </c>
      <c r="F8" s="206"/>
      <c r="G8" s="223" t="s">
        <v>134</v>
      </c>
      <c r="H8" s="207"/>
      <c r="I8" s="223" t="s">
        <v>134</v>
      </c>
      <c r="J8" s="207"/>
      <c r="K8" s="206"/>
    </row>
    <row r="9" spans="1:11" ht="15.75">
      <c r="A9" s="226"/>
      <c r="B9" s="220"/>
      <c r="C9" s="226"/>
      <c r="D9" s="220"/>
      <c r="E9" s="226"/>
      <c r="F9" s="220"/>
      <c r="G9" s="226"/>
      <c r="H9" s="220"/>
      <c r="I9" s="226"/>
      <c r="J9" s="220"/>
      <c r="K9" s="206"/>
    </row>
    <row r="10" spans="1:11" ht="15.75">
      <c r="A10" s="226"/>
      <c r="B10" s="220"/>
      <c r="C10" s="226"/>
      <c r="D10" s="220"/>
      <c r="E10" s="226"/>
      <c r="F10" s="220"/>
      <c r="G10" s="226"/>
      <c r="H10" s="220"/>
      <c r="I10" s="226"/>
      <c r="J10" s="220"/>
      <c r="K10" s="206"/>
    </row>
    <row r="11" spans="1:11" ht="15.75">
      <c r="A11" s="226"/>
      <c r="B11" s="220"/>
      <c r="C11" s="227"/>
      <c r="D11" s="228"/>
      <c r="E11" s="227"/>
      <c r="F11" s="220"/>
      <c r="G11" s="227"/>
      <c r="H11" s="220"/>
      <c r="I11" s="229"/>
      <c r="J11" s="220"/>
      <c r="K11" s="206"/>
    </row>
    <row r="12" spans="1:11" ht="15.75">
      <c r="A12" s="226"/>
      <c r="B12" s="230"/>
      <c r="C12" s="226"/>
      <c r="D12" s="231"/>
      <c r="E12" s="232"/>
      <c r="F12" s="220"/>
      <c r="G12" s="232"/>
      <c r="H12" s="220"/>
      <c r="I12" s="232"/>
      <c r="J12" s="220"/>
      <c r="K12" s="206"/>
    </row>
    <row r="13" spans="1:11" ht="15.75">
      <c r="A13" s="233"/>
      <c r="B13" s="234"/>
      <c r="C13" s="235"/>
      <c r="D13" s="231"/>
      <c r="E13" s="235"/>
      <c r="F13" s="220"/>
      <c r="G13" s="235"/>
      <c r="H13" s="220"/>
      <c r="I13" s="229"/>
      <c r="J13" s="220"/>
      <c r="K13" s="206"/>
    </row>
    <row r="14" spans="1:11" ht="15.75">
      <c r="A14" s="226"/>
      <c r="B14" s="220"/>
      <c r="C14" s="232"/>
      <c r="D14" s="231"/>
      <c r="E14" s="232"/>
      <c r="F14" s="220"/>
      <c r="G14" s="232"/>
      <c r="H14" s="220"/>
      <c r="I14" s="232"/>
      <c r="J14" s="220"/>
      <c r="K14" s="206"/>
    </row>
    <row r="15" spans="1:11" ht="15.75">
      <c r="A15" s="226"/>
      <c r="B15" s="220"/>
      <c r="C15" s="232"/>
      <c r="D15" s="231"/>
      <c r="E15" s="232"/>
      <c r="F15" s="220"/>
      <c r="G15" s="232"/>
      <c r="H15" s="220"/>
      <c r="I15" s="232"/>
      <c r="J15" s="220"/>
      <c r="K15" s="206"/>
    </row>
    <row r="16" spans="1:11" ht="15.75">
      <c r="A16" s="226"/>
      <c r="B16" s="234"/>
      <c r="C16" s="226"/>
      <c r="D16" s="231"/>
      <c r="E16" s="226"/>
      <c r="F16" s="220"/>
      <c r="G16" s="232"/>
      <c r="H16" s="220"/>
      <c r="I16" s="226"/>
      <c r="J16" s="220"/>
      <c r="K16" s="206"/>
    </row>
    <row r="17" spans="1:11" ht="15.75">
      <c r="A17" s="223" t="s">
        <v>22</v>
      </c>
      <c r="B17" s="222">
        <f>SUM(B9:B16)</f>
        <v>0</v>
      </c>
      <c r="C17" s="223" t="s">
        <v>22</v>
      </c>
      <c r="D17" s="222">
        <f>SUM(D9:D16)</f>
        <v>0</v>
      </c>
      <c r="E17" s="223" t="s">
        <v>22</v>
      </c>
      <c r="F17" s="236">
        <f>SUM(F9:F16)</f>
        <v>0</v>
      </c>
      <c r="G17" s="223" t="s">
        <v>22</v>
      </c>
      <c r="H17" s="222">
        <f>SUM(H9:H16)</f>
        <v>0</v>
      </c>
      <c r="I17" s="223" t="s">
        <v>22</v>
      </c>
      <c r="J17" s="222">
        <f>SUM(J9:J16)</f>
        <v>0</v>
      </c>
      <c r="K17" s="222">
        <f>SUM(B17+D17+F17+H17+J17)</f>
        <v>0</v>
      </c>
    </row>
    <row r="18" spans="1:11" ht="15.75">
      <c r="A18" s="223" t="s">
        <v>23</v>
      </c>
      <c r="B18" s="222">
        <f>SUM(B7+B17)</f>
        <v>0</v>
      </c>
      <c r="C18" s="223" t="s">
        <v>23</v>
      </c>
      <c r="D18" s="222">
        <f>SUM(D7+D17)</f>
        <v>0</v>
      </c>
      <c r="E18" s="223" t="s">
        <v>23</v>
      </c>
      <c r="F18" s="222">
        <f>SUM(F7+F17)</f>
        <v>0</v>
      </c>
      <c r="G18" s="223" t="s">
        <v>23</v>
      </c>
      <c r="H18" s="222">
        <f>SUM(H7+H17)</f>
        <v>0</v>
      </c>
      <c r="I18" s="223" t="s">
        <v>23</v>
      </c>
      <c r="J18" s="222">
        <f>SUM(J7+J17)</f>
        <v>0</v>
      </c>
      <c r="K18" s="222">
        <f>SUM(B18+D18+F18+H18+J18)</f>
        <v>0</v>
      </c>
    </row>
    <row r="19" spans="1:11" ht="15.75">
      <c r="A19" s="223" t="s">
        <v>24</v>
      </c>
      <c r="B19" s="224"/>
      <c r="C19" s="223" t="s">
        <v>24</v>
      </c>
      <c r="D19" s="225"/>
      <c r="E19" s="223" t="s">
        <v>24</v>
      </c>
      <c r="F19" s="206"/>
      <c r="G19" s="223" t="s">
        <v>24</v>
      </c>
      <c r="H19" s="207"/>
      <c r="I19" s="223" t="s">
        <v>24</v>
      </c>
      <c r="J19" s="207"/>
      <c r="K19" s="206"/>
    </row>
    <row r="20" spans="1:11" ht="15.75">
      <c r="A20" s="226"/>
      <c r="B20" s="220"/>
      <c r="C20" s="232"/>
      <c r="D20" s="220"/>
      <c r="E20" s="232"/>
      <c r="F20" s="220"/>
      <c r="G20" s="232"/>
      <c r="H20" s="220"/>
      <c r="I20" s="232"/>
      <c r="J20" s="220"/>
      <c r="K20" s="206"/>
    </row>
    <row r="21" spans="1:11" ht="15.75">
      <c r="A21" s="226"/>
      <c r="B21" s="220"/>
      <c r="C21" s="232"/>
      <c r="D21" s="220"/>
      <c r="E21" s="232"/>
      <c r="F21" s="220"/>
      <c r="G21" s="232"/>
      <c r="H21" s="220"/>
      <c r="I21" s="232"/>
      <c r="J21" s="220"/>
      <c r="K21" s="206"/>
    </row>
    <row r="22" spans="1:11" ht="15.75">
      <c r="A22" s="226"/>
      <c r="B22" s="220"/>
      <c r="C22" s="235"/>
      <c r="D22" s="220"/>
      <c r="E22" s="235"/>
      <c r="F22" s="220"/>
      <c r="G22" s="235"/>
      <c r="H22" s="220"/>
      <c r="I22" s="229"/>
      <c r="J22" s="220"/>
      <c r="K22" s="206"/>
    </row>
    <row r="23" spans="1:11" ht="15.75">
      <c r="A23" s="226"/>
      <c r="B23" s="220"/>
      <c r="C23" s="232"/>
      <c r="D23" s="220"/>
      <c r="E23" s="232"/>
      <c r="F23" s="220"/>
      <c r="G23" s="232"/>
      <c r="H23" s="220"/>
      <c r="I23" s="232"/>
      <c r="J23" s="220"/>
      <c r="K23" s="206"/>
    </row>
    <row r="24" spans="1:11" ht="15.75">
      <c r="A24" s="226"/>
      <c r="B24" s="220"/>
      <c r="C24" s="235"/>
      <c r="D24" s="220"/>
      <c r="E24" s="235"/>
      <c r="F24" s="220"/>
      <c r="G24" s="235"/>
      <c r="H24" s="220"/>
      <c r="I24" s="229"/>
      <c r="J24" s="220"/>
      <c r="K24" s="206"/>
    </row>
    <row r="25" spans="1:11" ht="15.75">
      <c r="A25" s="226"/>
      <c r="B25" s="220"/>
      <c r="C25" s="232"/>
      <c r="D25" s="220"/>
      <c r="E25" s="232"/>
      <c r="F25" s="220"/>
      <c r="G25" s="232"/>
      <c r="H25" s="220"/>
      <c r="I25" s="232"/>
      <c r="J25" s="220"/>
      <c r="K25" s="206"/>
    </row>
    <row r="26" spans="1:11" ht="15.75">
      <c r="A26" s="226"/>
      <c r="B26" s="220"/>
      <c r="C26" s="232"/>
      <c r="D26" s="220"/>
      <c r="E26" s="232"/>
      <c r="F26" s="220"/>
      <c r="G26" s="232"/>
      <c r="H26" s="220"/>
      <c r="I26" s="232"/>
      <c r="J26" s="220"/>
      <c r="K26" s="206"/>
    </row>
    <row r="27" spans="1:11" ht="15.75">
      <c r="A27" s="226"/>
      <c r="B27" s="220"/>
      <c r="C27" s="226"/>
      <c r="D27" s="220"/>
      <c r="E27" s="226"/>
      <c r="F27" s="220"/>
      <c r="G27" s="232"/>
      <c r="H27" s="220"/>
      <c r="I27" s="232"/>
      <c r="J27" s="220"/>
      <c r="K27" s="206"/>
    </row>
    <row r="28" spans="1:11" ht="15.75">
      <c r="A28" s="223" t="s">
        <v>25</v>
      </c>
      <c r="B28" s="222">
        <f>SUM(B20:B27)</f>
        <v>0</v>
      </c>
      <c r="C28" s="223" t="s">
        <v>25</v>
      </c>
      <c r="D28" s="222">
        <f>SUM(D20:D27)</f>
        <v>0</v>
      </c>
      <c r="E28" s="223" t="s">
        <v>25</v>
      </c>
      <c r="F28" s="236">
        <f>SUM(F20:F27)</f>
        <v>0</v>
      </c>
      <c r="G28" s="223" t="s">
        <v>25</v>
      </c>
      <c r="H28" s="236">
        <f>SUM(H20:H27)</f>
        <v>0</v>
      </c>
      <c r="I28" s="223" t="s">
        <v>25</v>
      </c>
      <c r="J28" s="222">
        <f>SUM(J20:J27)</f>
        <v>0</v>
      </c>
      <c r="K28" s="222">
        <f>SUM(B28+D28+F28+H28+J28)</f>
        <v>0</v>
      </c>
    </row>
    <row r="29" spans="1:12" ht="15.75">
      <c r="A29" s="223" t="s">
        <v>225</v>
      </c>
      <c r="B29" s="222">
        <f>SUM(B18-B28)</f>
        <v>0</v>
      </c>
      <c r="C29" s="223" t="s">
        <v>225</v>
      </c>
      <c r="D29" s="222">
        <f>SUM(D18-D28)</f>
        <v>0</v>
      </c>
      <c r="E29" s="223" t="s">
        <v>225</v>
      </c>
      <c r="F29" s="222">
        <f>SUM(F18-F28)</f>
        <v>0</v>
      </c>
      <c r="G29" s="223" t="s">
        <v>225</v>
      </c>
      <c r="H29" s="222">
        <f>SUM(H18-H28)</f>
        <v>0</v>
      </c>
      <c r="I29" s="223" t="s">
        <v>225</v>
      </c>
      <c r="J29" s="222">
        <f>SUM(J18-J28)</f>
        <v>0</v>
      </c>
      <c r="K29" s="237">
        <f>SUM(B29+D29+F29+H29+J29)</f>
        <v>0</v>
      </c>
      <c r="L29" s="209" t="s">
        <v>226</v>
      </c>
    </row>
    <row r="30" spans="1:12" ht="15.75">
      <c r="A30" s="223"/>
      <c r="B30" s="238">
        <f>IF(B29&lt;0,"See Tab B","")</f>
      </c>
      <c r="C30" s="223"/>
      <c r="D30" s="238">
        <f>IF(D29&lt;0,"See Tab B","")</f>
      </c>
      <c r="E30" s="223"/>
      <c r="F30" s="238">
        <f>IF(F29&lt;0,"See Tab B","")</f>
      </c>
      <c r="G30" s="207"/>
      <c r="H30" s="238">
        <f>IF(H29&lt;0,"See Tab B","")</f>
      </c>
      <c r="I30" s="207"/>
      <c r="J30" s="238">
        <f>IF(J29&lt;0,"See Tab B","")</f>
      </c>
      <c r="K30" s="237">
        <f>SUM(K7+K17-K28)</f>
        <v>0</v>
      </c>
      <c r="L30" s="209" t="s">
        <v>226</v>
      </c>
    </row>
    <row r="31" spans="1:11" ht="15.75">
      <c r="A31" s="207"/>
      <c r="B31" s="239"/>
      <c r="C31" s="207"/>
      <c r="D31" s="206"/>
      <c r="E31" s="207"/>
      <c r="F31" s="207"/>
      <c r="G31" s="240" t="s">
        <v>227</v>
      </c>
      <c r="H31" s="240"/>
      <c r="I31" s="240"/>
      <c r="J31" s="240"/>
      <c r="K31" s="207"/>
    </row>
    <row r="32" spans="1:11" ht="15.75">
      <c r="A32" s="207"/>
      <c r="B32" s="239"/>
      <c r="C32" s="207"/>
      <c r="D32" s="207"/>
      <c r="E32" s="207"/>
      <c r="F32" s="207"/>
      <c r="G32" s="207"/>
      <c r="H32" s="207"/>
      <c r="I32" s="207"/>
      <c r="J32" s="207"/>
      <c r="K32" s="207"/>
    </row>
    <row r="33" spans="1:11" ht="15.75">
      <c r="A33" s="207"/>
      <c r="B33" s="239"/>
      <c r="C33" s="207"/>
      <c r="D33" s="207"/>
      <c r="E33" s="241" t="s">
        <v>138</v>
      </c>
      <c r="F33" s="242"/>
      <c r="G33" s="207"/>
      <c r="H33" s="207"/>
      <c r="I33" s="207"/>
      <c r="J33" s="207"/>
      <c r="K33" s="207"/>
    </row>
    <row r="34" ht="15.75">
      <c r="B34" s="243"/>
    </row>
    <row r="35" ht="15.75">
      <c r="B35" s="243"/>
    </row>
    <row r="36" ht="15.75">
      <c r="B36" s="243"/>
    </row>
    <row r="37" ht="15.75">
      <c r="B37" s="243"/>
    </row>
    <row r="38" ht="15.75">
      <c r="B38" s="243"/>
    </row>
    <row r="39" ht="15.75">
      <c r="B39" s="243"/>
    </row>
    <row r="40" ht="15.75">
      <c r="B40" s="243"/>
    </row>
    <row r="41" ht="15.75">
      <c r="B41" s="243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1">
      <selection activeCell="F36" sqref="F3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2015</v>
      </c>
    </row>
    <row r="2" spans="1:6" ht="15.75">
      <c r="A2" s="1" t="s">
        <v>38</v>
      </c>
      <c r="B2" s="1"/>
      <c r="C2" s="113" t="str">
        <f>input!F5</f>
        <v>Linn County</v>
      </c>
      <c r="D2" s="114"/>
      <c r="E2" s="1"/>
      <c r="F2" s="1"/>
    </row>
    <row r="3" spans="1:6" ht="15.75">
      <c r="A3" s="26" t="s">
        <v>8</v>
      </c>
      <c r="B3" s="26"/>
      <c r="C3" s="247" t="str">
        <f>cert2!A10</f>
        <v>Rural Fire Dist. #1</v>
      </c>
      <c r="D3" s="248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 ht="15.75">
      <c r="A9" s="35" t="s">
        <v>13</v>
      </c>
      <c r="B9" s="36"/>
      <c r="C9" s="200"/>
      <c r="D9" s="195">
        <v>11723.56</v>
      </c>
      <c r="E9" s="21">
        <f>+D39</f>
        <v>73086.38000000012</v>
      </c>
      <c r="F9" s="21">
        <f>+E39</f>
        <v>12487.810000000172</v>
      </c>
    </row>
    <row r="10" spans="1:6" ht="15.75">
      <c r="A10" s="198" t="s">
        <v>14</v>
      </c>
      <c r="B10" s="199"/>
      <c r="C10" s="200"/>
      <c r="D10" s="195">
        <v>535397.24</v>
      </c>
      <c r="E10" s="37">
        <v>431609</v>
      </c>
      <c r="F10" s="20" t="s">
        <v>6</v>
      </c>
    </row>
    <row r="11" spans="1:6" ht="15.75">
      <c r="A11" s="35" t="s">
        <v>15</v>
      </c>
      <c r="B11" s="36"/>
      <c r="C11" s="200"/>
      <c r="D11" s="195">
        <v>6415.42</v>
      </c>
      <c r="E11" s="37">
        <v>4000</v>
      </c>
      <c r="F11" s="37">
        <v>2000</v>
      </c>
    </row>
    <row r="12" spans="1:6" ht="15.75">
      <c r="A12" s="35" t="s">
        <v>16</v>
      </c>
      <c r="B12" s="36"/>
      <c r="C12" s="200"/>
      <c r="D12" s="195">
        <v>23254.97</v>
      </c>
      <c r="E12" s="37">
        <v>25595</v>
      </c>
      <c r="F12" s="21">
        <f>D54</f>
        <v>19740</v>
      </c>
    </row>
    <row r="13" spans="1:6" ht="15.75">
      <c r="A13" s="35" t="s">
        <v>17</v>
      </c>
      <c r="B13" s="36"/>
      <c r="C13" s="200"/>
      <c r="D13" s="195"/>
      <c r="E13" s="37">
        <v>816</v>
      </c>
      <c r="F13" s="21">
        <f>E54</f>
        <v>565</v>
      </c>
    </row>
    <row r="14" spans="1:6" ht="15.75">
      <c r="A14" s="35" t="s">
        <v>86</v>
      </c>
      <c r="B14" s="36"/>
      <c r="C14" s="200"/>
      <c r="D14" s="195"/>
      <c r="E14" s="37">
        <v>2174</v>
      </c>
      <c r="F14" s="21">
        <f>F54</f>
        <v>2805</v>
      </c>
    </row>
    <row r="15" spans="1:6" ht="15.75">
      <c r="A15" s="35" t="s">
        <v>18</v>
      </c>
      <c r="B15" s="36"/>
      <c r="C15" s="200"/>
      <c r="D15" s="195"/>
      <c r="E15" s="37" t="s">
        <v>19</v>
      </c>
      <c r="F15" s="108"/>
    </row>
    <row r="16" spans="1:6" ht="15.75">
      <c r="A16" s="35" t="s">
        <v>371</v>
      </c>
      <c r="B16" s="36"/>
      <c r="C16" s="200"/>
      <c r="D16" s="195"/>
      <c r="E16" s="37"/>
      <c r="F16" s="108">
        <v>620.5</v>
      </c>
    </row>
    <row r="17" spans="1:6" ht="15.75">
      <c r="A17" s="38" t="s">
        <v>20</v>
      </c>
      <c r="B17" s="39"/>
      <c r="C17" s="201"/>
      <c r="D17" s="195">
        <v>447.56</v>
      </c>
      <c r="E17" s="37">
        <v>476</v>
      </c>
      <c r="F17" s="37">
        <v>340.15</v>
      </c>
    </row>
    <row r="18" spans="1:6" ht="15.75">
      <c r="A18" s="38" t="s">
        <v>327</v>
      </c>
      <c r="B18" s="39"/>
      <c r="C18" s="201"/>
      <c r="D18" s="195">
        <v>7654.29</v>
      </c>
      <c r="E18" s="37">
        <v>469.9</v>
      </c>
      <c r="F18" s="37"/>
    </row>
    <row r="19" spans="1:6" ht="15.75">
      <c r="A19" s="40" t="s">
        <v>328</v>
      </c>
      <c r="B19" s="39"/>
      <c r="C19" s="201"/>
      <c r="D19" s="195">
        <v>433.38</v>
      </c>
      <c r="E19" s="37"/>
      <c r="F19" s="37"/>
    </row>
    <row r="20" spans="1:6" ht="15.75">
      <c r="A20" s="40" t="s">
        <v>329</v>
      </c>
      <c r="B20" s="39"/>
      <c r="C20" s="201"/>
      <c r="D20" s="195"/>
      <c r="E20" s="37"/>
      <c r="F20" s="37"/>
    </row>
    <row r="21" spans="1:6" ht="15.75">
      <c r="A21" s="40" t="s">
        <v>330</v>
      </c>
      <c r="B21" s="39"/>
      <c r="C21" s="201"/>
      <c r="D21" s="195">
        <v>26470.83</v>
      </c>
      <c r="E21" s="37">
        <v>135.53</v>
      </c>
      <c r="F21" s="37"/>
    </row>
    <row r="22" spans="1:6" ht="15.75">
      <c r="A22" s="40" t="s">
        <v>331</v>
      </c>
      <c r="B22" s="39"/>
      <c r="C22" s="201"/>
      <c r="D22" s="195">
        <v>3500</v>
      </c>
      <c r="E22" s="37">
        <v>1250</v>
      </c>
      <c r="F22" s="37">
        <v>1250</v>
      </c>
    </row>
    <row r="23" spans="1:6" ht="15.75">
      <c r="A23" s="38" t="s">
        <v>332</v>
      </c>
      <c r="B23" s="39"/>
      <c r="C23" s="201"/>
      <c r="D23" s="195">
        <v>10200</v>
      </c>
      <c r="E23" s="37"/>
      <c r="F23" s="37"/>
    </row>
    <row r="24" spans="1:6" ht="15.75">
      <c r="A24" s="41" t="s">
        <v>333</v>
      </c>
      <c r="B24" s="42"/>
      <c r="C24" s="201"/>
      <c r="D24" s="195"/>
      <c r="E24" s="37"/>
      <c r="F24" s="37"/>
    </row>
    <row r="25" spans="1:6" ht="15.75">
      <c r="A25" s="41" t="s">
        <v>21</v>
      </c>
      <c r="B25" s="42"/>
      <c r="C25" s="201"/>
      <c r="D25" s="195"/>
      <c r="E25" s="37"/>
      <c r="F25" s="37"/>
    </row>
    <row r="26" spans="1:6" ht="15.75">
      <c r="A26" s="43" t="s">
        <v>22</v>
      </c>
      <c r="B26" s="36"/>
      <c r="C26" s="200"/>
      <c r="D26" s="196">
        <f>SUM(D10:D25)</f>
        <v>613773.6900000001</v>
      </c>
      <c r="E26" s="182">
        <f>SUM(E10:E25)</f>
        <v>466525.43000000005</v>
      </c>
      <c r="F26" s="182">
        <f>SUM(F10:F25)</f>
        <v>27320.65</v>
      </c>
    </row>
    <row r="27" spans="1:6" ht="15.75">
      <c r="A27" s="43" t="s">
        <v>23</v>
      </c>
      <c r="B27" s="36"/>
      <c r="C27" s="200"/>
      <c r="D27" s="196">
        <f>+D9+D26</f>
        <v>625497.2500000001</v>
      </c>
      <c r="E27" s="182">
        <f>+E9+E26</f>
        <v>539611.8100000002</v>
      </c>
      <c r="F27" s="182">
        <f>+F9+F26</f>
        <v>39808.460000000174</v>
      </c>
    </row>
    <row r="28" spans="1:6" ht="15.75">
      <c r="A28" s="35" t="s">
        <v>24</v>
      </c>
      <c r="B28" s="36"/>
      <c r="C28" s="200"/>
      <c r="D28" s="106"/>
      <c r="E28" s="21"/>
      <c r="F28" s="21"/>
    </row>
    <row r="29" spans="1:6" ht="15.75">
      <c r="A29" s="41" t="s">
        <v>334</v>
      </c>
      <c r="B29" s="39"/>
      <c r="C29" s="201"/>
      <c r="D29" s="195">
        <v>93456.64</v>
      </c>
      <c r="E29" s="37">
        <f>73424+85000</f>
        <v>158424</v>
      </c>
      <c r="F29" s="37">
        <f>74892+85000-2718</f>
        <v>157174</v>
      </c>
    </row>
    <row r="30" spans="1:6" ht="15.75">
      <c r="A30" s="41" t="s">
        <v>335</v>
      </c>
      <c r="B30" s="39"/>
      <c r="C30" s="201"/>
      <c r="D30" s="195">
        <v>95900.51</v>
      </c>
      <c r="E30" s="37">
        <f>104250+31700</f>
        <v>135950</v>
      </c>
      <c r="F30" s="37">
        <f>105700+36500</f>
        <v>142200</v>
      </c>
    </row>
    <row r="31" spans="1:6" ht="15.75">
      <c r="A31" s="41" t="s">
        <v>336</v>
      </c>
      <c r="B31" s="39"/>
      <c r="C31" s="201"/>
      <c r="D31" s="195">
        <v>69571.57</v>
      </c>
      <c r="E31" s="37">
        <f>66000+500+40000+40000</f>
        <v>146500</v>
      </c>
      <c r="F31" s="37">
        <f>66000+500+40000+35000</f>
        <v>141500</v>
      </c>
    </row>
    <row r="32" spans="1:6" ht="15.75">
      <c r="A32" s="41" t="s">
        <v>337</v>
      </c>
      <c r="B32" s="39"/>
      <c r="C32" s="201"/>
      <c r="D32" s="195">
        <v>136482.15</v>
      </c>
      <c r="E32" s="37">
        <f>35000+1250</f>
        <v>36250</v>
      </c>
      <c r="F32" s="37">
        <f>129500+1250-94500</f>
        <v>36250</v>
      </c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 t="s">
        <v>338</v>
      </c>
      <c r="B34" s="39"/>
      <c r="C34" s="201"/>
      <c r="D34" s="195"/>
      <c r="E34" s="37"/>
      <c r="F34" s="37"/>
    </row>
    <row r="35" spans="1:6" ht="15.75">
      <c r="A35" s="38"/>
      <c r="B35" s="39"/>
      <c r="C35" s="201"/>
      <c r="D35" s="195"/>
      <c r="E35" s="37"/>
      <c r="F35" s="37"/>
    </row>
    <row r="36" spans="1:6" ht="15.75">
      <c r="A36" s="38" t="s">
        <v>339</v>
      </c>
      <c r="B36" s="39"/>
      <c r="C36" s="201"/>
      <c r="D36" s="195">
        <v>157000</v>
      </c>
      <c r="E36" s="37">
        <v>50000</v>
      </c>
      <c r="F36" s="37">
        <v>50000</v>
      </c>
    </row>
    <row r="37" spans="1:6" ht="15.75">
      <c r="A37" s="38"/>
      <c r="B37" s="39"/>
      <c r="C37" s="201"/>
      <c r="D37" s="195"/>
      <c r="E37" s="37"/>
      <c r="F37" s="37"/>
    </row>
    <row r="38" spans="1:6" ht="15.75">
      <c r="A38" s="43" t="s">
        <v>25</v>
      </c>
      <c r="B38" s="36"/>
      <c r="C38" s="200"/>
      <c r="D38" s="196">
        <f>SUM(D29:D37)</f>
        <v>552410.87</v>
      </c>
      <c r="E38" s="182">
        <f>SUM(E29:E37)</f>
        <v>527124</v>
      </c>
      <c r="F38" s="182">
        <f>SUM(F29:F37)</f>
        <v>527124</v>
      </c>
    </row>
    <row r="39" spans="1:6" ht="15.75">
      <c r="A39" s="35" t="s">
        <v>26</v>
      </c>
      <c r="B39" s="36"/>
      <c r="C39" s="200"/>
      <c r="D39" s="189">
        <f>+D27-D38</f>
        <v>73086.38000000012</v>
      </c>
      <c r="E39" s="183">
        <f>+E27-E38</f>
        <v>12487.810000000172</v>
      </c>
      <c r="F39" s="20" t="s">
        <v>6</v>
      </c>
    </row>
    <row r="40" spans="1:7" ht="15.75">
      <c r="A40" s="1"/>
      <c r="B40" s="1"/>
      <c r="C40" s="1"/>
      <c r="D40" s="46"/>
      <c r="E40" s="47" t="s">
        <v>27</v>
      </c>
      <c r="F40" s="17"/>
      <c r="G40" s="193">
        <f>IF(F38/0.95-F38&lt;F40,"Exceeds 5%","")</f>
      </c>
    </row>
    <row r="41" spans="1:6" ht="15.75">
      <c r="A41" s="1"/>
      <c r="B41" s="26"/>
      <c r="C41" s="1"/>
      <c r="D41" s="46"/>
      <c r="E41" s="47" t="s">
        <v>28</v>
      </c>
      <c r="F41" s="165">
        <f>+F38+F40</f>
        <v>527124</v>
      </c>
    </row>
    <row r="42" spans="1:6" ht="15.75">
      <c r="A42" s="1"/>
      <c r="B42" s="1"/>
      <c r="C42" s="1"/>
      <c r="D42" s="1"/>
      <c r="E42" s="4" t="s">
        <v>29</v>
      </c>
      <c r="F42" s="192">
        <f>IF(F41-F27&gt;0,F41-F27,0)</f>
        <v>487315.5399999998</v>
      </c>
    </row>
    <row r="43" spans="1:6" ht="15.75">
      <c r="A43" s="314" t="s">
        <v>167</v>
      </c>
      <c r="B43" s="315"/>
      <c r="C43" s="315"/>
      <c r="D43" s="315"/>
      <c r="E43" s="188">
        <v>0.015</v>
      </c>
      <c r="F43" s="192">
        <f>ROUND(IF($E$43&gt;0,($F$42*$E$43),0),0)</f>
        <v>7310</v>
      </c>
    </row>
    <row r="44" spans="1:6" ht="15.75">
      <c r="A44" s="1"/>
      <c r="B44" s="1"/>
      <c r="C44" s="1"/>
      <c r="D44" s="1"/>
      <c r="E44" s="4" t="str">
        <f>CONCATENATE("Amount of ",$F$1-1," Ad Valorem Tax")</f>
        <v>Amount of 2014 Ad Valorem Tax</v>
      </c>
      <c r="F44" s="249">
        <f>SUM(F42:F43)</f>
        <v>494625.5399999998</v>
      </c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1"/>
      <c r="C47" s="1"/>
      <c r="D47" s="1"/>
      <c r="E47" s="4"/>
      <c r="F47" s="50"/>
    </row>
    <row r="48" spans="1:6" ht="15.75">
      <c r="A48" s="1"/>
      <c r="B48" s="1"/>
      <c r="C48" s="1"/>
      <c r="D48" s="1"/>
      <c r="E48" s="4"/>
      <c r="F48" s="50"/>
    </row>
    <row r="49" spans="1:6" ht="15.75">
      <c r="A49" s="1"/>
      <c r="B49" s="1"/>
      <c r="C49" s="1"/>
      <c r="D49" s="1"/>
      <c r="E49" s="4"/>
      <c r="F49" s="50"/>
    </row>
    <row r="50" spans="1:6" ht="15.75">
      <c r="A50" s="1"/>
      <c r="B50" s="28" t="s">
        <v>78</v>
      </c>
      <c r="C50" s="1"/>
      <c r="D50" s="12"/>
      <c r="E50" s="90"/>
      <c r="F50" s="91"/>
    </row>
    <row r="51" spans="1:6" ht="15.75">
      <c r="A51" s="27"/>
      <c r="B51" s="25" t="s">
        <v>19</v>
      </c>
      <c r="C51" s="1"/>
      <c r="D51" s="88"/>
      <c r="E51" s="92" t="str">
        <f>CONCATENATE("Allocation for Year ",$F$1,"")</f>
        <v>Allocation for Year 2015</v>
      </c>
      <c r="F51" s="89"/>
    </row>
    <row r="52" spans="1:6" ht="15.75">
      <c r="A52" s="51" t="s">
        <v>30</v>
      </c>
      <c r="B52" s="52"/>
      <c r="C52" s="163" t="s">
        <v>168</v>
      </c>
      <c r="D52" s="32" t="s">
        <v>79</v>
      </c>
      <c r="E52" s="32" t="s">
        <v>80</v>
      </c>
      <c r="F52" s="32" t="s">
        <v>81</v>
      </c>
    </row>
    <row r="53" spans="1:6" ht="15.75">
      <c r="A53" s="53" t="s">
        <v>31</v>
      </c>
      <c r="B53" s="107"/>
      <c r="C53" s="109" t="str">
        <f>CONCATENATE("for ",$F$1-1,"")</f>
        <v>for 2014</v>
      </c>
      <c r="D53" s="34" t="s">
        <v>32</v>
      </c>
      <c r="E53" s="34" t="s">
        <v>32</v>
      </c>
      <c r="F53" s="34" t="s">
        <v>32</v>
      </c>
    </row>
    <row r="54" spans="1:6" ht="15.75">
      <c r="A54" s="105" t="s">
        <v>33</v>
      </c>
      <c r="B54" s="111"/>
      <c r="C54" s="251">
        <f>inputVehicle!E$5</f>
        <v>431609</v>
      </c>
      <c r="D54" s="128">
        <f>IF(C54&gt;0,ROUND(+C54*D$62,0)," ")</f>
        <v>19740</v>
      </c>
      <c r="E54" s="128">
        <f>IF(C54&gt;0,ROUND(+C54*E$63,0)," ")</f>
        <v>565</v>
      </c>
      <c r="F54" s="128">
        <f>IF(C54&gt;0,ROUND(+C54*F$64,0)," ")</f>
        <v>2805</v>
      </c>
    </row>
    <row r="55" spans="1:6" ht="15.75">
      <c r="A55" s="54"/>
      <c r="B55" s="104"/>
      <c r="C55" s="110"/>
      <c r="D55" s="128" t="str">
        <f>IF(C55&gt;0,ROUND(+C55*D$62,0)," ")</f>
        <v> </v>
      </c>
      <c r="E55" s="128" t="str">
        <f>IF(C55&gt;0,ROUND(+D55*E$63,0)," ")</f>
        <v> </v>
      </c>
      <c r="F55" s="128" t="str">
        <f>IF(C55&gt;0,ROUND(+E55*F$64,0)," ")</f>
        <v> </v>
      </c>
    </row>
    <row r="56" spans="1:6" ht="15.75">
      <c r="A56" s="35" t="s">
        <v>34</v>
      </c>
      <c r="B56" s="44"/>
      <c r="C56" s="189">
        <f>SUM(C54:C55)</f>
        <v>431609</v>
      </c>
      <c r="D56" s="190">
        <f>SUM(D54:D55)</f>
        <v>19740</v>
      </c>
      <c r="E56" s="190">
        <f>SUM(E54:E55)</f>
        <v>565</v>
      </c>
      <c r="F56" s="190">
        <f>SUM(F54:F55)</f>
        <v>2805</v>
      </c>
    </row>
    <row r="57" spans="1:6" ht="15.75">
      <c r="A57" s="29"/>
      <c r="B57" s="29"/>
      <c r="C57" s="50"/>
      <c r="D57" s="126"/>
      <c r="E57" s="126"/>
      <c r="F57" s="126"/>
    </row>
    <row r="58" spans="1:6" ht="15.75">
      <c r="A58" s="29" t="s">
        <v>83</v>
      </c>
      <c r="B58" s="29"/>
      <c r="C58" s="50"/>
      <c r="D58" s="252">
        <f>inputVehicle!E$7</f>
        <v>19739.63</v>
      </c>
      <c r="E58" s="126"/>
      <c r="F58" s="126"/>
    </row>
    <row r="59" spans="1:6" ht="15.75">
      <c r="A59" s="29" t="s">
        <v>84</v>
      </c>
      <c r="B59" s="29"/>
      <c r="C59" s="50"/>
      <c r="D59" s="126"/>
      <c r="E59" s="252">
        <f>inputVehicle!E$9</f>
        <v>564.63</v>
      </c>
      <c r="F59" s="126"/>
    </row>
    <row r="60" spans="1:6" ht="15.75">
      <c r="A60" s="29" t="s">
        <v>85</v>
      </c>
      <c r="B60" s="29"/>
      <c r="C60" s="50"/>
      <c r="D60" s="126"/>
      <c r="E60" s="126"/>
      <c r="F60" s="252">
        <f>inputVehicle!E$11</f>
        <v>2805.07</v>
      </c>
    </row>
    <row r="61" spans="1:6" ht="15.75">
      <c r="A61" s="1"/>
      <c r="B61" s="1"/>
      <c r="C61" s="1"/>
      <c r="D61" s="92"/>
      <c r="E61" s="92"/>
      <c r="F61" s="92"/>
    </row>
    <row r="62" spans="1:6" ht="15.75">
      <c r="A62" s="1"/>
      <c r="B62" s="1"/>
      <c r="C62" s="1" t="s">
        <v>35</v>
      </c>
      <c r="D62" s="127">
        <f>IF(C56=0,0,D58/C56)</f>
        <v>0.04573498235671638</v>
      </c>
      <c r="E62" s="92"/>
      <c r="F62" s="92"/>
    </row>
    <row r="63" spans="1:6" ht="15.75">
      <c r="A63" s="1"/>
      <c r="B63" s="1"/>
      <c r="C63" s="1"/>
      <c r="D63" s="92" t="s">
        <v>36</v>
      </c>
      <c r="E63" s="127">
        <f>IF(C56=0,0,E59/C56)</f>
        <v>0.0013081979291442022</v>
      </c>
      <c r="F63" s="92"/>
    </row>
    <row r="64" spans="1:6" ht="15.75">
      <c r="A64" s="1"/>
      <c r="B64" s="1"/>
      <c r="C64" s="1"/>
      <c r="D64" s="92"/>
      <c r="E64" s="92" t="s">
        <v>82</v>
      </c>
      <c r="F64" s="127">
        <f>IF(C56=0,0,F60/C56)</f>
        <v>0.006499099879752276</v>
      </c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26" t="s">
        <v>37</v>
      </c>
      <c r="C72" s="56">
        <v>19</v>
      </c>
      <c r="D72" s="1"/>
      <c r="E72" s="1"/>
      <c r="F72" s="1"/>
    </row>
  </sheetData>
  <sheetProtection/>
  <mergeCells count="1">
    <mergeCell ref="A43:D43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09" customWidth="1"/>
    <col min="2" max="2" width="9.57421875" style="209" customWidth="1"/>
    <col min="3" max="3" width="14.8515625" style="209" customWidth="1"/>
    <col min="4" max="4" width="9.57421875" style="209" customWidth="1"/>
    <col min="5" max="5" width="14.8515625" style="209" customWidth="1"/>
    <col min="6" max="6" width="9.57421875" style="209" customWidth="1"/>
    <col min="7" max="7" width="14.8515625" style="209" customWidth="1"/>
    <col min="8" max="8" width="9.57421875" style="209" customWidth="1"/>
    <col min="9" max="9" width="14.8515625" style="209" customWidth="1"/>
    <col min="10" max="16384" width="9.140625" style="209" customWidth="1"/>
  </cols>
  <sheetData>
    <row r="1" spans="1:11" ht="15.75">
      <c r="A1" s="205" t="str">
        <f>input!F5</f>
        <v>Linn County</v>
      </c>
      <c r="B1" s="206"/>
      <c r="C1" s="207"/>
      <c r="D1" s="207"/>
      <c r="E1" s="207"/>
      <c r="F1" s="208" t="s">
        <v>216</v>
      </c>
      <c r="G1" s="207"/>
      <c r="H1" s="207"/>
      <c r="I1" s="207"/>
      <c r="J1" s="207"/>
      <c r="K1" s="207">
        <f>input!F8</f>
        <v>2015</v>
      </c>
    </row>
    <row r="2" spans="1:11" ht="15.75">
      <c r="A2" s="207"/>
      <c r="B2" s="207"/>
      <c r="C2" s="207"/>
      <c r="D2" s="207"/>
      <c r="E2" s="207"/>
      <c r="F2" s="210" t="str">
        <f>CONCATENATE("(Only the actual budget year for ",input!F8-2," is to be shown)")</f>
        <v>(Only the actual budget year for 2013 is to be shown)</v>
      </c>
      <c r="G2" s="207"/>
      <c r="H2" s="207"/>
      <c r="I2" s="207"/>
      <c r="J2" s="207"/>
      <c r="K2" s="207"/>
    </row>
    <row r="3" spans="1:11" ht="15.75">
      <c r="A3" s="207" t="s">
        <v>217</v>
      </c>
      <c r="B3" s="207"/>
      <c r="C3" s="207"/>
      <c r="D3" s="207"/>
      <c r="E3" s="207"/>
      <c r="F3" s="206"/>
      <c r="G3" s="207"/>
      <c r="H3" s="207"/>
      <c r="I3" s="207"/>
      <c r="J3" s="207"/>
      <c r="K3" s="207"/>
    </row>
    <row r="4" spans="1:11" ht="15.75">
      <c r="A4" s="207" t="s">
        <v>218</v>
      </c>
      <c r="B4" s="207"/>
      <c r="C4" s="207" t="s">
        <v>219</v>
      </c>
      <c r="D4" s="207"/>
      <c r="E4" s="207" t="s">
        <v>220</v>
      </c>
      <c r="F4" s="206"/>
      <c r="G4" s="207" t="s">
        <v>221</v>
      </c>
      <c r="H4" s="207"/>
      <c r="I4" s="207" t="s">
        <v>222</v>
      </c>
      <c r="J4" s="207"/>
      <c r="K4" s="207"/>
    </row>
    <row r="5" spans="1:11" ht="15.75">
      <c r="A5" s="335"/>
      <c r="B5" s="336"/>
      <c r="C5" s="335"/>
      <c r="D5" s="336"/>
      <c r="E5" s="335"/>
      <c r="F5" s="336"/>
      <c r="G5" s="335"/>
      <c r="H5" s="336"/>
      <c r="I5" s="335"/>
      <c r="J5" s="336"/>
      <c r="K5" s="211"/>
    </row>
    <row r="6" spans="1:11" ht="15.75">
      <c r="A6" s="212" t="s">
        <v>223</v>
      </c>
      <c r="B6" s="213"/>
      <c r="C6" s="214" t="s">
        <v>223</v>
      </c>
      <c r="D6" s="215"/>
      <c r="E6" s="214" t="s">
        <v>223</v>
      </c>
      <c r="F6" s="216"/>
      <c r="G6" s="214" t="s">
        <v>223</v>
      </c>
      <c r="H6" s="217"/>
      <c r="I6" s="214" t="s">
        <v>223</v>
      </c>
      <c r="J6" s="207"/>
      <c r="K6" s="218" t="s">
        <v>34</v>
      </c>
    </row>
    <row r="7" spans="1:11" ht="15.75">
      <c r="A7" s="219" t="s">
        <v>224</v>
      </c>
      <c r="B7" s="220"/>
      <c r="C7" s="221" t="s">
        <v>224</v>
      </c>
      <c r="D7" s="220"/>
      <c r="E7" s="221" t="s">
        <v>224</v>
      </c>
      <c r="F7" s="220"/>
      <c r="G7" s="221" t="s">
        <v>224</v>
      </c>
      <c r="H7" s="220"/>
      <c r="I7" s="221" t="s">
        <v>224</v>
      </c>
      <c r="J7" s="220"/>
      <c r="K7" s="222">
        <f>SUM(B7+D7+F7+H7+J7)</f>
        <v>0</v>
      </c>
    </row>
    <row r="8" spans="1:11" ht="15.75">
      <c r="A8" s="223" t="s">
        <v>134</v>
      </c>
      <c r="B8" s="224"/>
      <c r="C8" s="223" t="s">
        <v>134</v>
      </c>
      <c r="D8" s="225"/>
      <c r="E8" s="223" t="s">
        <v>134</v>
      </c>
      <c r="F8" s="206"/>
      <c r="G8" s="223" t="s">
        <v>134</v>
      </c>
      <c r="H8" s="207"/>
      <c r="I8" s="223" t="s">
        <v>134</v>
      </c>
      <c r="J8" s="207"/>
      <c r="K8" s="206"/>
    </row>
    <row r="9" spans="1:11" ht="15.75">
      <c r="A9" s="226"/>
      <c r="B9" s="220"/>
      <c r="C9" s="226"/>
      <c r="D9" s="220"/>
      <c r="E9" s="226"/>
      <c r="F9" s="220"/>
      <c r="G9" s="226"/>
      <c r="H9" s="220"/>
      <c r="I9" s="226"/>
      <c r="J9" s="220"/>
      <c r="K9" s="206"/>
    </row>
    <row r="10" spans="1:11" ht="15.75">
      <c r="A10" s="226"/>
      <c r="B10" s="220"/>
      <c r="C10" s="226"/>
      <c r="D10" s="220"/>
      <c r="E10" s="226"/>
      <c r="F10" s="220"/>
      <c r="G10" s="226"/>
      <c r="H10" s="220"/>
      <c r="I10" s="226"/>
      <c r="J10" s="220"/>
      <c r="K10" s="206"/>
    </row>
    <row r="11" spans="1:11" ht="15.75">
      <c r="A11" s="226"/>
      <c r="B11" s="220"/>
      <c r="C11" s="227"/>
      <c r="D11" s="228"/>
      <c r="E11" s="227"/>
      <c r="F11" s="220"/>
      <c r="G11" s="227"/>
      <c r="H11" s="220"/>
      <c r="I11" s="229"/>
      <c r="J11" s="220"/>
      <c r="K11" s="206"/>
    </row>
    <row r="12" spans="1:11" ht="15.75">
      <c r="A12" s="226"/>
      <c r="B12" s="230"/>
      <c r="C12" s="226"/>
      <c r="D12" s="231"/>
      <c r="E12" s="232"/>
      <c r="F12" s="220"/>
      <c r="G12" s="232"/>
      <c r="H12" s="220"/>
      <c r="I12" s="232"/>
      <c r="J12" s="220"/>
      <c r="K12" s="206"/>
    </row>
    <row r="13" spans="1:11" ht="15.75">
      <c r="A13" s="233"/>
      <c r="B13" s="234"/>
      <c r="C13" s="235"/>
      <c r="D13" s="231"/>
      <c r="E13" s="235"/>
      <c r="F13" s="220"/>
      <c r="G13" s="235"/>
      <c r="H13" s="220"/>
      <c r="I13" s="229"/>
      <c r="J13" s="220"/>
      <c r="K13" s="206"/>
    </row>
    <row r="14" spans="1:11" ht="15.75">
      <c r="A14" s="226"/>
      <c r="B14" s="220"/>
      <c r="C14" s="232"/>
      <c r="D14" s="231"/>
      <c r="E14" s="232"/>
      <c r="F14" s="220"/>
      <c r="G14" s="232"/>
      <c r="H14" s="220"/>
      <c r="I14" s="232"/>
      <c r="J14" s="220"/>
      <c r="K14" s="206"/>
    </row>
    <row r="15" spans="1:11" ht="15.75">
      <c r="A15" s="226"/>
      <c r="B15" s="220"/>
      <c r="C15" s="232"/>
      <c r="D15" s="231"/>
      <c r="E15" s="232"/>
      <c r="F15" s="220"/>
      <c r="G15" s="232"/>
      <c r="H15" s="220"/>
      <c r="I15" s="232"/>
      <c r="J15" s="220"/>
      <c r="K15" s="206"/>
    </row>
    <row r="16" spans="1:11" ht="15.75">
      <c r="A16" s="226"/>
      <c r="B16" s="234"/>
      <c r="C16" s="226"/>
      <c r="D16" s="231"/>
      <c r="E16" s="226"/>
      <c r="F16" s="220"/>
      <c r="G16" s="232"/>
      <c r="H16" s="220"/>
      <c r="I16" s="226"/>
      <c r="J16" s="220"/>
      <c r="K16" s="206"/>
    </row>
    <row r="17" spans="1:11" ht="15.75">
      <c r="A17" s="223" t="s">
        <v>22</v>
      </c>
      <c r="B17" s="222">
        <f>SUM(B9:B16)</f>
        <v>0</v>
      </c>
      <c r="C17" s="223" t="s">
        <v>22</v>
      </c>
      <c r="D17" s="222">
        <f>SUM(D9:D16)</f>
        <v>0</v>
      </c>
      <c r="E17" s="223" t="s">
        <v>22</v>
      </c>
      <c r="F17" s="236">
        <f>SUM(F9:F16)</f>
        <v>0</v>
      </c>
      <c r="G17" s="223" t="s">
        <v>22</v>
      </c>
      <c r="H17" s="222">
        <f>SUM(H9:H16)</f>
        <v>0</v>
      </c>
      <c r="I17" s="223" t="s">
        <v>22</v>
      </c>
      <c r="J17" s="222">
        <f>SUM(J9:J16)</f>
        <v>0</v>
      </c>
      <c r="K17" s="222">
        <f>SUM(B17+D17+F17+H17+J17)</f>
        <v>0</v>
      </c>
    </row>
    <row r="18" spans="1:11" ht="15.75">
      <c r="A18" s="223" t="s">
        <v>23</v>
      </c>
      <c r="B18" s="222">
        <f>SUM(B7+B17)</f>
        <v>0</v>
      </c>
      <c r="C18" s="223" t="s">
        <v>23</v>
      </c>
      <c r="D18" s="222">
        <f>SUM(D7+D17)</f>
        <v>0</v>
      </c>
      <c r="E18" s="223" t="s">
        <v>23</v>
      </c>
      <c r="F18" s="222">
        <f>SUM(F7+F17)</f>
        <v>0</v>
      </c>
      <c r="G18" s="223" t="s">
        <v>23</v>
      </c>
      <c r="H18" s="222">
        <f>SUM(H7+H17)</f>
        <v>0</v>
      </c>
      <c r="I18" s="223" t="s">
        <v>23</v>
      </c>
      <c r="J18" s="222">
        <f>SUM(J7+J17)</f>
        <v>0</v>
      </c>
      <c r="K18" s="222">
        <f>SUM(B18+D18+F18+H18+J18)</f>
        <v>0</v>
      </c>
    </row>
    <row r="19" spans="1:11" ht="15.75">
      <c r="A19" s="223" t="s">
        <v>24</v>
      </c>
      <c r="B19" s="224"/>
      <c r="C19" s="223" t="s">
        <v>24</v>
      </c>
      <c r="D19" s="225"/>
      <c r="E19" s="223" t="s">
        <v>24</v>
      </c>
      <c r="F19" s="206"/>
      <c r="G19" s="223" t="s">
        <v>24</v>
      </c>
      <c r="H19" s="207"/>
      <c r="I19" s="223" t="s">
        <v>24</v>
      </c>
      <c r="J19" s="207"/>
      <c r="K19" s="206"/>
    </row>
    <row r="20" spans="1:11" ht="15.75">
      <c r="A20" s="226"/>
      <c r="B20" s="220"/>
      <c r="C20" s="232"/>
      <c r="D20" s="220"/>
      <c r="E20" s="232"/>
      <c r="F20" s="220"/>
      <c r="G20" s="232"/>
      <c r="H20" s="220"/>
      <c r="I20" s="232"/>
      <c r="J20" s="220"/>
      <c r="K20" s="206"/>
    </row>
    <row r="21" spans="1:11" ht="15.75">
      <c r="A21" s="226"/>
      <c r="B21" s="220"/>
      <c r="C21" s="232"/>
      <c r="D21" s="220"/>
      <c r="E21" s="232"/>
      <c r="F21" s="220"/>
      <c r="G21" s="232"/>
      <c r="H21" s="220"/>
      <c r="I21" s="232"/>
      <c r="J21" s="220"/>
      <c r="K21" s="206"/>
    </row>
    <row r="22" spans="1:11" ht="15.75">
      <c r="A22" s="226"/>
      <c r="B22" s="220"/>
      <c r="C22" s="235"/>
      <c r="D22" s="220"/>
      <c r="E22" s="235"/>
      <c r="F22" s="220"/>
      <c r="G22" s="235"/>
      <c r="H22" s="220"/>
      <c r="I22" s="229"/>
      <c r="J22" s="220"/>
      <c r="K22" s="206"/>
    </row>
    <row r="23" spans="1:11" ht="15.75">
      <c r="A23" s="226"/>
      <c r="B23" s="220"/>
      <c r="C23" s="232"/>
      <c r="D23" s="220"/>
      <c r="E23" s="232"/>
      <c r="F23" s="220"/>
      <c r="G23" s="232"/>
      <c r="H23" s="220"/>
      <c r="I23" s="232"/>
      <c r="J23" s="220"/>
      <c r="K23" s="206"/>
    </row>
    <row r="24" spans="1:11" ht="15.75">
      <c r="A24" s="226"/>
      <c r="B24" s="220"/>
      <c r="C24" s="235"/>
      <c r="D24" s="220"/>
      <c r="E24" s="235"/>
      <c r="F24" s="220"/>
      <c r="G24" s="235"/>
      <c r="H24" s="220"/>
      <c r="I24" s="229"/>
      <c r="J24" s="220"/>
      <c r="K24" s="206"/>
    </row>
    <row r="25" spans="1:11" ht="15.75">
      <c r="A25" s="226"/>
      <c r="B25" s="220"/>
      <c r="C25" s="232"/>
      <c r="D25" s="220"/>
      <c r="E25" s="232"/>
      <c r="F25" s="220"/>
      <c r="G25" s="232"/>
      <c r="H25" s="220"/>
      <c r="I25" s="232"/>
      <c r="J25" s="220"/>
      <c r="K25" s="206"/>
    </row>
    <row r="26" spans="1:11" ht="15.75">
      <c r="A26" s="226"/>
      <c r="B26" s="220"/>
      <c r="C26" s="232"/>
      <c r="D26" s="220"/>
      <c r="E26" s="232"/>
      <c r="F26" s="220"/>
      <c r="G26" s="232"/>
      <c r="H26" s="220"/>
      <c r="I26" s="232"/>
      <c r="J26" s="220"/>
      <c r="K26" s="206"/>
    </row>
    <row r="27" spans="1:11" ht="15.75">
      <c r="A27" s="226"/>
      <c r="B27" s="220"/>
      <c r="C27" s="226"/>
      <c r="D27" s="220"/>
      <c r="E27" s="226"/>
      <c r="F27" s="220"/>
      <c r="G27" s="232"/>
      <c r="H27" s="220"/>
      <c r="I27" s="232"/>
      <c r="J27" s="220"/>
      <c r="K27" s="206"/>
    </row>
    <row r="28" spans="1:11" ht="15.75">
      <c r="A28" s="223" t="s">
        <v>25</v>
      </c>
      <c r="B28" s="222">
        <f>SUM(B20:B27)</f>
        <v>0</v>
      </c>
      <c r="C28" s="223" t="s">
        <v>25</v>
      </c>
      <c r="D28" s="222">
        <f>SUM(D20:D27)</f>
        <v>0</v>
      </c>
      <c r="E28" s="223" t="s">
        <v>25</v>
      </c>
      <c r="F28" s="236">
        <f>SUM(F20:F27)</f>
        <v>0</v>
      </c>
      <c r="G28" s="223" t="s">
        <v>25</v>
      </c>
      <c r="H28" s="236">
        <f>SUM(H20:H27)</f>
        <v>0</v>
      </c>
      <c r="I28" s="223" t="s">
        <v>25</v>
      </c>
      <c r="J28" s="222">
        <f>SUM(J20:J27)</f>
        <v>0</v>
      </c>
      <c r="K28" s="222">
        <f>SUM(B28+D28+F28+H28+J28)</f>
        <v>0</v>
      </c>
    </row>
    <row r="29" spans="1:12" ht="15.75">
      <c r="A29" s="223" t="s">
        <v>225</v>
      </c>
      <c r="B29" s="222">
        <f>SUM(B18-B28)</f>
        <v>0</v>
      </c>
      <c r="C29" s="223" t="s">
        <v>225</v>
      </c>
      <c r="D29" s="222">
        <f>SUM(D18-D28)</f>
        <v>0</v>
      </c>
      <c r="E29" s="223" t="s">
        <v>225</v>
      </c>
      <c r="F29" s="222">
        <f>SUM(F18-F28)</f>
        <v>0</v>
      </c>
      <c r="G29" s="223" t="s">
        <v>225</v>
      </c>
      <c r="H29" s="222">
        <f>SUM(H18-H28)</f>
        <v>0</v>
      </c>
      <c r="I29" s="223" t="s">
        <v>225</v>
      </c>
      <c r="J29" s="222">
        <f>SUM(J18-J28)</f>
        <v>0</v>
      </c>
      <c r="K29" s="237">
        <f>SUM(B29+D29+F29+H29+J29)</f>
        <v>0</v>
      </c>
      <c r="L29" s="209" t="s">
        <v>226</v>
      </c>
    </row>
    <row r="30" spans="1:12" ht="15.75">
      <c r="A30" s="223"/>
      <c r="B30" s="238">
        <f>IF(B29&lt;0,"See Tab B","")</f>
      </c>
      <c r="C30" s="223"/>
      <c r="D30" s="238">
        <f>IF(D29&lt;0,"See Tab B","")</f>
      </c>
      <c r="E30" s="223"/>
      <c r="F30" s="238">
        <f>IF(F29&lt;0,"See Tab B","")</f>
      </c>
      <c r="G30" s="207"/>
      <c r="H30" s="238">
        <f>IF(H29&lt;0,"See Tab B","")</f>
      </c>
      <c r="I30" s="207"/>
      <c r="J30" s="238">
        <f>IF(J29&lt;0,"See Tab B","")</f>
      </c>
      <c r="K30" s="237">
        <f>SUM(K7+K17-K28)</f>
        <v>0</v>
      </c>
      <c r="L30" s="209" t="s">
        <v>226</v>
      </c>
    </row>
    <row r="31" spans="1:11" ht="15.75">
      <c r="A31" s="207"/>
      <c r="B31" s="239"/>
      <c r="C31" s="207"/>
      <c r="D31" s="206"/>
      <c r="E31" s="207"/>
      <c r="F31" s="207"/>
      <c r="G31" s="240" t="s">
        <v>227</v>
      </c>
      <c r="H31" s="240"/>
      <c r="I31" s="240"/>
      <c r="J31" s="240"/>
      <c r="K31" s="207"/>
    </row>
    <row r="32" spans="1:11" ht="15.75">
      <c r="A32" s="207"/>
      <c r="B32" s="239"/>
      <c r="C32" s="207"/>
      <c r="D32" s="207"/>
      <c r="E32" s="207"/>
      <c r="F32" s="207"/>
      <c r="G32" s="207"/>
      <c r="H32" s="207"/>
      <c r="I32" s="207"/>
      <c r="J32" s="207"/>
      <c r="K32" s="207"/>
    </row>
    <row r="33" spans="1:11" ht="15.75">
      <c r="A33" s="207"/>
      <c r="B33" s="239"/>
      <c r="C33" s="207"/>
      <c r="D33" s="207"/>
      <c r="E33" s="241" t="s">
        <v>138</v>
      </c>
      <c r="F33" s="242"/>
      <c r="G33" s="207"/>
      <c r="H33" s="207"/>
      <c r="I33" s="207"/>
      <c r="J33" s="207"/>
      <c r="K33" s="207"/>
    </row>
    <row r="34" ht="15.75">
      <c r="B34" s="243"/>
    </row>
    <row r="35" ht="15.75">
      <c r="B35" s="243"/>
    </row>
    <row r="36" ht="15.75">
      <c r="B36" s="243"/>
    </row>
    <row r="37" ht="15.75">
      <c r="B37" s="243"/>
    </row>
    <row r="38" ht="15.75">
      <c r="B38" s="243"/>
    </row>
    <row r="39" ht="15.75">
      <c r="B39" s="243"/>
    </row>
    <row r="40" ht="15.75">
      <c r="B40" s="243"/>
    </row>
    <row r="41" ht="15.75">
      <c r="B41" s="243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6384" width="9.140625" style="3" customWidth="1"/>
  </cols>
  <sheetData>
    <row r="1" spans="1:9" ht="15.75">
      <c r="A1" s="338" t="s">
        <v>98</v>
      </c>
      <c r="B1" s="338"/>
      <c r="C1" s="338"/>
      <c r="D1" s="338"/>
      <c r="E1" s="338"/>
      <c r="F1" s="338"/>
      <c r="G1" s="338"/>
      <c r="H1" s="338"/>
      <c r="I1" s="338"/>
    </row>
    <row r="3" spans="1:9" ht="15.75">
      <c r="A3" s="337" t="s">
        <v>99</v>
      </c>
      <c r="B3" s="337"/>
      <c r="C3" s="337"/>
      <c r="D3" s="337"/>
      <c r="E3" s="337"/>
      <c r="F3" s="337"/>
      <c r="G3" s="337"/>
      <c r="H3" s="337"/>
      <c r="I3" s="337"/>
    </row>
    <row r="4" spans="5:7" ht="15.75">
      <c r="E4" s="167"/>
      <c r="F4" s="167"/>
      <c r="G4" s="167"/>
    </row>
    <row r="5" ht="15.75">
      <c r="A5" s="23" t="s">
        <v>100</v>
      </c>
    </row>
    <row r="6" ht="15.75">
      <c r="A6" s="23" t="s">
        <v>174</v>
      </c>
    </row>
    <row r="9" ht="15.75">
      <c r="A9" s="3" t="s">
        <v>169</v>
      </c>
    </row>
    <row r="10" ht="15.75">
      <c r="A10" s="23" t="s">
        <v>175</v>
      </c>
    </row>
    <row r="11" ht="15.75">
      <c r="A11" s="3" t="s">
        <v>101</v>
      </c>
    </row>
    <row r="12" ht="15.75">
      <c r="A12" s="3" t="s">
        <v>102</v>
      </c>
    </row>
    <row r="13" ht="15.75">
      <c r="A13" s="3" t="s">
        <v>103</v>
      </c>
    </row>
    <row r="14" ht="15.75">
      <c r="A14" s="3" t="s">
        <v>104</v>
      </c>
    </row>
    <row r="15" ht="15.75">
      <c r="A15" s="3" t="s">
        <v>105</v>
      </c>
    </row>
    <row r="17" ht="15.75">
      <c r="A17" s="3" t="s">
        <v>170</v>
      </c>
    </row>
    <row r="18" ht="15.75">
      <c r="A18" s="3" t="s">
        <v>106</v>
      </c>
    </row>
    <row r="20" ht="15.75">
      <c r="A20" s="23" t="s">
        <v>171</v>
      </c>
    </row>
    <row r="22" ht="15.75">
      <c r="A22" s="3" t="s">
        <v>172</v>
      </c>
    </row>
    <row r="24" ht="15.75">
      <c r="A24" s="23" t="s">
        <v>173</v>
      </c>
    </row>
    <row r="25" ht="15.75">
      <c r="A25" s="23" t="s">
        <v>176</v>
      </c>
    </row>
    <row r="26" ht="15.75">
      <c r="A26" s="3" t="s">
        <v>107</v>
      </c>
    </row>
    <row r="28" ht="15.75">
      <c r="A28" s="23" t="s">
        <v>177</v>
      </c>
    </row>
    <row r="29" ht="15.75">
      <c r="A29" s="3" t="s">
        <v>108</v>
      </c>
    </row>
    <row r="32" ht="15.75">
      <c r="E32" s="23" t="s">
        <v>109</v>
      </c>
    </row>
    <row r="35" spans="5:8" ht="15.75">
      <c r="E35" s="168"/>
      <c r="F35" s="168"/>
      <c r="G35" s="168"/>
      <c r="H35" s="168"/>
    </row>
    <row r="36" ht="15.75">
      <c r="E36" s="3" t="s">
        <v>110</v>
      </c>
    </row>
    <row r="39" spans="5:8" ht="15.75">
      <c r="E39" s="168"/>
      <c r="F39" s="168"/>
      <c r="G39" s="168"/>
      <c r="H39" s="168"/>
    </row>
    <row r="40" ht="15.75">
      <c r="E40" s="3" t="s">
        <v>111</v>
      </c>
    </row>
    <row r="43" spans="5:8" ht="15.75">
      <c r="E43" s="168"/>
      <c r="F43" s="168"/>
      <c r="G43" s="168"/>
      <c r="H43" s="168"/>
    </row>
    <row r="44" ht="15.75">
      <c r="F44" s="3" t="s">
        <v>112</v>
      </c>
    </row>
  </sheetData>
  <sheetProtection sheet="1" objects="1" scenarios="1"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6.421875" style="0" customWidth="1"/>
  </cols>
  <sheetData>
    <row r="1" ht="15.75">
      <c r="A1" s="269" t="s">
        <v>299</v>
      </c>
    </row>
    <row r="2" ht="15.75">
      <c r="A2" s="268" t="s">
        <v>300</v>
      </c>
    </row>
    <row r="3" ht="0.75" customHeight="1"/>
    <row r="4" spans="1:9" ht="15.75">
      <c r="A4" s="3"/>
      <c r="B4" s="172"/>
      <c r="C4" s="3"/>
      <c r="D4" s="3"/>
      <c r="E4" s="3"/>
      <c r="F4" s="3"/>
      <c r="G4" s="3"/>
      <c r="H4" s="3"/>
      <c r="I4" s="3"/>
    </row>
    <row r="5" spans="1:9" ht="15.75">
      <c r="A5" s="171" t="s">
        <v>231</v>
      </c>
      <c r="B5" s="172"/>
      <c r="C5" s="3"/>
      <c r="D5" s="3"/>
      <c r="E5" s="3"/>
      <c r="F5" s="3"/>
      <c r="G5" s="3"/>
      <c r="H5" s="3"/>
      <c r="I5" s="3"/>
    </row>
    <row r="6" spans="1:9" ht="15.75">
      <c r="A6" s="3" t="s">
        <v>232</v>
      </c>
      <c r="B6" s="172"/>
      <c r="C6" s="3"/>
      <c r="D6" s="3"/>
      <c r="E6" s="3"/>
      <c r="F6" s="3"/>
      <c r="G6" s="3"/>
      <c r="H6" s="3"/>
      <c r="I6" s="3"/>
    </row>
    <row r="7" spans="1:9" ht="15.75">
      <c r="A7" s="3" t="s">
        <v>233</v>
      </c>
      <c r="B7" s="172"/>
      <c r="C7" s="3"/>
      <c r="D7" s="3"/>
      <c r="E7" s="3"/>
      <c r="F7" s="3"/>
      <c r="G7" s="3"/>
      <c r="H7" s="3"/>
      <c r="I7" s="3"/>
    </row>
    <row r="8" spans="1:9" ht="15.75">
      <c r="A8" s="3" t="s">
        <v>291</v>
      </c>
      <c r="B8" s="172"/>
      <c r="C8" s="3"/>
      <c r="D8" s="3"/>
      <c r="E8" s="3"/>
      <c r="F8" s="3"/>
      <c r="G8" s="3"/>
      <c r="H8" s="3"/>
      <c r="I8" s="3"/>
    </row>
    <row r="9" spans="1:9" ht="15.75">
      <c r="A9" s="3" t="s">
        <v>292</v>
      </c>
      <c r="B9" s="172"/>
      <c r="C9" s="3"/>
      <c r="D9" s="3"/>
      <c r="E9" s="3"/>
      <c r="F9" s="3"/>
      <c r="G9" s="3"/>
      <c r="H9" s="3"/>
      <c r="I9" s="3"/>
    </row>
    <row r="10" spans="1:9" ht="15.75">
      <c r="A10" s="3" t="s">
        <v>293</v>
      </c>
      <c r="B10" s="172"/>
      <c r="C10" s="3"/>
      <c r="D10" s="3"/>
      <c r="E10" s="3"/>
      <c r="F10" s="3"/>
      <c r="G10" s="3"/>
      <c r="H10" s="3"/>
      <c r="I10" s="3"/>
    </row>
    <row r="11" spans="1:9" ht="15.75">
      <c r="A11" s="3" t="s">
        <v>294</v>
      </c>
      <c r="B11" s="172"/>
      <c r="C11" s="3"/>
      <c r="D11" s="3"/>
      <c r="E11" s="3"/>
      <c r="F11" s="3"/>
      <c r="G11" s="3"/>
      <c r="H11" s="3"/>
      <c r="I11" s="3"/>
    </row>
    <row r="12" spans="1:9" ht="15.75">
      <c r="A12" s="3" t="s">
        <v>295</v>
      </c>
      <c r="B12" s="172"/>
      <c r="C12" s="3"/>
      <c r="D12" s="3"/>
      <c r="E12" s="3"/>
      <c r="F12" s="3"/>
      <c r="G12" s="3"/>
      <c r="H12" s="3"/>
      <c r="I12" s="3"/>
    </row>
    <row r="13" spans="1:9" ht="15.75">
      <c r="A13" s="3"/>
      <c r="B13" s="172"/>
      <c r="C13" s="3"/>
      <c r="D13" s="3"/>
      <c r="E13" s="3"/>
      <c r="F13" s="3"/>
      <c r="G13" s="3"/>
      <c r="H13" s="3"/>
      <c r="I13" s="3"/>
    </row>
    <row r="14" spans="1:9" ht="15.75">
      <c r="A14" s="171" t="s">
        <v>198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206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199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200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201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203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202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204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205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207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208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 t="s">
        <v>209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3" t="s">
        <v>213</v>
      </c>
      <c r="B26" s="3"/>
      <c r="C26" s="3"/>
      <c r="D26" s="3"/>
      <c r="E26" s="3"/>
      <c r="F26" s="3"/>
      <c r="G26" s="3"/>
      <c r="H26" s="3"/>
      <c r="I26" s="3"/>
    </row>
    <row r="27" spans="1:9" ht="15.75">
      <c r="A27" s="3" t="s">
        <v>214</v>
      </c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32">
      <selection activeCell="A37" sqref="A37:J4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9" t="str">
        <f>input!$F$5</f>
        <v>Linn County</v>
      </c>
      <c r="D1" s="1"/>
      <c r="E1" s="1"/>
      <c r="F1" s="1"/>
      <c r="G1" s="1"/>
      <c r="H1" s="1"/>
      <c r="I1" s="1"/>
      <c r="J1" s="1">
        <f>input!$F$8</f>
        <v>2015</v>
      </c>
    </row>
    <row r="2" spans="1:10" ht="15.75" customHeight="1">
      <c r="A2" s="1"/>
      <c r="B2" s="1"/>
      <c r="C2" s="170" t="str">
        <f>RuralFire!C3</f>
        <v>Rural Fire Dist. #1</v>
      </c>
      <c r="D2" s="1"/>
      <c r="E2" s="1"/>
      <c r="F2" s="1"/>
      <c r="G2" s="1"/>
      <c r="H2" s="1"/>
      <c r="I2" s="1"/>
      <c r="J2" s="1"/>
    </row>
    <row r="3" spans="1:10" ht="15.75">
      <c r="A3" s="316" t="str">
        <f>CONCATENATE("Computation to Determine Limit for ",$J$1,"")</f>
        <v>Computation to Determine Limit for 2015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.75">
      <c r="A4" s="1"/>
      <c r="B4" s="1"/>
      <c r="C4" s="1"/>
      <c r="D4" s="1"/>
      <c r="E4" s="302"/>
      <c r="F4" s="302"/>
      <c r="G4" s="302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2014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3">
        <f>inputComp!E5</f>
        <v>431609</v>
      </c>
    </row>
    <row r="6" spans="1:10" ht="15.75">
      <c r="A6" s="59" t="s">
        <v>43</v>
      </c>
      <c r="B6" s="1" t="str">
        <f>CONCATENATE("Debt Service Levy in ",$J$1-1," Budget")</f>
        <v>Debt Service Levy in 2014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6">
        <f>inputComp!E7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431609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2014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2014:</v>
      </c>
      <c r="C11" s="1"/>
      <c r="D11" s="1"/>
      <c r="E11" s="61"/>
      <c r="F11" s="61" t="s">
        <v>41</v>
      </c>
      <c r="G11" s="253">
        <f>inputComp!E9</f>
        <v>646015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2014: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2014</v>
      </c>
      <c r="D14" s="59" t="s">
        <v>41</v>
      </c>
      <c r="E14" s="253">
        <f>inputComp!E11</f>
        <v>1527001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2013</v>
      </c>
      <c r="D15" s="59" t="s">
        <v>44</v>
      </c>
      <c r="E15" s="256">
        <f>inputComp!E13</f>
        <v>2246454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2014</v>
      </c>
      <c r="C19" s="1"/>
      <c r="D19" s="1"/>
      <c r="E19" s="60"/>
      <c r="F19" s="60"/>
      <c r="G19" s="255">
        <f>inputComp!E15</f>
        <v>758596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1404611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1,2014</v>
      </c>
      <c r="C23" s="1"/>
      <c r="D23" s="1"/>
      <c r="E23" s="253">
        <f>inputComp!E17</f>
        <v>163335662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161931051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0.00867413007774525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ROUND(G27*J7,0)</f>
        <v>3744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435353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2015 Budget</v>
      </c>
      <c r="C33" s="1"/>
      <c r="D33" s="1"/>
      <c r="E33" s="1"/>
      <c r="F33" s="1"/>
      <c r="G33" s="1"/>
      <c r="H33" s="1"/>
      <c r="I33" s="1"/>
      <c r="J33" s="254">
        <f>inputComp!E19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435353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273" t="s">
        <v>320</v>
      </c>
      <c r="B37" s="285" t="str">
        <f>CONCATENATE("Consumer Price Index for all urban consumers for calendar year ",J1-2)</f>
        <v>Consumer Price Index for all urban consumers for calendar year 2013</v>
      </c>
      <c r="C37" s="274"/>
      <c r="D37" s="274"/>
      <c r="E37" s="274"/>
      <c r="F37" s="274"/>
      <c r="G37" s="274"/>
      <c r="H37" s="274"/>
      <c r="I37" s="274"/>
      <c r="J37" s="275">
        <v>0.015</v>
      </c>
    </row>
    <row r="38" spans="1:10" ht="15.75">
      <c r="A38" s="273"/>
      <c r="B38" s="285"/>
      <c r="C38" s="274"/>
      <c r="D38" s="274"/>
      <c r="E38" s="274"/>
      <c r="F38" s="274"/>
      <c r="G38" s="274"/>
      <c r="H38" s="274"/>
      <c r="I38" s="274"/>
      <c r="J38" s="276"/>
    </row>
    <row r="39" spans="1:10" ht="15.75">
      <c r="A39" s="273" t="s">
        <v>321</v>
      </c>
      <c r="B39" s="285" t="s">
        <v>322</v>
      </c>
      <c r="C39" s="274"/>
      <c r="D39" s="274"/>
      <c r="E39" s="274"/>
      <c r="F39" s="274"/>
      <c r="G39" s="274"/>
      <c r="H39" s="274"/>
      <c r="I39" s="277" t="s">
        <v>42</v>
      </c>
      <c r="J39" s="278">
        <f>J7*J37</f>
        <v>6474.134999999999</v>
      </c>
    </row>
    <row r="40" spans="1:10" ht="15.75">
      <c r="A40" s="279"/>
      <c r="B40" s="285"/>
      <c r="C40" s="274"/>
      <c r="D40" s="274"/>
      <c r="E40" s="274"/>
      <c r="F40" s="274"/>
      <c r="G40" s="274"/>
      <c r="H40" s="274"/>
      <c r="I40" s="274"/>
      <c r="J40" s="280"/>
    </row>
    <row r="41" spans="1:10" ht="15.75">
      <c r="A41" s="279" t="s">
        <v>323</v>
      </c>
      <c r="B41" s="285" t="str">
        <f>CONCATENATE("Maximum levy for budget year ",J1,", including debt service, not requiring 'notice of vote publication.'")</f>
        <v>Maximum levy for budget year 2015, including debt service, not requiring 'notice of vote publication.'</v>
      </c>
      <c r="C41" s="274"/>
      <c r="D41" s="274"/>
      <c r="E41" s="274"/>
      <c r="F41" s="274"/>
      <c r="G41" s="274"/>
      <c r="H41" s="274"/>
      <c r="I41" s="274"/>
      <c r="J41" s="281"/>
    </row>
    <row r="42" spans="1:10" ht="19.5" thickBot="1">
      <c r="A42" s="282"/>
      <c r="B42" s="286" t="s">
        <v>324</v>
      </c>
      <c r="C42" s="282"/>
      <c r="D42" s="282"/>
      <c r="E42" s="282"/>
      <c r="F42" s="282"/>
      <c r="G42" s="282"/>
      <c r="H42" s="282"/>
      <c r="I42" s="277" t="s">
        <v>42</v>
      </c>
      <c r="J42" s="283">
        <f>J35+J39</f>
        <v>441827.135</v>
      </c>
    </row>
    <row r="43" spans="1:10" ht="19.5" thickTop="1">
      <c r="A43" s="282"/>
      <c r="B43" s="284"/>
      <c r="C43" s="282"/>
      <c r="D43" s="282"/>
      <c r="E43" s="282"/>
      <c r="F43" s="282"/>
      <c r="G43" s="282"/>
      <c r="H43" s="282"/>
      <c r="I43" s="277"/>
      <c r="J43" s="280"/>
    </row>
    <row r="44" spans="1:10" s="78" customFormat="1" ht="18.75">
      <c r="A44" s="282"/>
      <c r="B44" s="284"/>
      <c r="C44" s="282"/>
      <c r="D44" s="282"/>
      <c r="E44" s="282"/>
      <c r="F44" s="282"/>
      <c r="G44" s="282"/>
      <c r="H44" s="282"/>
      <c r="I44" s="277"/>
      <c r="J44" s="280"/>
    </row>
    <row r="45" spans="1:10" s="78" customFormat="1" ht="18.75">
      <c r="A45" s="317" t="str">
        <f>CONCATENATE("If the ",J1," adopted budget includes a total property tax levy exceeding the dollar amount in line 17")</f>
        <v>If the 2015 adopted budget includes a total property tax levy exceeding the dollar amount in line 17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ht="18.75">
      <c r="A46" s="317" t="s">
        <v>325</v>
      </c>
      <c r="B46" s="317"/>
      <c r="C46" s="317"/>
      <c r="D46" s="317"/>
      <c r="E46" s="317"/>
      <c r="F46" s="317"/>
      <c r="G46" s="317"/>
      <c r="H46" s="317"/>
      <c r="I46" s="317"/>
      <c r="J46" s="317"/>
    </row>
    <row r="47" spans="1:10" ht="18.75">
      <c r="A47" s="318" t="s">
        <v>326</v>
      </c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18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0" ht="15.75">
      <c r="A49" s="1"/>
      <c r="B49" s="1"/>
      <c r="C49" s="1"/>
      <c r="D49" s="1"/>
      <c r="E49" s="26" t="s">
        <v>37</v>
      </c>
      <c r="F49" s="56" t="s">
        <v>313</v>
      </c>
      <c r="G49" s="1"/>
      <c r="H49" s="1"/>
      <c r="I49" s="1"/>
      <c r="J49" s="1"/>
    </row>
  </sheetData>
  <sheetProtection/>
  <mergeCells count="5">
    <mergeCell ref="A3:J3"/>
    <mergeCell ref="E4:G4"/>
    <mergeCell ref="A45:J45"/>
    <mergeCell ref="A46:J46"/>
    <mergeCell ref="A47:J47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2015</v>
      </c>
    </row>
    <row r="2" spans="1:6" ht="15.75">
      <c r="A2" s="1" t="s">
        <v>38</v>
      </c>
      <c r="B2" s="1"/>
      <c r="C2" s="113" t="str">
        <f>input!$F$5</f>
        <v>Linn County</v>
      </c>
      <c r="D2" s="114"/>
      <c r="E2" s="1"/>
      <c r="F2" s="1"/>
    </row>
    <row r="3" spans="1:6" ht="15.75">
      <c r="A3" s="26" t="s">
        <v>8</v>
      </c>
      <c r="B3" s="26"/>
      <c r="C3" s="247" t="str">
        <f>cert2!A11</f>
        <v>Spec.FireEquip.Replacement</v>
      </c>
      <c r="D3" s="248"/>
      <c r="E3" s="1"/>
      <c r="F3" s="1"/>
    </row>
    <row r="4" spans="1:6" ht="15.75">
      <c r="A4" s="1"/>
      <c r="B4" s="1"/>
      <c r="C4" s="1" t="s">
        <v>340</v>
      </c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/>
      <c r="F7" s="32"/>
    </row>
    <row r="8" spans="1:6" ht="15.75">
      <c r="A8" s="197" t="s">
        <v>121</v>
      </c>
      <c r="B8" s="27"/>
      <c r="C8" s="95"/>
      <c r="D8" s="34" t="str">
        <f>CONCATENATE("Actual ",$F$1-2,"")</f>
        <v>Actual 2013</v>
      </c>
      <c r="E8" s="34"/>
      <c r="F8" s="34"/>
    </row>
    <row r="9" spans="1:6" ht="15.75">
      <c r="A9" s="35" t="s">
        <v>13</v>
      </c>
      <c r="B9" s="36"/>
      <c r="C9" s="200"/>
      <c r="D9" s="195">
        <v>175938.61</v>
      </c>
      <c r="E9" s="21"/>
      <c r="F9" s="21"/>
    </row>
    <row r="10" spans="1:6" ht="15.75">
      <c r="A10" s="198" t="s">
        <v>14</v>
      </c>
      <c r="B10" s="199"/>
      <c r="C10" s="200"/>
      <c r="D10" s="195"/>
      <c r="E10" s="37"/>
      <c r="F10" s="20"/>
    </row>
    <row r="11" spans="1:6" ht="15.75">
      <c r="A11" s="35" t="s">
        <v>15</v>
      </c>
      <c r="B11" s="36"/>
      <c r="C11" s="200"/>
      <c r="D11" s="195"/>
      <c r="E11" s="37"/>
      <c r="F11" s="37"/>
    </row>
    <row r="12" spans="1:6" ht="15.75">
      <c r="A12" s="35" t="s">
        <v>16</v>
      </c>
      <c r="B12" s="36"/>
      <c r="C12" s="200"/>
      <c r="D12" s="195"/>
      <c r="E12" s="37"/>
      <c r="F12" s="21"/>
    </row>
    <row r="13" spans="1:6" ht="15.75">
      <c r="A13" s="35" t="s">
        <v>17</v>
      </c>
      <c r="B13" s="36"/>
      <c r="C13" s="200"/>
      <c r="D13" s="195"/>
      <c r="E13" s="37"/>
      <c r="F13" s="21"/>
    </row>
    <row r="14" spans="1:6" ht="15.75">
      <c r="A14" s="35" t="s">
        <v>86</v>
      </c>
      <c r="B14" s="36"/>
      <c r="C14" s="200"/>
      <c r="D14" s="195"/>
      <c r="E14" s="37"/>
      <c r="F14" s="21"/>
    </row>
    <row r="15" spans="1:6" ht="15.75">
      <c r="A15" s="35" t="s">
        <v>18</v>
      </c>
      <c r="B15" s="36"/>
      <c r="C15" s="200"/>
      <c r="D15" s="195"/>
      <c r="E15" s="37"/>
      <c r="F15" s="108"/>
    </row>
    <row r="16" spans="1:6" ht="15.75">
      <c r="A16" s="35"/>
      <c r="B16" s="36"/>
      <c r="C16" s="200"/>
      <c r="D16" s="195"/>
      <c r="E16" s="37"/>
      <c r="F16" s="108"/>
    </row>
    <row r="17" spans="1:6" ht="15.75">
      <c r="A17" s="38" t="s">
        <v>20</v>
      </c>
      <c r="B17" s="39"/>
      <c r="C17" s="201"/>
      <c r="D17" s="195"/>
      <c r="E17" s="37"/>
      <c r="F17" s="37"/>
    </row>
    <row r="18" spans="1:6" ht="15.75">
      <c r="A18" s="40" t="s">
        <v>341</v>
      </c>
      <c r="B18" s="39"/>
      <c r="C18" s="201"/>
      <c r="D18" s="195"/>
      <c r="E18" s="37"/>
      <c r="F18" s="37"/>
    </row>
    <row r="19" spans="1:6" ht="15.75">
      <c r="A19" s="40" t="s">
        <v>327</v>
      </c>
      <c r="B19" s="39"/>
      <c r="C19" s="201"/>
      <c r="D19" s="195"/>
      <c r="E19" s="37"/>
      <c r="F19" s="37"/>
    </row>
    <row r="20" spans="1:6" ht="15.75">
      <c r="A20" s="38" t="s">
        <v>342</v>
      </c>
      <c r="B20" s="39"/>
      <c r="C20" s="201"/>
      <c r="D20" s="195">
        <v>157000</v>
      </c>
      <c r="E20" s="37"/>
      <c r="F20" s="37"/>
    </row>
    <row r="21" spans="1:6" ht="15.75">
      <c r="A21" s="41"/>
      <c r="B21" s="42"/>
      <c r="C21" s="201"/>
      <c r="D21" s="195"/>
      <c r="E21" s="37"/>
      <c r="F21" s="37"/>
    </row>
    <row r="22" spans="1:6" ht="15.75">
      <c r="A22" s="41" t="s">
        <v>21</v>
      </c>
      <c r="B22" s="42"/>
      <c r="C22" s="201"/>
      <c r="D22" s="195"/>
      <c r="E22" s="37"/>
      <c r="F22" s="37"/>
    </row>
    <row r="23" spans="1:6" ht="15.75">
      <c r="A23" s="43" t="s">
        <v>22</v>
      </c>
      <c r="B23" s="36"/>
      <c r="C23" s="200"/>
      <c r="D23" s="196">
        <f>SUM(D10:D22)</f>
        <v>157000</v>
      </c>
      <c r="E23" s="182"/>
      <c r="F23" s="182"/>
    </row>
    <row r="24" spans="1:6" ht="15.75">
      <c r="A24" s="43" t="s">
        <v>23</v>
      </c>
      <c r="B24" s="36"/>
      <c r="C24" s="200"/>
      <c r="D24" s="196">
        <f>+D9+D23</f>
        <v>332938.61</v>
      </c>
      <c r="E24" s="182"/>
      <c r="F24" s="182"/>
    </row>
    <row r="25" spans="1:6" ht="15.75">
      <c r="A25" s="35" t="s">
        <v>24</v>
      </c>
      <c r="B25" s="36"/>
      <c r="C25" s="200"/>
      <c r="D25" s="106"/>
      <c r="E25" s="21"/>
      <c r="F25" s="21"/>
    </row>
    <row r="26" spans="1:6" ht="15.75">
      <c r="A26" s="41" t="s">
        <v>337</v>
      </c>
      <c r="B26" s="39"/>
      <c r="C26" s="201"/>
      <c r="D26" s="195"/>
      <c r="E26" s="37"/>
      <c r="F26" s="37"/>
    </row>
    <row r="27" spans="1:6" ht="15.75">
      <c r="A27" s="41"/>
      <c r="B27" s="39"/>
      <c r="C27" s="201"/>
      <c r="D27" s="195"/>
      <c r="E27" s="37"/>
      <c r="F27" s="37"/>
    </row>
    <row r="28" spans="1:6" ht="15.75">
      <c r="A28" s="41"/>
      <c r="B28" s="39"/>
      <c r="C28" s="201"/>
      <c r="D28" s="195"/>
      <c r="E28" s="37"/>
      <c r="F28" s="37"/>
    </row>
    <row r="29" spans="1:6" ht="15.75">
      <c r="A29" s="41"/>
      <c r="B29" s="39"/>
      <c r="C29" s="201"/>
      <c r="D29" s="195"/>
      <c r="E29" s="37"/>
      <c r="F29" s="37"/>
    </row>
    <row r="30" spans="1:6" ht="15.75">
      <c r="A30" s="38"/>
      <c r="B30" s="39"/>
      <c r="C30" s="201"/>
      <c r="D30" s="195"/>
      <c r="E30" s="37"/>
      <c r="F30" s="37"/>
    </row>
    <row r="31" spans="1:6" ht="15.75">
      <c r="A31" s="38"/>
      <c r="B31" s="39"/>
      <c r="C31" s="201"/>
      <c r="D31" s="195"/>
      <c r="E31" s="37"/>
      <c r="F31" s="37"/>
    </row>
    <row r="32" spans="1:6" ht="15.75">
      <c r="A32" s="38"/>
      <c r="B32" s="39"/>
      <c r="C32" s="201"/>
      <c r="D32" s="195"/>
      <c r="E32" s="37"/>
      <c r="F32" s="37"/>
    </row>
    <row r="33" spans="1:6" ht="15.75">
      <c r="A33" s="38"/>
      <c r="B33" s="39"/>
      <c r="C33" s="201"/>
      <c r="D33" s="195"/>
      <c r="E33" s="37"/>
      <c r="F33" s="37"/>
    </row>
    <row r="34" spans="1:6" ht="15.75">
      <c r="A34" s="38"/>
      <c r="B34" s="39"/>
      <c r="C34" s="201"/>
      <c r="D34" s="195"/>
      <c r="E34" s="37"/>
      <c r="F34" s="37"/>
    </row>
    <row r="35" spans="1:6" ht="15.75">
      <c r="A35" s="43" t="s">
        <v>25</v>
      </c>
      <c r="B35" s="36"/>
      <c r="C35" s="200"/>
      <c r="D35" s="196">
        <f>SUM(D26:D34)</f>
        <v>0</v>
      </c>
      <c r="E35" s="182"/>
      <c r="F35" s="182"/>
    </row>
    <row r="36" spans="1:6" ht="15.75">
      <c r="A36" s="35" t="s">
        <v>26</v>
      </c>
      <c r="B36" s="36"/>
      <c r="C36" s="200"/>
      <c r="D36" s="189">
        <f>+D24-D35</f>
        <v>332938.61</v>
      </c>
      <c r="E36" s="183"/>
      <c r="F36" s="20"/>
    </row>
    <row r="37" spans="1:7" ht="15.75" hidden="1">
      <c r="A37" s="1"/>
      <c r="B37" s="1"/>
      <c r="C37" s="1"/>
      <c r="D37" s="46"/>
      <c r="E37" s="47" t="s">
        <v>27</v>
      </c>
      <c r="F37" s="17"/>
      <c r="G37" s="193">
        <f>IF(F35/0.95-F35&lt;F37,"Exceeds 5%","")</f>
      </c>
    </row>
    <row r="38" spans="1:6" ht="15.75" hidden="1">
      <c r="A38" s="1"/>
      <c r="B38" s="26"/>
      <c r="C38" s="1"/>
      <c r="D38" s="46"/>
      <c r="E38" s="47" t="s">
        <v>28</v>
      </c>
      <c r="F38" s="165">
        <f>+F35+F37</f>
        <v>0</v>
      </c>
    </row>
    <row r="39" spans="1:6" ht="15.75" hidden="1">
      <c r="A39" s="1"/>
      <c r="B39" s="1"/>
      <c r="C39" s="1"/>
      <c r="D39" s="1"/>
      <c r="E39" s="4" t="s">
        <v>29</v>
      </c>
      <c r="F39" s="165">
        <f>IF(F38-F24&gt;0,F38-F24,0)</f>
        <v>0</v>
      </c>
    </row>
    <row r="40" spans="1:6" ht="15.75" hidden="1">
      <c r="A40" s="314" t="s">
        <v>167</v>
      </c>
      <c r="B40" s="315"/>
      <c r="C40" s="315"/>
      <c r="D40" s="315"/>
      <c r="E40" s="48"/>
      <c r="F40" s="165">
        <f>ROUND(IF(E40&gt;0,(F39*E40),0),0)</f>
        <v>0</v>
      </c>
    </row>
    <row r="41" spans="1:6" ht="15.75" hidden="1">
      <c r="A41" s="1"/>
      <c r="B41" s="1"/>
      <c r="C41" s="1"/>
      <c r="D41" s="1"/>
      <c r="E41" s="4" t="str">
        <f>CONCATENATE("Amount of ",$F$1-1," Ad Valorem Tax")</f>
        <v>Amount of 2014 Ad Valorem Tax</v>
      </c>
      <c r="F41" s="192">
        <f>SUM(F39:F40)</f>
        <v>0</v>
      </c>
    </row>
    <row r="42" spans="1:6" ht="15.75" hidden="1">
      <c r="A42" s="1"/>
      <c r="B42" s="1"/>
      <c r="C42" s="1"/>
      <c r="D42" s="1"/>
      <c r="E42" s="4"/>
      <c r="F42" s="50"/>
    </row>
    <row r="43" spans="1:6" ht="15.75" hidden="1">
      <c r="A43" s="1"/>
      <c r="B43" s="1"/>
      <c r="C43" s="1"/>
      <c r="D43" s="1"/>
      <c r="E43" s="4"/>
      <c r="F43" s="50"/>
    </row>
    <row r="44" spans="1:6" ht="15.75" hidden="1">
      <c r="A44" s="1"/>
      <c r="B44" s="1"/>
      <c r="C44" s="1"/>
      <c r="D44" s="1"/>
      <c r="E44" s="4"/>
      <c r="F44" s="50"/>
    </row>
    <row r="45" spans="1:6" ht="15.75" hidden="1">
      <c r="A45" s="1"/>
      <c r="B45" s="1"/>
      <c r="C45" s="1"/>
      <c r="D45" s="1"/>
      <c r="E45" s="4"/>
      <c r="F45" s="50"/>
    </row>
    <row r="46" spans="1:6" ht="15.75" hidden="1">
      <c r="A46" s="1"/>
      <c r="B46" s="1"/>
      <c r="C46" s="1"/>
      <c r="D46" s="1"/>
      <c r="E46" s="4"/>
      <c r="F46" s="50"/>
    </row>
    <row r="47" spans="1:6" ht="15.75" hidden="1">
      <c r="A47" s="1"/>
      <c r="B47" s="28" t="s">
        <v>78</v>
      </c>
      <c r="C47" s="1"/>
      <c r="D47" s="12"/>
      <c r="E47" s="90"/>
      <c r="F47" s="91"/>
    </row>
    <row r="48" spans="1:6" ht="15.75" hidden="1">
      <c r="A48" s="27"/>
      <c r="B48" s="25" t="s">
        <v>19</v>
      </c>
      <c r="C48" s="1"/>
      <c r="D48" s="88"/>
      <c r="E48" s="92" t="str">
        <f>CONCATENATE("Allocation for Year ",$F$1,"")</f>
        <v>Allocation for Year 2015</v>
      </c>
      <c r="F48" s="89"/>
    </row>
    <row r="49" spans="1:6" ht="15.75" hidden="1">
      <c r="A49" s="51" t="s">
        <v>30</v>
      </c>
      <c r="B49" s="52"/>
      <c r="C49" s="163" t="s">
        <v>168</v>
      </c>
      <c r="D49" s="32" t="s">
        <v>79</v>
      </c>
      <c r="E49" s="32" t="s">
        <v>80</v>
      </c>
      <c r="F49" s="32" t="s">
        <v>81</v>
      </c>
    </row>
    <row r="50" spans="1:6" ht="15.75" hidden="1">
      <c r="A50" s="53" t="s">
        <v>31</v>
      </c>
      <c r="B50" s="107"/>
      <c r="C50" s="109" t="str">
        <f>CONCATENATE("for ",$F$1-1,"")</f>
        <v>for 2014</v>
      </c>
      <c r="D50" s="34" t="s">
        <v>32</v>
      </c>
      <c r="E50" s="34" t="s">
        <v>32</v>
      </c>
      <c r="F50" s="34" t="s">
        <v>32</v>
      </c>
    </row>
    <row r="51" spans="1:6" ht="15.75" hidden="1">
      <c r="A51" s="105" t="s">
        <v>33</v>
      </c>
      <c r="B51" s="111"/>
      <c r="C51" s="251">
        <f>inputVehicle!F$5</f>
        <v>0</v>
      </c>
      <c r="D51" s="128" t="str">
        <f>IF(C51&gt;0,ROUND(+C51*D$59,0)," ")</f>
        <v> </v>
      </c>
      <c r="E51" s="128" t="str">
        <f>IF(C51&gt;0,ROUND(+C51*E$60,0)," ")</f>
        <v> </v>
      </c>
      <c r="F51" s="128" t="str">
        <f>IF(C51&gt;0,ROUND(+C51*F$61,0)," ")</f>
        <v> </v>
      </c>
    </row>
    <row r="52" spans="1:6" ht="15.75" hidden="1">
      <c r="A52" s="54"/>
      <c r="B52" s="104"/>
      <c r="C52" s="110"/>
      <c r="D52" s="128" t="str">
        <f>IF(C52&gt;0,ROUND(+C52*D$59,0)," ")</f>
        <v> </v>
      </c>
      <c r="E52" s="128" t="str">
        <f>IF(C52&gt;0,ROUND(+D52*E$60,0)," ")</f>
        <v> </v>
      </c>
      <c r="F52" s="128" t="str">
        <f>IF(C52&gt;0,ROUND(+E52*F$61,0)," ")</f>
        <v> </v>
      </c>
    </row>
    <row r="53" spans="1:6" ht="15.75" hidden="1">
      <c r="A53" s="35" t="s">
        <v>34</v>
      </c>
      <c r="B53" s="44"/>
      <c r="C53" s="189">
        <f>SUM(C51:C52)</f>
        <v>0</v>
      </c>
      <c r="D53" s="190">
        <f>SUM(D51:D52)</f>
        <v>0</v>
      </c>
      <c r="E53" s="190">
        <f>SUM(E51:E52)</f>
        <v>0</v>
      </c>
      <c r="F53" s="190">
        <f>SUM(F51:F52)</f>
        <v>0</v>
      </c>
    </row>
    <row r="54" spans="1:6" ht="15.75" hidden="1">
      <c r="A54" s="29"/>
      <c r="B54" s="29"/>
      <c r="C54" s="50"/>
      <c r="D54" s="126"/>
      <c r="E54" s="126"/>
      <c r="F54" s="126"/>
    </row>
    <row r="55" spans="1:6" ht="15.75" hidden="1">
      <c r="A55" s="29" t="s">
        <v>83</v>
      </c>
      <c r="B55" s="29"/>
      <c r="C55" s="50"/>
      <c r="D55" s="252">
        <f>inputVehicle!F$7</f>
        <v>0</v>
      </c>
      <c r="E55" s="126"/>
      <c r="F55" s="126"/>
    </row>
    <row r="56" spans="1:6" ht="15.75" hidden="1">
      <c r="A56" s="29" t="s">
        <v>84</v>
      </c>
      <c r="B56" s="29"/>
      <c r="C56" s="50"/>
      <c r="D56" s="126"/>
      <c r="E56" s="252">
        <f>inputVehicle!F$9</f>
        <v>0</v>
      </c>
      <c r="F56" s="126"/>
    </row>
    <row r="57" spans="1:6" ht="15.75" hidden="1">
      <c r="A57" s="29" t="s">
        <v>85</v>
      </c>
      <c r="B57" s="29"/>
      <c r="C57" s="50"/>
      <c r="D57" s="126"/>
      <c r="E57" s="126"/>
      <c r="F57" s="252">
        <f>inputVehicle!F$11</f>
        <v>0</v>
      </c>
    </row>
    <row r="58" spans="1:6" ht="15.75" hidden="1">
      <c r="A58" s="1"/>
      <c r="B58" s="1"/>
      <c r="C58" s="1"/>
      <c r="D58" s="92"/>
      <c r="E58" s="92"/>
      <c r="F58" s="92"/>
    </row>
    <row r="59" spans="1:6" ht="15.75" hidden="1">
      <c r="A59" s="1"/>
      <c r="B59" s="1"/>
      <c r="C59" s="1" t="s">
        <v>35</v>
      </c>
      <c r="D59" s="127">
        <f>IF(C53=0,0,D55/C53)</f>
        <v>0</v>
      </c>
      <c r="E59" s="92"/>
      <c r="F59" s="92"/>
    </row>
    <row r="60" spans="1:6" ht="15.75" hidden="1">
      <c r="A60" s="1"/>
      <c r="B60" s="1"/>
      <c r="C60" s="1"/>
      <c r="D60" s="92" t="s">
        <v>36</v>
      </c>
      <c r="E60" s="127">
        <f>IF(C53=0,0,E56/C53)</f>
        <v>0</v>
      </c>
      <c r="F60" s="92"/>
    </row>
    <row r="61" spans="1:6" ht="15.75" hidden="1">
      <c r="A61" s="1"/>
      <c r="B61" s="1"/>
      <c r="C61" s="1"/>
      <c r="D61" s="92"/>
      <c r="E61" s="92" t="s">
        <v>82</v>
      </c>
      <c r="F61" s="127">
        <f>IF(C53=0,0,F57/C53)</f>
        <v>0</v>
      </c>
    </row>
    <row r="62" spans="1:6" ht="15.75" hidden="1">
      <c r="A62" s="1"/>
      <c r="B62" s="1"/>
      <c r="C62" s="1"/>
      <c r="D62" s="1"/>
      <c r="E62" s="1"/>
      <c r="F62" s="1"/>
    </row>
    <row r="63" spans="1:6" ht="15.75" hidden="1">
      <c r="A63" s="1"/>
      <c r="B63" s="1"/>
      <c r="C63" s="1"/>
      <c r="D63" s="1"/>
      <c r="E63" s="1"/>
      <c r="F63" s="1"/>
    </row>
    <row r="64" spans="1:6" ht="15.75" hidden="1">
      <c r="A64" s="1"/>
      <c r="B64" s="1"/>
      <c r="C64" s="1"/>
      <c r="D64" s="1"/>
      <c r="E64" s="1"/>
      <c r="F64" s="1"/>
    </row>
    <row r="65" spans="1:6" ht="15.75" hidden="1">
      <c r="A65" s="1"/>
      <c r="B65" s="1"/>
      <c r="C65" s="1"/>
      <c r="D65" s="1"/>
      <c r="E65" s="1"/>
      <c r="F65" s="1"/>
    </row>
    <row r="66" spans="1:6" ht="15.75" hidden="1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20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rbrazier</cp:lastModifiedBy>
  <cp:lastPrinted>2014-07-28T12:25:59Z</cp:lastPrinted>
  <dcterms:created xsi:type="dcterms:W3CDTF">2006-08-28T14:14:58Z</dcterms:created>
  <dcterms:modified xsi:type="dcterms:W3CDTF">2014-11-20T21:51:42Z</dcterms:modified>
  <cp:category/>
  <cp:version/>
  <cp:contentType/>
  <cp:contentStatus/>
</cp:coreProperties>
</file>