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1"/>
  </bookViews>
  <sheets>
    <sheet name="instructions" sheetId="1" r:id="rId1"/>
    <sheet name="inputPrYr" sheetId="2" r:id="rId2"/>
    <sheet name="inputOth" sheetId="3" r:id="rId3"/>
    <sheet name="inputBudSum" sheetId="4" r:id="rId4"/>
    <sheet name="cert" sheetId="5" r:id="rId5"/>
    <sheet name="signed certif"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roof of pub "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'summ'!$A$1:$I$42</definedName>
  </definedNames>
  <calcPr fullCalcOnLoad="1"/>
</workbook>
</file>

<file path=xl/sharedStrings.xml><?xml version="1.0" encoding="utf-8"?>
<sst xmlns="http://schemas.openxmlformats.org/spreadsheetml/2006/main" count="1243" uniqueCount="839">
  <si>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</si>
  <si>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</si>
  <si>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</si>
  <si>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</si>
  <si>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</si>
  <si>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</si>
  <si>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</si>
  <si>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</si>
  <si>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</si>
  <si>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</si>
  <si>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</si>
  <si>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</si>
  <si>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</si>
  <si>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</si>
  <si>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</si>
  <si>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</si>
  <si>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</si>
  <si>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</si>
  <si>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</si>
  <si>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</si>
  <si>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</si>
  <si>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</si>
  <si>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</si>
  <si>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</si>
  <si>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</si>
  <si>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</si>
  <si>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</si>
  <si>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</si>
  <si>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</si>
  <si>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</si>
  <si>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</si>
  <si>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</si>
  <si>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</si>
  <si>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</si>
  <si>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</si>
  <si>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</si>
  <si>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</si>
  <si>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</si>
  <si>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</si>
  <si>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</si>
  <si>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</si>
  <si>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</si>
  <si>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</si>
  <si>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</si>
  <si>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</si>
  <si>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</si>
  <si>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</si>
  <si>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</si>
  <si>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</si>
  <si>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</si>
  <si>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</si>
  <si>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</si>
  <si>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</si>
  <si>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</si>
  <si>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</si>
  <si>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</si>
  <si>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</si>
  <si>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</si>
  <si>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</si>
  <si>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</si>
  <si>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</si>
  <si>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</si>
  <si>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</si>
  <si>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</si>
  <si>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</si>
  <si>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</si>
  <si>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</si>
  <si>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</si>
  <si>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</si>
  <si>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</si>
  <si>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</si>
  <si>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</si>
  <si>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</si>
  <si>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</si>
  <si>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</si>
  <si>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</si>
  <si>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</si>
  <si>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</si>
  <si>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</si>
  <si>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</si>
  <si>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</si>
  <si>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</si>
  <si>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</si>
  <si>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</si>
  <si>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</si>
  <si>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</si>
  <si>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</si>
  <si>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</si>
  <si>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</si>
  <si>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</si>
  <si>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</si>
  <si>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</si>
  <si>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</si>
  <si>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</si>
  <si>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</si>
  <si>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</si>
  <si>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</si>
  <si>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</si>
  <si>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</si>
  <si>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</si>
  <si>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</si>
  <si>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</si>
  <si>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</si>
  <si>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</si>
  <si>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</si>
  <si>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</si>
  <si>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</si>
  <si>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</si>
  <si>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</si>
  <si>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</si>
  <si>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</si>
  <si>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</si>
  <si>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</si>
  <si>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</si>
  <si>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</si>
  <si>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</si>
  <si>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</si>
  <si>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</si>
  <si>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</si>
  <si>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</si>
  <si>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</si>
  <si>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</si>
  <si>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</si>
  <si>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</si>
  <si>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</si>
  <si>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</si>
  <si>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</si>
  <si>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</si>
  <si>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</si>
  <si>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</si>
  <si>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</si>
  <si>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</si>
  <si>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</si>
  <si>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</si>
  <si>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</si>
  <si>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</si>
  <si>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</si>
  <si>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</si>
  <si>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</si>
  <si>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</si>
  <si>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</si>
  <si>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</si>
  <si>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</si>
  <si>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</si>
  <si>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</si>
  <si>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</si>
  <si>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</si>
  <si>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</si>
  <si>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</si>
  <si>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</si>
  <si>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</si>
  <si>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</si>
  <si>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</si>
  <si>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</si>
  <si>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</si>
  <si>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</si>
  <si>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</si>
  <si>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</si>
  <si>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</si>
  <si>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</si>
  <si>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</si>
  <si>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</si>
  <si>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</si>
  <si>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</si>
  <si>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</si>
  <si>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</si>
  <si>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</si>
  <si>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</si>
  <si>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</si>
  <si>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</si>
  <si>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</si>
  <si>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</si>
  <si>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</si>
  <si>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</si>
  <si>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</si>
  <si>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</si>
  <si>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</si>
  <si>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</si>
  <si>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</si>
  <si>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</si>
  <si>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</si>
  <si>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</si>
  <si>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</si>
  <si>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</si>
  <si>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</si>
  <si>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</si>
  <si>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</si>
  <si>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</si>
  <si>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</si>
  <si>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</si>
  <si>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</si>
  <si>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</si>
  <si>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</si>
  <si>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</si>
  <si>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</si>
  <si>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</si>
  <si>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</si>
  <si>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</si>
  <si>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</si>
  <si>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</si>
  <si>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</si>
  <si>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</si>
  <si>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</si>
  <si>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</si>
  <si>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</si>
  <si>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</si>
  <si>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</si>
  <si>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</si>
  <si>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</si>
  <si>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</si>
  <si>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</si>
  <si>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</si>
  <si>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</si>
  <si>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</si>
  <si>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</si>
  <si>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</si>
  <si>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</si>
  <si>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</si>
  <si>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</si>
  <si>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</si>
  <si>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</si>
  <si>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</si>
  <si>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</si>
  <si>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</si>
  <si>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</si>
  <si>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</si>
  <si>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</si>
  <si>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</si>
  <si>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</si>
  <si>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</si>
  <si>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</si>
  <si>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</si>
  <si>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</si>
  <si>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</si>
  <si>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</si>
  <si>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</si>
  <si>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</si>
  <si>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</si>
  <si>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</si>
  <si>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</si>
  <si>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</si>
  <si>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</si>
  <si>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</si>
  <si>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</si>
  <si>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</si>
  <si>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</si>
  <si>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</si>
  <si>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</si>
  <si>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</si>
  <si>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</si>
  <si>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</si>
  <si>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</si>
  <si>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</si>
  <si>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</si>
  <si>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</si>
  <si>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</si>
  <si>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</si>
  <si>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</si>
  <si>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</si>
  <si>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</si>
  <si>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</si>
  <si>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</si>
  <si>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</si>
  <si>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</si>
  <si>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</si>
  <si>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</si>
  <si>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</si>
  <si>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</si>
  <si>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</si>
  <si>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</si>
  <si>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</si>
  <si>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</si>
  <si>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</si>
  <si>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</si>
  <si>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</si>
  <si>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</si>
  <si>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</si>
  <si>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</si>
  <si>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</si>
  <si>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</si>
  <si>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</si>
  <si>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</si>
  <si>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</si>
  <si>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</si>
  <si>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</si>
  <si>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</si>
  <si>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</si>
  <si>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</si>
  <si>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</si>
  <si>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</si>
  <si>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</si>
  <si>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</si>
  <si>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</si>
  <si>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</si>
  <si>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</si>
  <si>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</si>
  <si>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</si>
  <si>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</si>
  <si>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</si>
  <si>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</si>
  <si>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</si>
  <si>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</si>
  <si>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</si>
  <si>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</si>
  <si>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</si>
  <si>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</si>
  <si>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</si>
  <si>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</si>
  <si>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</si>
  <si>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</si>
  <si>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</si>
  <si>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</si>
  <si>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</si>
  <si>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</si>
  <si>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</si>
  <si>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</si>
  <si>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</si>
  <si>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</si>
  <si>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</si>
  <si>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</si>
  <si>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</si>
  <si>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</si>
  <si>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</si>
  <si>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</si>
  <si>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</si>
  <si>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</si>
  <si>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</si>
  <si>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</si>
  <si>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</si>
  <si>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</si>
  <si>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</si>
  <si>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</si>
  <si>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</si>
  <si>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</si>
  <si>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</si>
  <si>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</si>
  <si>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</si>
  <si>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</si>
  <si>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</si>
  <si>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</si>
  <si>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</si>
  <si>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</si>
  <si>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</si>
  <si>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</si>
  <si>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</si>
  <si>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</si>
  <si>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</si>
  <si>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</si>
  <si>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</si>
  <si>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</si>
  <si>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</si>
  <si>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</si>
  <si>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</si>
  <si>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</si>
  <si>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</si>
  <si>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</si>
  <si>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</si>
  <si>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</si>
  <si>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</si>
  <si>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</si>
  <si>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</si>
  <si>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</si>
  <si>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</si>
  <si>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</si>
  <si>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</si>
  <si>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</si>
  <si>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</si>
  <si>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</si>
  <si>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</si>
  <si>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</si>
  <si>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</si>
  <si>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</si>
  <si>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</si>
  <si>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</si>
  <si>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</si>
  <si>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</si>
  <si>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</si>
  <si>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</si>
  <si>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</si>
  <si>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</si>
  <si>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</si>
  <si>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</si>
  <si>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</si>
  <si>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</si>
  <si>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</si>
  <si>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</si>
  <si>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</si>
  <si>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</si>
  <si>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</si>
  <si>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</si>
  <si>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</si>
  <si>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</si>
  <si>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</si>
  <si>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</si>
  <si>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</si>
  <si>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</si>
  <si>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</si>
  <si>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</si>
  <si>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</si>
  <si>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</si>
  <si>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</si>
  <si>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</si>
  <si>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</si>
  <si>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</si>
  <si>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</si>
  <si>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</si>
  <si>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</si>
  <si>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</si>
  <si>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</si>
  <si>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</si>
  <si>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</si>
  <si>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</si>
  <si>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</si>
  <si>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</si>
  <si>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</si>
  <si>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</si>
  <si>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</si>
  <si>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</si>
  <si>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</si>
  <si>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</si>
  <si>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</si>
  <si>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</si>
  <si>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</si>
  <si>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</si>
  <si>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</si>
  <si>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</si>
  <si>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</si>
  <si>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</si>
  <si>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</si>
  <si>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</si>
  <si>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</si>
  <si>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</si>
  <si>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</si>
  <si>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</si>
  <si>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</si>
  <si>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</si>
  <si>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</si>
  <si>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</si>
  <si>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</si>
  <si>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</si>
  <si>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</si>
  <si>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</si>
  <si>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</si>
  <si>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</si>
  <si>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</si>
  <si>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</si>
  <si>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</si>
  <si>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</si>
  <si>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</si>
  <si>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</si>
  <si>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</si>
  <si>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</si>
  <si>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</si>
  <si>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</si>
  <si>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</si>
  <si>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</si>
  <si>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</si>
  <si>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</si>
  <si>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</si>
  <si>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</si>
  <si>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</si>
  <si>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</si>
  <si>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</si>
  <si>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</si>
  <si>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</si>
  <si>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</si>
  <si>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</si>
  <si>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</si>
  <si>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</si>
  <si>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</si>
  <si>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</si>
  <si>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</si>
  <si>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</si>
  <si>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</si>
  <si>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</si>
  <si>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</si>
  <si>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</si>
  <si>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</si>
  <si>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</si>
  <si>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</si>
  <si>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</si>
  <si>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</si>
  <si>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</si>
  <si>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</si>
  <si>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</si>
  <si>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</si>
  <si>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</si>
  <si>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</si>
  <si>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</si>
  <si>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</si>
  <si>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</si>
  <si>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</si>
  <si>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</si>
  <si>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</si>
  <si>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</si>
  <si>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</si>
  <si>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</si>
  <si>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</si>
  <si>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</si>
  <si>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</si>
  <si>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</si>
  <si>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</si>
  <si>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</si>
  <si>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</si>
  <si>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</si>
  <si>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</si>
  <si>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</si>
  <si>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</si>
  <si>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</si>
  <si>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</si>
  <si>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</si>
  <si>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</si>
  <si>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</si>
  <si>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</si>
  <si>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</si>
  <si>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</si>
  <si>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</si>
  <si>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</si>
  <si>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</si>
  <si>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</si>
  <si>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</si>
  <si>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</si>
  <si>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</si>
  <si>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</si>
  <si>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</si>
  <si>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</si>
  <si>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</si>
  <si>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</si>
  <si>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</si>
  <si>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</si>
  <si>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</si>
  <si>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</si>
  <si>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</si>
  <si>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</si>
  <si>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</si>
  <si>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</si>
  <si>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</si>
  <si>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</si>
  <si>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</si>
  <si>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</si>
  <si>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</si>
  <si>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</si>
  <si>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</si>
  <si>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</si>
  <si>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</si>
  <si>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</si>
  <si>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</si>
  <si>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</si>
  <si>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</si>
  <si>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</si>
  <si>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</si>
  <si>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</si>
  <si>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</si>
  <si>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</si>
  <si>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</si>
  <si>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</si>
  <si>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</si>
  <si>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</si>
  <si>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</si>
  <si>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</si>
  <si>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</si>
  <si>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</si>
  <si>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</si>
  <si>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</si>
  <si>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</si>
  <si>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</si>
  <si>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</si>
  <si>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</si>
  <si>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</si>
  <si>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</si>
  <si>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</si>
  <si>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</si>
  <si>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</si>
  <si>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</si>
  <si>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</si>
  <si>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</si>
  <si>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</si>
  <si>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</si>
  <si>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</si>
  <si>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</si>
  <si>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</si>
  <si>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</si>
  <si>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</si>
  <si>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</si>
  <si>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</si>
  <si>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</si>
  <si>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</si>
  <si>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</si>
  <si>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</si>
  <si>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</si>
  <si>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</si>
  <si>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</si>
  <si>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</si>
  <si>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</si>
  <si>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</si>
  <si>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</si>
  <si>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</si>
  <si>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</si>
  <si>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</si>
  <si>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</si>
  <si>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</si>
  <si>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</si>
  <si>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</si>
  <si>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</si>
  <si>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</si>
  <si>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</si>
  <si>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</si>
  <si>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</si>
  <si>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</si>
  <si>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</si>
  <si>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</si>
  <si>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</si>
  <si>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</si>
  <si>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</si>
  <si>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</si>
  <si>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</si>
  <si>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</si>
  <si>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</si>
  <si>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</si>
  <si>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</si>
  <si>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</si>
  <si>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</si>
  <si>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</si>
  <si>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</si>
  <si>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</si>
  <si>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</si>
  <si>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</si>
  <si>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</si>
  <si>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</si>
  <si>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</si>
  <si>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</si>
  <si>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</si>
  <si>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</si>
  <si>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</si>
  <si>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</si>
  <si>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</si>
  <si>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</si>
  <si>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</si>
  <si>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</si>
  <si>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</si>
  <si>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</si>
  <si>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</si>
  <si>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</si>
  <si>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</si>
  <si>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</si>
  <si>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</si>
  <si>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</si>
  <si>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</si>
  <si>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</si>
  <si>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</si>
  <si>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</si>
  <si>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</si>
  <si>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</si>
  <si>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</si>
  <si>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</si>
  <si>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</si>
  <si>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</si>
  <si>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</si>
  <si>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</si>
  <si>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</si>
  <si>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</si>
  <si>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</si>
  <si>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</si>
  <si>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</si>
  <si>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</si>
  <si>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</si>
  <si>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</si>
  <si>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</si>
  <si>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</si>
  <si>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</si>
  <si>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</si>
  <si>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</si>
  <si>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</si>
  <si>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</si>
  <si>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</si>
  <si>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</si>
  <si>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</si>
  <si>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</si>
  <si>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</si>
  <si>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</si>
  <si>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</si>
  <si>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</si>
  <si>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</si>
  <si>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</si>
  <si>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</si>
  <si>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</si>
  <si>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</si>
  <si>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</si>
  <si>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</si>
  <si>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</si>
  <si>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</si>
  <si>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</si>
  <si>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</si>
  <si>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</si>
  <si>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</si>
  <si>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</si>
  <si>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</si>
  <si>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</si>
  <si>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</si>
  <si>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</si>
  <si>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</si>
  <si>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</si>
  <si>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</si>
  <si>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</si>
  <si>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</si>
  <si>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</si>
  <si>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</si>
  <si>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</si>
  <si>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</si>
  <si>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</si>
  <si>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</si>
  <si>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</si>
  <si>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</si>
  <si>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</si>
  <si>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</si>
  <si>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</si>
  <si>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</si>
  <si>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</si>
  <si>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</si>
  <si>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</si>
  <si>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</si>
  <si>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</si>
  <si>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</si>
  <si>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</si>
  <si>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</si>
  <si>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</si>
  <si>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</si>
  <si>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</si>
  <si>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</si>
  <si>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</si>
  <si>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</si>
  <si>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</si>
  <si>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</si>
  <si>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</si>
  <si>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</si>
  <si>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</si>
  <si>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</si>
  <si>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</si>
  <si>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</si>
  <si>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</si>
  <si>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</si>
  <si>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</si>
  <si>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</si>
  <si>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</si>
  <si>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</si>
  <si>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</si>
  <si>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</si>
  <si>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</si>
  <si>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</si>
  <si>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</si>
  <si>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</si>
  <si>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</si>
  <si>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</si>
  <si>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</si>
  <si>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</si>
  <si>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</si>
  <si>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</si>
  <si>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</si>
  <si>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</si>
  <si>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</si>
  <si>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</si>
  <si>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</si>
  <si>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</si>
  <si>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</si>
  <si>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</si>
  <si>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</si>
  <si>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</si>
  <si>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</si>
  <si>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</si>
  <si>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</si>
  <si>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</si>
  <si>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</si>
  <si>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</si>
  <si>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</si>
  <si>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</si>
  <si>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</si>
  <si>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</si>
  <si>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</si>
  <si>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</si>
  <si>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</si>
  <si>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</si>
  <si>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</si>
  <si>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</si>
  <si>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</si>
  <si>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</si>
  <si>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</si>
  <si>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</si>
  <si>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</si>
  <si>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</si>
  <si>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</si>
  <si>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</si>
  <si>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</si>
  <si>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</si>
  <si>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</si>
  <si>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</si>
  <si>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</si>
  <si>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</si>
  <si>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</si>
  <si>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</si>
  <si>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</si>
  <si>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</si>
  <si>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</si>
  <si>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</si>
  <si>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</si>
  <si>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</si>
  <si>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</si>
  <si>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</si>
  <si>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</si>
  <si>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Glasco Fire District # 2</t>
  </si>
  <si>
    <t>Cloud County</t>
  </si>
  <si>
    <t xml:space="preserve">Ottawa </t>
  </si>
  <si>
    <t>19-3610</t>
  </si>
  <si>
    <t xml:space="preserve">Machinery &amp; Equipment </t>
  </si>
  <si>
    <t>Administration and Dues</t>
  </si>
  <si>
    <t xml:space="preserve">Fire Calls &amp; Labor </t>
  </si>
  <si>
    <t>Transfer to Equipment Fund</t>
  </si>
  <si>
    <t>Fuel and Oil</t>
  </si>
  <si>
    <t>Insurance Premiums</t>
  </si>
  <si>
    <t>Repairs &amp; Small Equipment</t>
  </si>
  <si>
    <t>Supplies</t>
  </si>
  <si>
    <t>Utilities</t>
  </si>
  <si>
    <t>Building Repairs</t>
  </si>
  <si>
    <t>Truck Purchase</t>
  </si>
  <si>
    <t>bal. in Treas. Office 1-1-13</t>
  </si>
  <si>
    <t xml:space="preserve">Ottawa County </t>
  </si>
  <si>
    <t xml:space="preserve">General </t>
  </si>
  <si>
    <t xml:space="preserve">Equipment Fund </t>
  </si>
  <si>
    <t xml:space="preserve">Interest </t>
  </si>
  <si>
    <t xml:space="preserve">From General Fund </t>
  </si>
  <si>
    <t>Equipment Purchase</t>
  </si>
  <si>
    <t>Equipment</t>
  </si>
  <si>
    <t>Fire Suits</t>
  </si>
  <si>
    <t>Darlene Schmidt</t>
  </si>
  <si>
    <t xml:space="preserve">Treasurer </t>
  </si>
  <si>
    <t>August 24, 2014</t>
  </si>
  <si>
    <t xml:space="preserve">7:00 p.m. </t>
  </si>
  <si>
    <t xml:space="preserve">Justin Schmidt residence - 424 N 90th Rd. - Glasco, Ks. </t>
  </si>
  <si>
    <t xml:space="preserve">Justin Schmidt residence - 424 N. 90th Rd. - Glasco, Ks.  </t>
  </si>
  <si>
    <t>19-3612c</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</si>
</sst>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89843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2">
      <selection activeCell="A1" sqref="A1"/>
    </sheetView>
  </sheetViews>
  <sheetFormatPr defaultColWidth="8.8984375" defaultRowHeight="15"/>
  <cols>
    <col min="1" max="1" width="71.09765625" style="184" customWidth="1"/>
    <col min="2" max="16384" width="8.8984375" style="184" customWidth="1"/>
  </cols>
  <sheetData>
    <row r="1" ht="18.75">
      <c r="A1" s="370" t="s">
        <v>313</v>
      </c>
    </row>
    <row r="2" ht="16.5">
      <c r="A2" s="146"/>
    </row>
    <row r="3" ht="31.5">
      <c r="A3" s="371" t="s">
        <v>314</v>
      </c>
    </row>
    <row r="4" ht="16.5">
      <c r="A4" s="372"/>
    </row>
    <row r="5" ht="16.5">
      <c r="A5" s="146"/>
    </row>
    <row r="6" ht="47.25">
      <c r="A6" s="371" t="s">
        <v>315</v>
      </c>
    </row>
    <row r="7" ht="16.5">
      <c r="A7" s="372"/>
    </row>
    <row r="8" ht="16.5">
      <c r="A8" s="146"/>
    </row>
    <row r="9" ht="47.25">
      <c r="A9" s="371" t="s">
        <v>316</v>
      </c>
    </row>
    <row r="10" ht="16.5">
      <c r="A10" s="372"/>
    </row>
    <row r="11" ht="16.5">
      <c r="A11" s="372"/>
    </row>
    <row r="12" ht="31.5">
      <c r="A12" s="371" t="s">
        <v>317</v>
      </c>
    </row>
    <row r="13" ht="16.5">
      <c r="A13" s="146"/>
    </row>
    <row r="14" ht="16.5">
      <c r="A14" s="146"/>
    </row>
    <row r="15" ht="47.25">
      <c r="A15" s="371" t="s">
        <v>318</v>
      </c>
    </row>
    <row r="16" ht="16.5">
      <c r="A16" s="146"/>
    </row>
    <row r="17" ht="16.5">
      <c r="A17" s="146"/>
    </row>
    <row r="18" ht="63">
      <c r="A18" s="443" t="s">
        <v>581</v>
      </c>
    </row>
    <row r="19" ht="16.5">
      <c r="A19" s="146"/>
    </row>
    <row r="20" ht="16.5">
      <c r="A20" s="146"/>
    </row>
    <row r="21" ht="47.25">
      <c r="A21" s="444" t="s">
        <v>319</v>
      </c>
    </row>
    <row r="22" ht="16.5">
      <c r="A22" s="372"/>
    </row>
    <row r="23" ht="16.5">
      <c r="A23" s="146"/>
    </row>
    <row r="24" ht="47.25">
      <c r="A24" s="371" t="s">
        <v>320</v>
      </c>
    </row>
    <row r="25" ht="31.5">
      <c r="A25" s="373" t="s">
        <v>321</v>
      </c>
    </row>
    <row r="26" ht="16.5">
      <c r="A26" s="372"/>
    </row>
    <row r="27" ht="16.5">
      <c r="A27" s="146"/>
    </row>
    <row r="28" ht="63">
      <c r="A28" s="443" t="s">
        <v>582</v>
      </c>
    </row>
    <row r="29" ht="16.5">
      <c r="A29" s="146"/>
    </row>
    <row r="30" ht="16.5">
      <c r="A30" s="146"/>
    </row>
    <row r="31" ht="63">
      <c r="A31" s="443" t="s">
        <v>583</v>
      </c>
    </row>
    <row r="32" ht="16.5">
      <c r="A32" s="146"/>
    </row>
    <row r="33" ht="16.5">
      <c r="A33" s="146"/>
    </row>
    <row r="34" ht="31.5">
      <c r="A34" s="445" t="s">
        <v>584</v>
      </c>
    </row>
    <row r="35" ht="16.5">
      <c r="A35" s="146"/>
    </row>
    <row r="36" ht="16.5">
      <c r="A36" s="146"/>
    </row>
    <row r="37" ht="63">
      <c r="A37" s="371" t="s">
        <v>322</v>
      </c>
    </row>
    <row r="38" ht="16.5">
      <c r="A38" s="372"/>
    </row>
    <row r="39" ht="16.5">
      <c r="A39" s="372"/>
    </row>
    <row r="40" ht="47.25">
      <c r="A40" s="444" t="s">
        <v>323</v>
      </c>
    </row>
    <row r="41" ht="16.5">
      <c r="A41" s="37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89843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Glasco Fire District # 2</v>
      </c>
      <c r="C1" s="98"/>
      <c r="D1" s="98"/>
      <c r="E1" s="98"/>
      <c r="F1" s="98"/>
      <c r="G1" s="98"/>
      <c r="H1" s="98"/>
      <c r="I1" s="98"/>
      <c r="J1" s="98"/>
      <c r="K1" s="98"/>
      <c r="L1" s="276">
        <f>inputPrYr!D11</f>
        <v>2015</v>
      </c>
    </row>
    <row r="2" spans="1:12" ht="15.75">
      <c r="A2" s="277"/>
      <c r="B2" s="98" t="str">
        <f>inputPrYr!$D$4</f>
        <v>Cloud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6.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2014</v>
      </c>
      <c r="J7" s="283"/>
      <c r="K7" s="282">
        <f>L1</f>
        <v>2015</v>
      </c>
      <c r="L7" s="283"/>
    </row>
    <row r="8" spans="1:12" s="278" customFormat="1" ht="15.75">
      <c r="A8" s="277"/>
      <c r="B8" s="157" t="s">
        <v>756</v>
      </c>
      <c r="C8" s="157" t="s">
        <v>58</v>
      </c>
      <c r="D8" s="157" t="s">
        <v>36</v>
      </c>
      <c r="E8" s="157" t="s">
        <v>59</v>
      </c>
      <c r="F8" s="284" t="str">
        <f>CONCATENATE("Jan 1,",L1-1,"")</f>
        <v>Jan 1,2014</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6.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1,2014</v>
      </c>
      <c r="H28" s="157">
        <f>L1-1</f>
        <v>2014</v>
      </c>
      <c r="I28" s="157">
        <f>L1</f>
        <v>2015</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6.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3">
      <selection activeCell="E40" sqref="E40"/>
    </sheetView>
  </sheetViews>
  <sheetFormatPr defaultColWidth="8.89843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Glasco Fire District # 2</v>
      </c>
      <c r="C1" s="177"/>
      <c r="D1" s="98"/>
      <c r="E1" s="310"/>
      <c r="F1" s="601"/>
    </row>
    <row r="2" spans="2:6" ht="15.75">
      <c r="B2" s="98" t="str">
        <f>inputPrYr!D4</f>
        <v>Cloud County</v>
      </c>
      <c r="C2" s="177"/>
      <c r="D2" s="98"/>
      <c r="E2" s="181"/>
      <c r="F2" s="601"/>
    </row>
    <row r="3" spans="2:6" ht="15.75">
      <c r="B3" s="109"/>
      <c r="C3" s="177"/>
      <c r="D3" s="98"/>
      <c r="E3" s="276">
        <f>inputPrYr!D11</f>
        <v>2015</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2013</v>
      </c>
      <c r="D6" s="426" t="str">
        <f>CONCATENATE("Estimate for ",E3-1,"")</f>
        <v>Estimate for 2014</v>
      </c>
      <c r="E6" s="264" t="str">
        <f>CONCATENATE("Year for ",E3,"")</f>
        <v>Year for 2015</v>
      </c>
      <c r="F6" s="601"/>
    </row>
    <row r="7" spans="2:6" ht="15.75">
      <c r="B7" s="219" t="s">
        <v>118</v>
      </c>
      <c r="C7" s="420">
        <v>19298</v>
      </c>
      <c r="D7" s="424">
        <f>C62</f>
        <v>8502</v>
      </c>
      <c r="E7" s="160">
        <f>D62</f>
        <v>2640</v>
      </c>
      <c r="F7" s="601"/>
    </row>
    <row r="8" spans="2:6" ht="15.75">
      <c r="B8" s="236" t="s">
        <v>120</v>
      </c>
      <c r="C8" s="313"/>
      <c r="D8" s="313"/>
      <c r="E8" s="159"/>
      <c r="F8" s="601"/>
    </row>
    <row r="9" spans="2:6" ht="15.75">
      <c r="B9" s="219" t="s">
        <v>27</v>
      </c>
      <c r="C9" s="420">
        <v>43526</v>
      </c>
      <c r="D9" s="424">
        <f>IF(inputPrYr!H23&gt;0,inputPrYr!G24,inputPrYr!E24)</f>
        <v>50153</v>
      </c>
      <c r="E9" s="230" t="s">
        <v>21</v>
      </c>
      <c r="F9" s="601"/>
    </row>
    <row r="10" spans="2:6" ht="15.75">
      <c r="B10" s="219" t="s">
        <v>28</v>
      </c>
      <c r="C10" s="420">
        <v>347</v>
      </c>
      <c r="D10" s="420"/>
      <c r="E10" s="291"/>
      <c r="F10" s="601"/>
    </row>
    <row r="11" spans="2:6" ht="15.75">
      <c r="B11" s="219" t="s">
        <v>29</v>
      </c>
      <c r="C11" s="420">
        <v>966</v>
      </c>
      <c r="D11" s="420">
        <v>1054</v>
      </c>
      <c r="E11" s="160">
        <f>mvalloc!D11</f>
        <v>2450</v>
      </c>
      <c r="F11" s="601"/>
    </row>
    <row r="12" spans="2:6" ht="15.75">
      <c r="B12" s="219" t="s">
        <v>30</v>
      </c>
      <c r="C12" s="420">
        <v>13</v>
      </c>
      <c r="D12" s="420">
        <v>17</v>
      </c>
      <c r="E12" s="160">
        <f>mvalloc!E11</f>
        <v>32</v>
      </c>
      <c r="F12" s="601"/>
    </row>
    <row r="13" spans="2:6" ht="15.75">
      <c r="B13" s="313" t="s">
        <v>102</v>
      </c>
      <c r="C13" s="420">
        <v>109</v>
      </c>
      <c r="D13" s="420">
        <v>164</v>
      </c>
      <c r="E13" s="160">
        <f>mvalloc!F11</f>
        <v>448</v>
      </c>
      <c r="F13" s="601"/>
    </row>
    <row r="14" spans="2:6" ht="15.75">
      <c r="B14" s="313" t="s">
        <v>171</v>
      </c>
      <c r="C14" s="420"/>
      <c r="D14" s="420">
        <v>0</v>
      </c>
      <c r="E14" s="160">
        <f>inputOth!D84</f>
        <v>0</v>
      </c>
      <c r="F14" s="601"/>
    </row>
    <row r="15" spans="2:6" ht="15.75">
      <c r="B15" s="314" t="s">
        <v>823</v>
      </c>
      <c r="C15" s="420">
        <v>8</v>
      </c>
      <c r="D15" s="420"/>
      <c r="E15" s="291"/>
      <c r="F15" s="601"/>
    </row>
    <row r="16" spans="2:6" ht="15.75">
      <c r="B16" s="438" t="s">
        <v>824</v>
      </c>
      <c r="C16" s="420">
        <v>1498</v>
      </c>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21</v>
      </c>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46488</v>
      </c>
      <c r="D33" s="423">
        <f>SUM(D9:D31)</f>
        <v>51388</v>
      </c>
      <c r="E33" s="320">
        <f>SUM(E9:E31)</f>
        <v>2930</v>
      </c>
      <c r="F33" s="601"/>
    </row>
    <row r="34" spans="2:6" ht="15.75">
      <c r="B34" s="319" t="s">
        <v>33</v>
      </c>
      <c r="C34" s="423">
        <f>C7+C33</f>
        <v>65786</v>
      </c>
      <c r="D34" s="423">
        <f>D7+D33</f>
        <v>59890</v>
      </c>
      <c r="E34" s="320">
        <f>E7+E33</f>
        <v>5570</v>
      </c>
      <c r="F34" s="601"/>
    </row>
    <row r="35" spans="2:6" ht="15.75">
      <c r="B35" s="219" t="s">
        <v>34</v>
      </c>
      <c r="C35" s="222"/>
      <c r="D35" s="222"/>
      <c r="E35" s="132"/>
      <c r="F35" s="601"/>
    </row>
    <row r="36" spans="2:6" ht="15.75">
      <c r="B36" s="314"/>
      <c r="C36" s="420"/>
      <c r="D36" s="420"/>
      <c r="E36" s="120"/>
      <c r="F36" s="601"/>
    </row>
    <row r="37" spans="2:6" ht="15.75">
      <c r="B37" s="314" t="s">
        <v>813</v>
      </c>
      <c r="C37" s="420">
        <v>108</v>
      </c>
      <c r="D37" s="420">
        <v>250</v>
      </c>
      <c r="E37" s="120">
        <v>300</v>
      </c>
      <c r="F37" s="601"/>
    </row>
    <row r="38" spans="2:6" ht="15.75">
      <c r="B38" s="314" t="s">
        <v>814</v>
      </c>
      <c r="C38" s="420">
        <v>3300</v>
      </c>
      <c r="D38" s="420">
        <v>5000</v>
      </c>
      <c r="E38" s="120">
        <v>5200</v>
      </c>
      <c r="F38" s="601"/>
    </row>
    <row r="39" spans="2:6" ht="15.75">
      <c r="B39" s="314" t="s">
        <v>815</v>
      </c>
      <c r="C39" s="420">
        <v>14000</v>
      </c>
      <c r="D39" s="420">
        <v>10000</v>
      </c>
      <c r="E39" s="120">
        <v>8000</v>
      </c>
      <c r="F39" s="601"/>
    </row>
    <row r="40" spans="2:6" ht="15.75">
      <c r="B40" s="314" t="s">
        <v>816</v>
      </c>
      <c r="C40" s="420">
        <v>2919</v>
      </c>
      <c r="D40" s="420">
        <v>4000</v>
      </c>
      <c r="E40" s="120">
        <v>3000</v>
      </c>
      <c r="F40" s="601"/>
    </row>
    <row r="41" spans="2:6" ht="15.75">
      <c r="B41" s="314" t="s">
        <v>817</v>
      </c>
      <c r="C41" s="420">
        <v>2884</v>
      </c>
      <c r="D41" s="420">
        <v>3500</v>
      </c>
      <c r="E41" s="120">
        <v>3500</v>
      </c>
      <c r="F41" s="601"/>
    </row>
    <row r="42" spans="2:6" ht="15.75">
      <c r="B42" s="314" t="s">
        <v>818</v>
      </c>
      <c r="C42" s="420">
        <v>1893</v>
      </c>
      <c r="D42" s="420">
        <v>10000</v>
      </c>
      <c r="E42" s="120">
        <v>4500</v>
      </c>
      <c r="F42" s="601"/>
    </row>
    <row r="43" spans="2:6" ht="15.75">
      <c r="B43" s="314" t="s">
        <v>819</v>
      </c>
      <c r="C43" s="420">
        <v>339</v>
      </c>
      <c r="D43" s="420">
        <v>1500</v>
      </c>
      <c r="E43" s="120">
        <v>1000</v>
      </c>
      <c r="F43" s="601"/>
    </row>
    <row r="44" spans="2:6" ht="15.75">
      <c r="B44" s="314" t="s">
        <v>820</v>
      </c>
      <c r="C44" s="420">
        <v>1453</v>
      </c>
      <c r="D44" s="420">
        <v>3000</v>
      </c>
      <c r="E44" s="120">
        <v>2000</v>
      </c>
      <c r="F44" s="601"/>
    </row>
    <row r="45" spans="2:6" ht="15.75">
      <c r="B45" s="314" t="s">
        <v>821</v>
      </c>
      <c r="C45" s="420">
        <v>30388</v>
      </c>
      <c r="D45" s="420">
        <v>8000</v>
      </c>
      <c r="E45" s="120">
        <v>750</v>
      </c>
      <c r="F45" s="601"/>
    </row>
    <row r="46" spans="2:6" ht="15.75">
      <c r="B46" s="314" t="s">
        <v>822</v>
      </c>
      <c r="C46" s="420"/>
      <c r="D46" s="420">
        <v>12000</v>
      </c>
      <c r="E46" s="120"/>
      <c r="F46" s="601"/>
    </row>
    <row r="47" spans="2:6" ht="15.75">
      <c r="B47" s="314" t="s">
        <v>830</v>
      </c>
      <c r="C47" s="420"/>
      <c r="D47" s="420"/>
      <c r="E47" s="120">
        <v>20000</v>
      </c>
      <c r="F47" s="601"/>
    </row>
    <row r="48" spans="2:6" ht="15.75">
      <c r="B48" s="314" t="s">
        <v>831</v>
      </c>
      <c r="C48" s="420"/>
      <c r="D48" s="420"/>
      <c r="E48" s="120">
        <v>4200</v>
      </c>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6.5">
      <c r="B52" s="314"/>
      <c r="C52" s="420"/>
      <c r="D52" s="420"/>
      <c r="E52" s="120"/>
      <c r="F52" s="96"/>
      <c r="G52" s="739" t="str">
        <f>CONCATENATE("Desired Carryover Into ",E3+1,"")</f>
        <v>Desired Carryover Into 2016</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2015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6.5">
      <c r="B59" s="222" t="s">
        <v>226</v>
      </c>
      <c r="C59" s="420"/>
      <c r="D59" s="420"/>
      <c r="E59" s="120">
        <v>1000</v>
      </c>
      <c r="F59" s="96"/>
      <c r="G59" s="739" t="str">
        <f>CONCATENATE("Projected Carryover Into ",E3+1,"")</f>
        <v>Projected Carryover Into 2016</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57284</v>
      </c>
      <c r="D61" s="423">
        <f>SUM(D36:D59)</f>
        <v>57250</v>
      </c>
      <c r="E61" s="320">
        <f>SUM(E36:E59)</f>
        <v>53450</v>
      </c>
      <c r="F61" s="96"/>
      <c r="G61" s="528">
        <f>D62</f>
        <v>2640</v>
      </c>
      <c r="H61" s="529" t="str">
        <f>CONCATENATE("",E3-1," Ending Cash Balance (est.)")</f>
        <v>2014 Ending Cash Balance (est.)</v>
      </c>
      <c r="I61" s="621"/>
      <c r="J61" s="527"/>
      <c r="K61" s="96"/>
    </row>
    <row r="62" spans="2:11" ht="15.75">
      <c r="B62" s="219" t="s">
        <v>119</v>
      </c>
      <c r="C62" s="421">
        <f>C34-C61</f>
        <v>8502</v>
      </c>
      <c r="D62" s="421">
        <f>D34-D61</f>
        <v>2640</v>
      </c>
      <c r="E62" s="230" t="s">
        <v>21</v>
      </c>
      <c r="F62" s="96"/>
      <c r="G62" s="528">
        <f>E33</f>
        <v>2930</v>
      </c>
      <c r="H62" s="530" t="str">
        <f>CONCATENATE("",E3," Non-AV Receipts (est.)")</f>
        <v>2015 Non-AV Receipts (est.)</v>
      </c>
      <c r="I62" s="621"/>
      <c r="J62" s="527"/>
      <c r="K62" s="96"/>
    </row>
    <row r="63" spans="2:11" ht="15.75">
      <c r="B63" s="181" t="str">
        <f>CONCATENATE("",E3-2,"/",E3-1,"/",E1," Budget Authority Amount:")</f>
        <v>2013/2014/ Budget Authority Amount:</v>
      </c>
      <c r="C63" s="193">
        <f>inputOth!B102</f>
        <v>59950</v>
      </c>
      <c r="D63" s="170">
        <f>inputPrYr!D24</f>
        <v>57250</v>
      </c>
      <c r="E63" s="328">
        <f>E61</f>
        <v>53450</v>
      </c>
      <c r="F63" s="646"/>
      <c r="G63" s="531">
        <f>IF(E67&gt;0,E66,E68)</f>
        <v>47880</v>
      </c>
      <c r="H63" s="530" t="str">
        <f>CONCATENATE("",E3," Ad Valorem Tax (est.)")</f>
        <v>2015 Ad Valorem Tax (est.)</v>
      </c>
      <c r="I63" s="530"/>
      <c r="J63" s="527"/>
      <c r="K63" s="647">
        <f>IF(G63=E68,"","Note: Does not include Delinquent Taxes")</f>
      </c>
    </row>
    <row r="64" spans="2:11" ht="16.5">
      <c r="B64" s="181"/>
      <c r="C64" s="735" t="s">
        <v>675</v>
      </c>
      <c r="D64" s="736"/>
      <c r="E64" s="120"/>
      <c r="F64" s="648">
        <f>IF(E61/0.95-E61&lt;E64,"Exceeds 5%","")</f>
      </c>
      <c r="G64" s="528">
        <f>SUM(G61:G63)</f>
        <v>53450</v>
      </c>
      <c r="H64" s="530" t="str">
        <f>CONCATENATE("Total ",E3," Resources Available")</f>
        <v>Total 2015 Resources Available</v>
      </c>
      <c r="I64" s="621"/>
      <c r="J64" s="527"/>
      <c r="K64" s="96"/>
    </row>
    <row r="65" spans="2:11" ht="15.75">
      <c r="B65" s="521" t="str">
        <f>CONCATENATE(C79,"     ",D79)</f>
        <v>     </v>
      </c>
      <c r="C65" s="737" t="s">
        <v>676</v>
      </c>
      <c r="D65" s="738"/>
      <c r="E65" s="160">
        <f>E61+E64</f>
        <v>53450</v>
      </c>
      <c r="F65" s="96"/>
      <c r="G65" s="532"/>
      <c r="H65" s="530"/>
      <c r="I65" s="530"/>
      <c r="J65" s="527"/>
      <c r="K65" s="96"/>
    </row>
    <row r="66" spans="2:11" ht="15.75">
      <c r="B66" s="521" t="str">
        <f>CONCATENATE(C80,"     ",D80)</f>
        <v>     </v>
      </c>
      <c r="C66" s="523"/>
      <c r="D66" s="524" t="s">
        <v>677</v>
      </c>
      <c r="E66" s="163">
        <f>IF(E65-E34&gt;0,E65-E34,0)</f>
        <v>47880</v>
      </c>
      <c r="F66" s="96"/>
      <c r="G66" s="531">
        <f>ROUND(C61*0.05+C61,0)</f>
        <v>60148</v>
      </c>
      <c r="H66" s="530" t="str">
        <f>CONCATENATE("Less ",E3-2," Expenditures + 5%")</f>
        <v>Less 2013 Expenditures + 5%</v>
      </c>
      <c r="I66" s="621"/>
      <c r="J66" s="527"/>
      <c r="K66" s="96"/>
    </row>
    <row r="67" spans="2:11" ht="15.75">
      <c r="B67" s="251"/>
      <c r="C67" s="522" t="s">
        <v>678</v>
      </c>
      <c r="D67" s="643">
        <f>inputOth!$E$96</f>
        <v>0</v>
      </c>
      <c r="E67" s="160">
        <f>ROUND(IF(D67&gt;0,(E66*D67),0),0)</f>
        <v>0</v>
      </c>
      <c r="F67" s="96"/>
      <c r="G67" s="649">
        <f>G64-G66</f>
        <v>-6698</v>
      </c>
      <c r="H67" s="650" t="str">
        <f>CONCATENATE("Projected ",E3+1," Carryover (est.)")</f>
        <v>Projected 2016 Carryover (est.)</v>
      </c>
      <c r="I67" s="625"/>
      <c r="J67" s="534"/>
      <c r="K67" s="96"/>
    </row>
    <row r="68" spans="2:11" ht="15.75">
      <c r="B68" s="98"/>
      <c r="C68" s="733" t="str">
        <f>CONCATENATE("Amount of  ",$E$3-1," Ad Valorem Tax")</f>
        <v>Amount of  2014 Ad Valorem Tax</v>
      </c>
      <c r="D68" s="734"/>
      <c r="E68" s="163">
        <f>E66+E67</f>
        <v>47880</v>
      </c>
      <c r="F68" s="96"/>
      <c r="G68" s="96"/>
      <c r="H68" s="96"/>
      <c r="I68" s="96"/>
      <c r="J68" s="96"/>
      <c r="K68" s="96"/>
    </row>
    <row r="69" spans="2:11" ht="16.5">
      <c r="B69" s="98"/>
      <c r="C69" s="98"/>
      <c r="D69" s="98"/>
      <c r="E69" s="98"/>
      <c r="F69" s="96"/>
      <c r="G69" s="730" t="s">
        <v>761</v>
      </c>
      <c r="H69" s="731"/>
      <c r="I69" s="731"/>
      <c r="J69" s="732"/>
      <c r="K69" s="96"/>
    </row>
    <row r="70" spans="2:11" ht="16.5">
      <c r="B70" s="98"/>
      <c r="C70" s="98"/>
      <c r="D70" s="98"/>
      <c r="E70" s="98"/>
      <c r="F70" s="96"/>
      <c r="G70" s="627"/>
      <c r="H70" s="529"/>
      <c r="I70" s="605"/>
      <c r="J70" s="628"/>
      <c r="K70" s="96"/>
    </row>
    <row r="71" spans="2:11" ht="16.5">
      <c r="B71" s="98"/>
      <c r="C71" s="98"/>
      <c r="D71" s="98"/>
      <c r="E71" s="98"/>
      <c r="F71" s="96"/>
      <c r="G71" s="629">
        <f>summ!H16</f>
        <v>4.962</v>
      </c>
      <c r="H71" s="529" t="str">
        <f>CONCATENATE("",E3," Fund Mill Rate")</f>
        <v>2015 Fund Mill Rate</v>
      </c>
      <c r="I71" s="605"/>
      <c r="J71" s="628"/>
      <c r="K71" s="96"/>
    </row>
    <row r="72" spans="2:11" ht="16.5">
      <c r="B72" s="98"/>
      <c r="C72" s="98"/>
      <c r="D72" s="98"/>
      <c r="E72" s="98"/>
      <c r="F72" s="651"/>
      <c r="G72" s="630">
        <f>summ!E16</f>
        <v>4.911</v>
      </c>
      <c r="H72" s="529" t="str">
        <f>CONCATENATE("",E3-1," Fund Mill Rate")</f>
        <v>2014 Fund Mill Rate</v>
      </c>
      <c r="I72" s="605"/>
      <c r="J72" s="628"/>
      <c r="K72" s="96"/>
    </row>
    <row r="73" spans="2:11" ht="16.5">
      <c r="B73" s="98"/>
      <c r="C73" s="177"/>
      <c r="D73" s="177"/>
      <c r="E73" s="177"/>
      <c r="F73" s="644"/>
      <c r="G73" s="631">
        <f>summ!H23</f>
        <v>4.962</v>
      </c>
      <c r="H73" s="529" t="str">
        <f>CONCATENATE("Total ",E3," Mill Rate")</f>
        <v>Total 2015 Mill Rate</v>
      </c>
      <c r="I73" s="605"/>
      <c r="J73" s="628"/>
      <c r="K73" s="96"/>
    </row>
    <row r="74" spans="2:11" ht="16.5">
      <c r="B74" s="181"/>
      <c r="C74" s="115" t="s">
        <v>238</v>
      </c>
      <c r="D74" s="98"/>
      <c r="E74" s="98"/>
      <c r="F74" s="644"/>
      <c r="G74" s="630">
        <f>summ!E23</f>
        <v>4.911</v>
      </c>
      <c r="H74" s="632" t="str">
        <f>CONCATENATE("Total ",E3-1," Mill Rate")</f>
        <v>Total 2014 Mill Rate</v>
      </c>
      <c r="I74" s="633"/>
      <c r="J74" s="634"/>
      <c r="K74" s="96"/>
    </row>
    <row r="76" spans="2:9" ht="16.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Glasco Fire District # 2</v>
      </c>
      <c r="C1" s="98"/>
      <c r="D1" s="98"/>
      <c r="E1" s="310">
        <f>inputPrYr!$D$11</f>
        <v>2015</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2013</v>
      </c>
      <c r="D6" s="426" t="str">
        <f>CONCATENATE("Estimate for ",E1-1,"")</f>
        <v>Estimate for 2014</v>
      </c>
      <c r="E6" s="264" t="str">
        <f>CONCATENATE("Year for ",E1,"")</f>
        <v>Year for 2015</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6.5">
      <c r="B46" s="335"/>
      <c r="C46" s="428"/>
      <c r="D46" s="428"/>
      <c r="E46" s="327"/>
      <c r="F46" s="619"/>
      <c r="G46" s="739" t="str">
        <f>CONCATENATE("Desired Carryover Into ",E1+1,"")</f>
        <v>Desired Carryover Into 2016</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2015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6.5">
      <c r="B53" s="222" t="s">
        <v>580</v>
      </c>
      <c r="C53" s="422">
        <f>IF(C54*0.1&lt;C52,"Exceed 10% Rule","")</f>
      </c>
      <c r="D53" s="422">
        <f>IF(D54*0.1&lt;D52,"Exceed 10% Rule","")</f>
      </c>
      <c r="E53" s="437">
        <f>IF(E54*0.1&lt;E52,"Exceed 10% Rule","")</f>
      </c>
      <c r="F53" s="619"/>
      <c r="G53" s="739" t="str">
        <f>CONCATENATE("Projected Carryover Into ",E1+1,"")</f>
        <v>Projected Carryover Into 2016</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2014 Ending Cash Balance (est.)</v>
      </c>
      <c r="I55" s="621"/>
      <c r="J55" s="639"/>
      <c r="K55" s="619"/>
    </row>
    <row r="56" spans="2:11" ht="16.5">
      <c r="B56" s="181" t="str">
        <f>CONCATENATE("",E1-2,"/",E1-1," Budget Authority Amount:")</f>
        <v>2013/2014 Budget Authority Amount:</v>
      </c>
      <c r="C56" s="193">
        <f>inputOth!B103</f>
        <v>0</v>
      </c>
      <c r="D56" s="170">
        <f>inputPrYr!D25</f>
        <v>0</v>
      </c>
      <c r="E56" s="326" t="s">
        <v>21</v>
      </c>
      <c r="F56"/>
      <c r="G56" s="528">
        <f>E30</f>
        <v>0</v>
      </c>
      <c r="H56" s="530" t="str">
        <f>CONCATENATE("",E1," Non-AV Receipts (est.)")</f>
        <v>2015 Non-AV Receipts (est.)</v>
      </c>
      <c r="I56" s="621"/>
      <c r="J56" s="639"/>
      <c r="K56" s="619"/>
    </row>
    <row r="57" spans="2:11" ht="16.5">
      <c r="B57" s="181"/>
      <c r="C57" s="735" t="s">
        <v>675</v>
      </c>
      <c r="D57" s="736"/>
      <c r="E57" s="120"/>
      <c r="F57" s="622">
        <f>IF(E54/0.95-E54&lt;E57,"Exceeds 5%","")</f>
      </c>
      <c r="G57" s="531">
        <f>IF(E60&gt;0,E59,E61)</f>
        <v>0</v>
      </c>
      <c r="H57" s="530" t="str">
        <f>CONCATENATE("",E1," Ad Valorem Tax (est.)")</f>
        <v>2015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2015 Resources Available</v>
      </c>
      <c r="I58" s="621"/>
      <c r="J58" s="639"/>
      <c r="K58" s="619"/>
    </row>
    <row r="59" spans="2:11" ht="16.5">
      <c r="B59" s="521" t="str">
        <f>CONCATENATE(C70,"     ",D70)</f>
        <v>     </v>
      </c>
      <c r="C59" s="523"/>
      <c r="D59" s="524" t="s">
        <v>677</v>
      </c>
      <c r="E59" s="163">
        <f>IF(E58-E31&gt;0,E58-E31,0)</f>
        <v>0</v>
      </c>
      <c r="F59"/>
      <c r="G59" s="532"/>
      <c r="H59" s="530"/>
      <c r="I59" s="530"/>
      <c r="J59" s="639"/>
      <c r="K59" s="619"/>
    </row>
    <row r="60" spans="2:11" ht="16.5">
      <c r="B60" s="251"/>
      <c r="C60" s="522" t="s">
        <v>678</v>
      </c>
      <c r="D60" s="643">
        <f>inputOth!$E$96</f>
        <v>0</v>
      </c>
      <c r="E60" s="160">
        <f>ROUND(IF(D60&gt;0,(E59*D60),0),0)</f>
        <v>0</v>
      </c>
      <c r="F60"/>
      <c r="G60" s="531">
        <f>C54</f>
        <v>0</v>
      </c>
      <c r="H60" s="530" t="str">
        <f>CONCATENATE("Less ",E1-2," Expenditures")</f>
        <v>Less 2013 Expenditures</v>
      </c>
      <c r="I60" s="530"/>
      <c r="J60" s="639"/>
      <c r="K60" s="619"/>
    </row>
    <row r="61" spans="2:11" ht="16.5">
      <c r="B61" s="98"/>
      <c r="C61" s="733" t="str">
        <f>CONCATENATE("Amount of  ",$E$1-1," Ad Valorem Tax")</f>
        <v>Amount of  2014 Ad Valorem Tax</v>
      </c>
      <c r="D61" s="734"/>
      <c r="E61" s="163">
        <f>E59+E60</f>
        <v>0</v>
      </c>
      <c r="F61"/>
      <c r="G61" s="544">
        <f>G58-G60</f>
        <v>0</v>
      </c>
      <c r="H61" s="533" t="str">
        <f>CONCATENATE("Projected ",E1+1," carryover (est.)")</f>
        <v>Projected 2016 carryover (est.)</v>
      </c>
      <c r="I61" s="625"/>
      <c r="J61" s="640"/>
      <c r="K61" s="619"/>
    </row>
    <row r="62" spans="2:11" ht="16.5">
      <c r="B62" s="251"/>
      <c r="C62" s="98"/>
      <c r="D62" s="98"/>
      <c r="E62" s="98"/>
      <c r="F62"/>
      <c r="G62" s="619"/>
      <c r="H62" s="619"/>
      <c r="I62" s="619"/>
      <c r="J62" s="619"/>
      <c r="K62" s="619"/>
    </row>
    <row r="63" spans="2:11" ht="16.5">
      <c r="B63" s="181" t="s">
        <v>37</v>
      </c>
      <c r="C63" s="204"/>
      <c r="D63" s="98"/>
      <c r="E63" s="98"/>
      <c r="F63"/>
      <c r="G63" s="730" t="s">
        <v>761</v>
      </c>
      <c r="H63" s="731"/>
      <c r="I63" s="731"/>
      <c r="J63" s="732"/>
      <c r="K63" s="619"/>
    </row>
    <row r="64" spans="6:11" ht="16.5">
      <c r="F64"/>
      <c r="G64" s="627"/>
      <c r="H64" s="529"/>
      <c r="I64" s="605"/>
      <c r="J64" s="628"/>
      <c r="K64" s="619"/>
    </row>
    <row r="65" spans="6:11" ht="16.5">
      <c r="F65"/>
      <c r="G65" s="629" t="str">
        <f>summ!H17</f>
        <v> </v>
      </c>
      <c r="H65" s="529" t="str">
        <f>CONCATENATE("",E1," Fund Mill Rate")</f>
        <v>2015 Fund Mill Rate</v>
      </c>
      <c r="I65" s="605"/>
      <c r="J65" s="628"/>
      <c r="K65" s="619"/>
    </row>
    <row r="66" spans="6:11" ht="16.5">
      <c r="F66"/>
      <c r="G66" s="630" t="str">
        <f>summ!E17</f>
        <v>  </v>
      </c>
      <c r="H66" s="529" t="str">
        <f>CONCATENATE("",E1-1," Fund Mill Rate")</f>
        <v>2014 Fund Mill Rate</v>
      </c>
      <c r="I66" s="605"/>
      <c r="J66" s="628"/>
      <c r="K66" s="619"/>
    </row>
    <row r="67" spans="6:11" ht="16.5">
      <c r="F67"/>
      <c r="G67" s="631">
        <f>summ!H23</f>
        <v>4.962</v>
      </c>
      <c r="H67" s="529" t="str">
        <f>CONCATENATE("Total ",E1," Mill Rate")</f>
        <v>Total 2015 Mill Rate</v>
      </c>
      <c r="I67" s="605"/>
      <c r="J67" s="628"/>
      <c r="K67" s="619"/>
    </row>
    <row r="68" spans="6:11" ht="16.5">
      <c r="F68"/>
      <c r="G68" s="630">
        <f>summ!E23</f>
        <v>4.911</v>
      </c>
      <c r="H68" s="632" t="str">
        <f>CONCATENATE("Total ",E1-1," Mill Rate")</f>
        <v>Total 2014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Glasco Fire District # 2</v>
      </c>
      <c r="C1" s="98"/>
      <c r="D1" s="98"/>
      <c r="E1" s="276"/>
      <c r="F1" s="601"/>
    </row>
    <row r="2" spans="2:6" ht="15.75">
      <c r="B2" s="98" t="str">
        <f>inputPrYr!D4</f>
        <v>Cloud County</v>
      </c>
      <c r="C2" s="98"/>
      <c r="D2" s="98"/>
      <c r="E2" s="181"/>
      <c r="F2" s="601"/>
    </row>
    <row r="3" spans="2:6" ht="15.75">
      <c r="B3" s="109"/>
      <c r="C3" s="177"/>
      <c r="D3" s="177"/>
      <c r="E3" s="311">
        <f>inputPrYr!D11</f>
        <v>2015</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2013</v>
      </c>
      <c r="D6" s="426" t="str">
        <f>CONCATENATE("Estimate for ",E3-1,"")</f>
        <v>Estimate for 2014</v>
      </c>
      <c r="E6" s="264" t="str">
        <f>CONCATENATE("Year for ",E3,"")</f>
        <v>Year for 2015</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6.5">
      <c r="B25" s="314"/>
      <c r="C25" s="420"/>
      <c r="D25" s="420"/>
      <c r="E25" s="120"/>
      <c r="F25" s="96"/>
      <c r="G25" s="739" t="str">
        <f>CONCATENATE("Desired Carryover Into ",E3+1,"")</f>
        <v>Desired Carryover Into 2016</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2015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6.5">
      <c r="B32" s="222" t="s">
        <v>580</v>
      </c>
      <c r="C32" s="422">
        <f>IF(C33*0.1&lt;C31,"Exceed 10% Rule","")</f>
      </c>
      <c r="D32" s="422">
        <f>IF(D33*0.1&lt;D31,"Exceed 10% Rule","")</f>
      </c>
      <c r="E32" s="437">
        <f>IF(E33*0.1&lt;E31,"Exceed 10% Rule","")</f>
      </c>
      <c r="F32" s="96"/>
      <c r="G32" s="739" t="str">
        <f>CONCATENATE("Projected Carryover Into ",E3+1,"")</f>
        <v>Projected Carryover Into 2016</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2014 Ending Cash Balance (est.)</v>
      </c>
      <c r="I34" s="621"/>
      <c r="J34" s="620"/>
      <c r="K34" s="96"/>
    </row>
    <row r="35" spans="2:11" ht="15.75">
      <c r="B35" s="181" t="str">
        <f>CONCATENATE("",E3-2,"/",E3-1," Budget Authority Amount:")</f>
        <v>2013/2014 Budget Authority Amount:</v>
      </c>
      <c r="C35" s="193">
        <f>inputOth!B104</f>
        <v>0</v>
      </c>
      <c r="D35" s="170">
        <f>inputPrYr!D27</f>
        <v>0</v>
      </c>
      <c r="E35" s="230" t="s">
        <v>21</v>
      </c>
      <c r="F35" s="96"/>
      <c r="G35" s="528">
        <f>E21</f>
        <v>0</v>
      </c>
      <c r="H35" s="530" t="str">
        <f>CONCATENATE("",E3," Non-AV Receipts (est.)")</f>
        <v>2015 Non-AV Receipts (est.)</v>
      </c>
      <c r="I35" s="621"/>
      <c r="J35" s="620"/>
      <c r="K35" s="96"/>
    </row>
    <row r="36" spans="2:11" ht="16.5">
      <c r="B36" s="181"/>
      <c r="C36" s="735" t="s">
        <v>675</v>
      </c>
      <c r="D36" s="736"/>
      <c r="E36" s="291"/>
      <c r="F36" s="622">
        <f>IF(E33/0.95-E33&lt;E36,"Exceeds 5%","")</f>
      </c>
      <c r="G36" s="531">
        <f>IF(E39&gt;0,E38,E40)</f>
        <v>0</v>
      </c>
      <c r="H36" s="530" t="str">
        <f>CONCATENATE("",E3," Ad Valorem Tax (est.)")</f>
        <v>2015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2015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2013 Expenditures + 5%</v>
      </c>
      <c r="I39" s="621"/>
      <c r="J39" s="620"/>
      <c r="K39" s="96"/>
    </row>
    <row r="40" spans="2:11" ht="15.75">
      <c r="B40" s="98"/>
      <c r="C40" s="733" t="str">
        <f>CONCATENATE("Amount of  ",$E$3-1," Ad Valorem Tax")</f>
        <v>Amount of  2014 Ad Valorem Tax</v>
      </c>
      <c r="D40" s="734"/>
      <c r="E40" s="163">
        <f>E38+E39</f>
        <v>0</v>
      </c>
      <c r="F40" s="96"/>
      <c r="G40" s="544">
        <f>G37-G39</f>
        <v>0</v>
      </c>
      <c r="H40" s="533" t="str">
        <f>CONCATENATE("Projected ",E3+1," carryover (est.)")</f>
        <v>Projected 2016 carryover (est.)</v>
      </c>
      <c r="I40" s="625"/>
      <c r="J40" s="626"/>
      <c r="K40" s="96"/>
    </row>
    <row r="41" spans="2:11" ht="15.75">
      <c r="B41" s="98"/>
      <c r="C41" s="98"/>
      <c r="D41" s="98"/>
      <c r="E41" s="98"/>
      <c r="F41" s="96"/>
      <c r="G41" s="619"/>
      <c r="H41" s="619"/>
      <c r="I41" s="619"/>
      <c r="J41" s="619"/>
      <c r="K41" s="96"/>
    </row>
    <row r="42" spans="2:11" ht="16.5">
      <c r="B42" s="97" t="s">
        <v>26</v>
      </c>
      <c r="C42" s="180"/>
      <c r="D42" s="180"/>
      <c r="E42" s="180"/>
      <c r="F42" s="96"/>
      <c r="G42" s="730" t="s">
        <v>761</v>
      </c>
      <c r="H42" s="731"/>
      <c r="I42" s="731"/>
      <c r="J42" s="732"/>
      <c r="K42" s="96"/>
    </row>
    <row r="43" spans="2:11" ht="16.5">
      <c r="B43" s="98"/>
      <c r="C43" s="425" t="s">
        <v>262</v>
      </c>
      <c r="D43" s="427" t="s">
        <v>263</v>
      </c>
      <c r="E43" s="312" t="s">
        <v>264</v>
      </c>
      <c r="F43" s="96"/>
      <c r="G43" s="627"/>
      <c r="H43" s="529"/>
      <c r="I43" s="605"/>
      <c r="J43" s="628"/>
      <c r="K43" s="96"/>
    </row>
    <row r="44" spans="2:11" ht="16.5">
      <c r="B44" s="436">
        <f>inputPrYr!B28</f>
        <v>0</v>
      </c>
      <c r="C44" s="426" t="str">
        <f>C6</f>
        <v>Actual for 2013</v>
      </c>
      <c r="D44" s="426" t="str">
        <f>D6</f>
        <v>Estimate for 2014</v>
      </c>
      <c r="E44" s="264" t="str">
        <f>E6</f>
        <v>Year for 2015</v>
      </c>
      <c r="F44" s="96"/>
      <c r="G44" s="629" t="str">
        <f>summ!H18</f>
        <v> </v>
      </c>
      <c r="H44" s="529" t="str">
        <f>CONCATENATE("",E3," Fund Mill Rate")</f>
        <v>2015 Fund Mill Rate</v>
      </c>
      <c r="I44" s="605"/>
      <c r="J44" s="628"/>
      <c r="K44" s="96"/>
    </row>
    <row r="45" spans="2:11" ht="16.5">
      <c r="B45" s="219" t="s">
        <v>118</v>
      </c>
      <c r="C45" s="420"/>
      <c r="D45" s="424">
        <f>C74</f>
        <v>0</v>
      </c>
      <c r="E45" s="160">
        <f>D74</f>
        <v>0</v>
      </c>
      <c r="F45" s="96"/>
      <c r="G45" s="630" t="str">
        <f>summ!E18</f>
        <v>  </v>
      </c>
      <c r="H45" s="529" t="str">
        <f>CONCATENATE("",E3-1," Fund Mill Rate")</f>
        <v>2014 Fund Mill Rate</v>
      </c>
      <c r="I45" s="605"/>
      <c r="J45" s="628"/>
      <c r="K45" s="96"/>
    </row>
    <row r="46" spans="2:11" ht="16.5">
      <c r="B46" s="236" t="s">
        <v>120</v>
      </c>
      <c r="C46" s="313"/>
      <c r="D46" s="313"/>
      <c r="E46" s="159"/>
      <c r="F46" s="96"/>
      <c r="G46" s="631">
        <f>summ!H23</f>
        <v>4.962</v>
      </c>
      <c r="H46" s="529" t="str">
        <f>CONCATENATE("Total ",E3," Mill Rate")</f>
        <v>Total 2015 Mill Rate</v>
      </c>
      <c r="I46" s="605"/>
      <c r="J46" s="628"/>
      <c r="K46" s="96"/>
    </row>
    <row r="47" spans="2:11" ht="16.5">
      <c r="B47" s="219" t="s">
        <v>27</v>
      </c>
      <c r="C47" s="420"/>
      <c r="D47" s="313">
        <f>IF(inputPrYr!H23&gt;0,inputPrYr!G28,inputPrYr!G28)</f>
        <v>0</v>
      </c>
      <c r="E47" s="230" t="s">
        <v>21</v>
      </c>
      <c r="F47" s="96"/>
      <c r="G47" s="630">
        <f>summ!E23</f>
        <v>4.911</v>
      </c>
      <c r="H47" s="632" t="str">
        <f>CONCATENATE("Total ",E3-1," Mill Rate")</f>
        <v>Total 2014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6.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6.5">
      <c r="B65" s="314"/>
      <c r="C65" s="420"/>
      <c r="D65" s="420"/>
      <c r="E65" s="291"/>
      <c r="F65" s="96"/>
      <c r="G65" s="739" t="str">
        <f>CONCATENATE("Desired Carryover Into ",E3+1,"")</f>
        <v>Desired Carryover Into 2016</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2015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6.5">
      <c r="B72" s="222" t="s">
        <v>580</v>
      </c>
      <c r="C72" s="422">
        <f>IF(C73*0.1&lt;C71,"Exceed 10% Rule","")</f>
      </c>
      <c r="D72" s="422">
        <f>IF(D73*0.1&lt;D71,"Exceed 10% Rule","")</f>
      </c>
      <c r="E72" s="437">
        <f>IF(E73*0.1&lt;E71,"Exceed 10% Rule","")</f>
      </c>
      <c r="F72" s="96"/>
      <c r="G72" s="739" t="str">
        <f>CONCATENATE("Projected Carryover Into ",E3+1,"")</f>
        <v>Projected Carryover Into 2016</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2014 Ending Cash Balance (est.)</v>
      </c>
      <c r="I74" s="621"/>
      <c r="J74" s="527"/>
      <c r="K74" s="96"/>
    </row>
    <row r="75" spans="2:11" ht="15.75">
      <c r="B75" s="181" t="str">
        <f>CONCATENATE("",E3-2,"/",E3-1," Budget Authority Amount:")</f>
        <v>2013/2014 Budget Authority Amount:</v>
      </c>
      <c r="C75" s="193">
        <f>inputOth!B105</f>
        <v>0</v>
      </c>
      <c r="D75" s="170">
        <f>inputPrYr!D28</f>
        <v>0</v>
      </c>
      <c r="E75" s="230" t="s">
        <v>21</v>
      </c>
      <c r="F75" s="96"/>
      <c r="G75" s="528">
        <f>E60</f>
        <v>0</v>
      </c>
      <c r="H75" s="530" t="str">
        <f>CONCATENATE("",E3," Non-AV Receipts (est.)")</f>
        <v>2015 Non-AV Receipts (est.)</v>
      </c>
      <c r="I75" s="621"/>
      <c r="J75" s="527"/>
      <c r="K75" s="96"/>
    </row>
    <row r="76" spans="2:11" ht="16.5">
      <c r="B76" s="181"/>
      <c r="C76" s="735" t="s">
        <v>675</v>
      </c>
      <c r="D76" s="736"/>
      <c r="E76" s="291"/>
      <c r="F76" s="622">
        <f>IF(E73/0.95-E73&lt;E76,"Exceeds 5%","")</f>
      </c>
      <c r="G76" s="531">
        <f>IF(E79&gt;0,E78,E80)</f>
        <v>0</v>
      </c>
      <c r="H76" s="530" t="str">
        <f>CONCATENATE("",E3," Ad Valorem Tax (est.)")</f>
        <v>2015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2015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2013 Expenditures + 5%</v>
      </c>
      <c r="I79" s="527"/>
      <c r="J79" s="527"/>
      <c r="K79" s="96"/>
    </row>
    <row r="80" spans="2:11" ht="15.75">
      <c r="B80" s="98"/>
      <c r="C80" s="733" t="str">
        <f>CONCATENATE("Amount of  ",$E$3-1," Ad Valorem Tax")</f>
        <v>Amount of  2014 Ad Valorem Tax</v>
      </c>
      <c r="D80" s="734"/>
      <c r="E80" s="163">
        <f>E78+E79</f>
        <v>0</v>
      </c>
      <c r="F80" s="96"/>
      <c r="G80" s="638">
        <f>G77-G79</f>
        <v>0</v>
      </c>
      <c r="H80" s="545" t="str">
        <f>CONCATENATE("Projected ",E3+1," carryover (est.)")</f>
        <v>Projected 2016 carryover (est.)</v>
      </c>
      <c r="I80" s="534"/>
      <c r="J80" s="626"/>
      <c r="K80" s="96"/>
    </row>
    <row r="81" spans="2:11" ht="15.75">
      <c r="B81" s="98"/>
      <c r="C81" s="171"/>
      <c r="D81" s="171"/>
      <c r="E81" s="171"/>
      <c r="F81" s="96"/>
      <c r="G81" s="619"/>
      <c r="H81" s="619"/>
      <c r="I81" s="619"/>
      <c r="J81" s="96"/>
      <c r="K81" s="96"/>
    </row>
    <row r="82" spans="2:11" ht="16.5">
      <c r="B82" s="181" t="s">
        <v>37</v>
      </c>
      <c r="C82" s="204"/>
      <c r="D82" s="98"/>
      <c r="E82" s="98"/>
      <c r="F82" s="96"/>
      <c r="G82" s="730" t="s">
        <v>761</v>
      </c>
      <c r="H82" s="731"/>
      <c r="I82" s="731"/>
      <c r="J82" s="732"/>
      <c r="K82" s="96"/>
    </row>
    <row r="83" spans="6:11" ht="16.5">
      <c r="F83" s="96"/>
      <c r="G83" s="627"/>
      <c r="H83" s="529"/>
      <c r="I83" s="605"/>
      <c r="J83" s="628"/>
      <c r="K83" s="96"/>
    </row>
    <row r="84" spans="6:11" ht="16.5">
      <c r="F84" s="96"/>
      <c r="G84" s="629" t="str">
        <f>summ!H19</f>
        <v> </v>
      </c>
      <c r="H84" s="529" t="str">
        <f>CONCATENATE("",E3," Fund Mill Rate")</f>
        <v>2015 Fund Mill Rate</v>
      </c>
      <c r="I84" s="605"/>
      <c r="J84" s="628"/>
      <c r="K84" s="96"/>
    </row>
    <row r="85" spans="6:11" ht="16.5">
      <c r="F85" s="96"/>
      <c r="G85" s="630" t="str">
        <f>summ!E19</f>
        <v>  </v>
      </c>
      <c r="H85" s="529" t="str">
        <f>CONCATENATE("",E3-1," Fund Mill Rate")</f>
        <v>2014 Fund Mill Rate</v>
      </c>
      <c r="I85" s="605"/>
      <c r="J85" s="628"/>
      <c r="K85" s="96"/>
    </row>
    <row r="86" spans="6:11" ht="16.5">
      <c r="F86" s="96"/>
      <c r="G86" s="631">
        <f>summ!H23</f>
        <v>4.962</v>
      </c>
      <c r="H86" s="529" t="str">
        <f>CONCATENATE("Total ",E3," Mill Rate")</f>
        <v>Total 2015 Mill Rate</v>
      </c>
      <c r="I86" s="605"/>
      <c r="J86" s="628"/>
      <c r="K86" s="96"/>
    </row>
    <row r="87" spans="6:11" ht="16.5">
      <c r="F87" s="96"/>
      <c r="G87" s="630">
        <f>summ!E23</f>
        <v>4.911</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Glasco Fire District # 2</v>
      </c>
      <c r="C1" s="177"/>
      <c r="D1" s="98"/>
      <c r="E1" s="276"/>
    </row>
    <row r="2" spans="2:5" ht="15.75">
      <c r="B2" s="98" t="str">
        <f>inputPrYr!D4</f>
        <v>Cloud County</v>
      </c>
      <c r="C2" s="177"/>
      <c r="D2" s="98"/>
      <c r="E2" s="181"/>
    </row>
    <row r="3" spans="2:6" ht="15.75">
      <c r="B3" s="109"/>
      <c r="C3" s="177"/>
      <c r="D3" s="177"/>
      <c r="E3" s="311"/>
      <c r="F3" s="146">
        <f>inputPrYr!D11</f>
        <v>2015</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2013</v>
      </c>
      <c r="D6" s="264" t="str">
        <f>CONCATENATE("Estimate for ",F3-1,"")</f>
        <v>Estimate for 2014</v>
      </c>
      <c r="E6" s="264" t="str">
        <f>CONCATENATE("Year for ",F3,"")</f>
        <v>Year for 2015</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2013/2014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2013</v>
      </c>
      <c r="D40" s="264" t="str">
        <f>D6</f>
        <v>Estimate for 2014</v>
      </c>
      <c r="E40" s="264" t="str">
        <f>E6</f>
        <v>Year for 2015</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2013/2014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0" sqref="B20"/>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Glasco Fire District # 2</v>
      </c>
      <c r="B1" s="337"/>
      <c r="C1" s="178"/>
      <c r="D1" s="178"/>
      <c r="E1" s="178"/>
      <c r="F1" s="338" t="s">
        <v>266</v>
      </c>
      <c r="G1" s="178"/>
      <c r="H1" s="178"/>
      <c r="I1" s="178"/>
      <c r="J1" s="178"/>
      <c r="K1" s="178">
        <f>inputPrYr!$D$11</f>
        <v>2015</v>
      </c>
    </row>
    <row r="2" spans="1:11" ht="15.75">
      <c r="A2" s="178"/>
      <c r="B2" s="178"/>
      <c r="C2" s="178"/>
      <c r="D2" s="178"/>
      <c r="E2" s="178"/>
      <c r="F2" s="339" t="str">
        <f>CONCATENATE("(Only the actual budget year for ",K1-2," is to be shown)")</f>
        <v>(Only the actual budget year for 2013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t="str">
        <f>inputPrYr!B35</f>
        <v>Machinery &amp; Equipment </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v>44273</v>
      </c>
      <c r="C7" s="350" t="s">
        <v>274</v>
      </c>
      <c r="D7" s="349"/>
      <c r="E7" s="350" t="s">
        <v>274</v>
      </c>
      <c r="F7" s="349"/>
      <c r="G7" s="350" t="s">
        <v>274</v>
      </c>
      <c r="H7" s="349"/>
      <c r="I7" s="350" t="s">
        <v>274</v>
      </c>
      <c r="J7" s="349"/>
      <c r="K7" s="351">
        <f>SUM(B7+D7+F7+H7+J7)</f>
        <v>44273</v>
      </c>
    </row>
    <row r="8" spans="1:11" ht="15.75">
      <c r="A8" s="352" t="s">
        <v>120</v>
      </c>
      <c r="B8" s="353"/>
      <c r="C8" s="352" t="s">
        <v>120</v>
      </c>
      <c r="D8" s="354"/>
      <c r="E8" s="352" t="s">
        <v>120</v>
      </c>
      <c r="F8" s="337"/>
      <c r="G8" s="352" t="s">
        <v>120</v>
      </c>
      <c r="H8" s="178"/>
      <c r="I8" s="352" t="s">
        <v>120</v>
      </c>
      <c r="J8" s="178"/>
      <c r="K8" s="337"/>
    </row>
    <row r="9" spans="1:11" ht="15.75">
      <c r="A9" s="355" t="s">
        <v>827</v>
      </c>
      <c r="B9" s="349">
        <v>46</v>
      </c>
      <c r="C9" s="355"/>
      <c r="D9" s="349"/>
      <c r="E9" s="355"/>
      <c r="F9" s="349"/>
      <c r="G9" s="355"/>
      <c r="H9" s="349"/>
      <c r="I9" s="355"/>
      <c r="J9" s="349"/>
      <c r="K9" s="337"/>
    </row>
    <row r="10" spans="1:11" ht="15.75">
      <c r="A10" s="355" t="s">
        <v>828</v>
      </c>
      <c r="B10" s="349">
        <v>14000</v>
      </c>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14046</v>
      </c>
      <c r="C17" s="352" t="s">
        <v>32</v>
      </c>
      <c r="D17" s="351">
        <f>SUM(D9:D16)</f>
        <v>0</v>
      </c>
      <c r="E17" s="352" t="s">
        <v>32</v>
      </c>
      <c r="F17" s="365">
        <f>SUM(F9:F16)</f>
        <v>0</v>
      </c>
      <c r="G17" s="352" t="s">
        <v>32</v>
      </c>
      <c r="H17" s="351">
        <f>SUM(H9:H16)</f>
        <v>0</v>
      </c>
      <c r="I17" s="352" t="s">
        <v>32</v>
      </c>
      <c r="J17" s="351">
        <f>SUM(J9:J16)</f>
        <v>0</v>
      </c>
      <c r="K17" s="351">
        <f>SUM(B17+D17+F17+H17+J17)</f>
        <v>14046</v>
      </c>
    </row>
    <row r="18" spans="1:11" ht="15.75">
      <c r="A18" s="352" t="s">
        <v>33</v>
      </c>
      <c r="B18" s="351">
        <f>SUM(B7+B17)</f>
        <v>58319</v>
      </c>
      <c r="C18" s="352" t="s">
        <v>33</v>
      </c>
      <c r="D18" s="351">
        <f>SUM(D7+D17)</f>
        <v>0</v>
      </c>
      <c r="E18" s="352" t="s">
        <v>33</v>
      </c>
      <c r="F18" s="351">
        <f>SUM(F7+F17)</f>
        <v>0</v>
      </c>
      <c r="G18" s="352" t="s">
        <v>33</v>
      </c>
      <c r="H18" s="351">
        <f>SUM(H7+H17)</f>
        <v>0</v>
      </c>
      <c r="I18" s="352" t="s">
        <v>33</v>
      </c>
      <c r="J18" s="351">
        <f>SUM(J7+J17)</f>
        <v>0</v>
      </c>
      <c r="K18" s="351">
        <f>SUM(B18+D18+F18+H18+J18)</f>
        <v>58319</v>
      </c>
    </row>
    <row r="19" spans="1:11" ht="15.75">
      <c r="A19" s="352" t="s">
        <v>34</v>
      </c>
      <c r="B19" s="353"/>
      <c r="C19" s="352" t="s">
        <v>34</v>
      </c>
      <c r="D19" s="354"/>
      <c r="E19" s="352" t="s">
        <v>34</v>
      </c>
      <c r="F19" s="337"/>
      <c r="G19" s="352" t="s">
        <v>34</v>
      </c>
      <c r="H19" s="178"/>
      <c r="I19" s="352" t="s">
        <v>34</v>
      </c>
      <c r="J19" s="178"/>
      <c r="K19" s="337"/>
    </row>
    <row r="20" spans="1:11" ht="15.75">
      <c r="A20" s="355" t="s">
        <v>829</v>
      </c>
      <c r="B20" s="349">
        <v>1700</v>
      </c>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1700</v>
      </c>
      <c r="C28" s="352" t="s">
        <v>35</v>
      </c>
      <c r="D28" s="351">
        <f>SUM(D20:D27)</f>
        <v>0</v>
      </c>
      <c r="E28" s="352" t="s">
        <v>35</v>
      </c>
      <c r="F28" s="365">
        <f>SUM(F20:F27)</f>
        <v>0</v>
      </c>
      <c r="G28" s="352" t="s">
        <v>35</v>
      </c>
      <c r="H28" s="365">
        <f>SUM(H20:H27)</f>
        <v>0</v>
      </c>
      <c r="I28" s="352" t="s">
        <v>35</v>
      </c>
      <c r="J28" s="351">
        <f>SUM(J20:J27)</f>
        <v>0</v>
      </c>
      <c r="K28" s="351">
        <f>SUM(B28+D28+F28+H28+J28)</f>
        <v>1700</v>
      </c>
    </row>
    <row r="29" spans="1:12" ht="15.75">
      <c r="A29" s="352" t="s">
        <v>275</v>
      </c>
      <c r="B29" s="351">
        <f>SUM(B18-B28)</f>
        <v>56619</v>
      </c>
      <c r="C29" s="352" t="s">
        <v>275</v>
      </c>
      <c r="D29" s="351">
        <f>SUM(D18-D28)</f>
        <v>0</v>
      </c>
      <c r="E29" s="352" t="s">
        <v>275</v>
      </c>
      <c r="F29" s="351">
        <f>SUM(F18-F28)</f>
        <v>0</v>
      </c>
      <c r="G29" s="352" t="s">
        <v>275</v>
      </c>
      <c r="H29" s="351">
        <f>SUM(H18-H28)</f>
        <v>0</v>
      </c>
      <c r="I29" s="352" t="s">
        <v>275</v>
      </c>
      <c r="J29" s="351">
        <f>SUM(J18-J28)</f>
        <v>0</v>
      </c>
      <c r="K29" s="366">
        <f>SUM(B29+D29+F29+H29+J29)</f>
        <v>56619</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56619</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8.75">
      <c r="A1" s="370" t="s">
        <v>298</v>
      </c>
    </row>
    <row r="2" ht="16.5">
      <c r="A2" s="146"/>
    </row>
    <row r="3" ht="16.5">
      <c r="A3" s="146"/>
    </row>
    <row r="4" ht="56.25" customHeight="1">
      <c r="A4" s="371" t="s">
        <v>299</v>
      </c>
    </row>
    <row r="5" ht="16.5">
      <c r="A5" s="372"/>
    </row>
    <row r="6" ht="16.5">
      <c r="A6" s="146"/>
    </row>
    <row r="7" ht="50.25" customHeight="1">
      <c r="A7" s="371" t="s">
        <v>300</v>
      </c>
    </row>
    <row r="8" ht="16.5">
      <c r="A8" s="146"/>
    </row>
    <row r="9" ht="16.5">
      <c r="A9" s="146"/>
    </row>
    <row r="10" ht="52.5" customHeight="1">
      <c r="A10" s="371" t="s">
        <v>301</v>
      </c>
    </row>
    <row r="11" ht="16.5">
      <c r="A11" s="146"/>
    </row>
    <row r="12" ht="16.5">
      <c r="A12" s="146"/>
    </row>
    <row r="13" ht="52.5" customHeight="1">
      <c r="A13" s="371" t="s">
        <v>302</v>
      </c>
    </row>
    <row r="14" ht="16.5">
      <c r="A14" s="372"/>
    </row>
    <row r="15" ht="16.5">
      <c r="A15" s="372"/>
    </row>
    <row r="16" ht="51" customHeight="1">
      <c r="A16" s="443" t="s">
        <v>585</v>
      </c>
    </row>
    <row r="17" ht="16.5">
      <c r="A17" s="372"/>
    </row>
    <row r="18" ht="16.5">
      <c r="A18" s="372"/>
    </row>
    <row r="19" ht="37.5" customHeight="1">
      <c r="A19" s="371" t="s">
        <v>303</v>
      </c>
    </row>
    <row r="20" ht="16.5">
      <c r="A20" s="146"/>
    </row>
    <row r="21" ht="16.5">
      <c r="A21" s="146"/>
    </row>
    <row r="22" ht="31.5">
      <c r="A22" s="371" t="s">
        <v>304</v>
      </c>
    </row>
    <row r="23" ht="16.5">
      <c r="A23" s="372"/>
    </row>
    <row r="24" ht="16.5">
      <c r="A24" s="146"/>
    </row>
    <row r="25" ht="67.5" customHeight="1">
      <c r="A25" s="371" t="s">
        <v>305</v>
      </c>
    </row>
    <row r="26" ht="68.25" customHeight="1">
      <c r="A26" s="373" t="s">
        <v>306</v>
      </c>
    </row>
    <row r="27" ht="16.5">
      <c r="A27" s="146"/>
    </row>
    <row r="28" ht="16.5">
      <c r="A28" s="146"/>
    </row>
    <row r="29" ht="51" customHeight="1">
      <c r="A29" s="445" t="s">
        <v>586</v>
      </c>
    </row>
    <row r="30" ht="16.5">
      <c r="A30" s="146"/>
    </row>
    <row r="31" ht="16.5">
      <c r="A31" s="372"/>
    </row>
    <row r="32" ht="69" customHeight="1">
      <c r="A32" s="445" t="s">
        <v>587</v>
      </c>
    </row>
    <row r="33" ht="16.5">
      <c r="A33" s="372"/>
    </row>
    <row r="34" ht="16.5">
      <c r="A34" s="372"/>
    </row>
    <row r="35" ht="52.5" customHeight="1">
      <c r="A35" s="445" t="s">
        <v>588</v>
      </c>
    </row>
    <row r="36" ht="16.5">
      <c r="A36" s="372"/>
    </row>
    <row r="37" ht="16.5">
      <c r="A37" s="372"/>
    </row>
    <row r="38" ht="59.25" customHeight="1">
      <c r="A38" s="371" t="s">
        <v>307</v>
      </c>
    </row>
    <row r="39" ht="16.5">
      <c r="A39" s="146"/>
    </row>
    <row r="40" ht="16.5">
      <c r="A40" s="146"/>
    </row>
    <row r="41" ht="53.25" customHeight="1">
      <c r="A41" s="371" t="s">
        <v>308</v>
      </c>
    </row>
    <row r="42" ht="16.5">
      <c r="A42" s="372"/>
    </row>
    <row r="43" ht="16.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E43" sqref="E43"/>
    </sheetView>
  </sheetViews>
  <sheetFormatPr defaultColWidth="8.89843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6.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2015</v>
      </c>
    </row>
    <row r="4" spans="1:8" ht="15.75">
      <c r="A4" s="689" t="str">
        <f>inputPrYr!D3</f>
        <v>Glasco Fire District # 2</v>
      </c>
      <c r="B4" s="689"/>
      <c r="C4" s="689"/>
      <c r="D4" s="689"/>
      <c r="E4" s="689"/>
      <c r="F4" s="689"/>
      <c r="G4" s="689"/>
      <c r="H4" s="689"/>
    </row>
    <row r="5" spans="1:8" ht="15.75">
      <c r="A5" s="749" t="str">
        <f>inputPrYr!D4</f>
        <v>Cloud County</v>
      </c>
      <c r="B5" s="749"/>
      <c r="C5" s="749"/>
      <c r="D5" s="749"/>
      <c r="E5" s="749"/>
      <c r="F5" s="749"/>
      <c r="G5" s="749"/>
      <c r="H5" s="749"/>
    </row>
    <row r="6" spans="1:8" ht="15.75">
      <c r="A6" s="751" t="str">
        <f>CONCATENATE("will meet on ",inputBudSum!B7," at ",inputBudSum!B9," at ",inputBudSum!B11," for the purpose of hearing and")</f>
        <v>will meet on August 24, 2014 at 7:00 p.m.  at Justin Schmidt residence - 424 N. 90th Rd. - Glasco, Ks.   for the purpose of hearing and</v>
      </c>
      <c r="B6" s="751"/>
      <c r="C6" s="751"/>
      <c r="D6" s="751"/>
      <c r="E6" s="751"/>
      <c r="F6" s="751"/>
      <c r="G6" s="751"/>
      <c r="H6" s="751"/>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Justin Schmidt residence - 424 N 90th Rd. - Glasco, Ks.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2015 Expenditures and Amount of 2014 Ad Valorem Tax establish the maximum limits</v>
      </c>
      <c r="B10" s="108"/>
      <c r="C10" s="108"/>
      <c r="D10" s="108"/>
      <c r="E10" s="108"/>
      <c r="F10" s="108"/>
      <c r="G10" s="108"/>
      <c r="H10" s="108"/>
    </row>
    <row r="11" spans="1:13" ht="16.5">
      <c r="A11" s="148" t="str">
        <f>CONCATENATE("of the ",I3," budget.  Estimated Tax Rate is subject to change depending on the final assessed valuation.")</f>
        <v>of the 2015 budget.  Estimated Tax Rate is subject to change depending on the final assessed valuation.</v>
      </c>
      <c r="B11" s="108"/>
      <c r="C11" s="108"/>
      <c r="D11" s="108"/>
      <c r="E11" s="108"/>
      <c r="F11" s="108"/>
      <c r="G11" s="108"/>
      <c r="H11" s="108"/>
      <c r="J11" s="753" t="str">
        <f>CONCATENATE("Estimated Value Of One Mill For ",I3,"")</f>
        <v>Estimated Value Of One Mill For 2015</v>
      </c>
      <c r="K11" s="754"/>
      <c r="L11" s="754"/>
      <c r="M11" s="755"/>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2013</v>
      </c>
      <c r="C13" s="151"/>
      <c r="D13" s="152" t="str">
        <f>CONCATENATE("Current Year Estimate for ",I3-1,"")</f>
        <v>Current Year Estimate for 2014</v>
      </c>
      <c r="E13" s="151"/>
      <c r="F13" s="150" t="str">
        <f>CONCATENATE("Proposed Budget Year for ",I3,"")</f>
        <v>Proposed Budget Year for 2015</v>
      </c>
      <c r="G13" s="153"/>
      <c r="H13" s="151"/>
      <c r="J13" s="549" t="s">
        <v>681</v>
      </c>
      <c r="K13" s="550"/>
      <c r="L13" s="550"/>
      <c r="M13" s="551">
        <f>ROUND(F27/1000,0)</f>
        <v>9649</v>
      </c>
    </row>
    <row r="14" spans="1:13" ht="15.75">
      <c r="A14" s="156"/>
      <c r="B14" s="154"/>
      <c r="C14" s="155" t="s">
        <v>44</v>
      </c>
      <c r="D14" s="154"/>
      <c r="E14" s="155" t="s">
        <v>44</v>
      </c>
      <c r="F14" s="156" t="s">
        <v>220</v>
      </c>
      <c r="G14" s="747" t="str">
        <f>CONCATENATE("Amount of ",I3-1," Ad Valorem Tax")</f>
        <v>Amount of 2014 Ad Valorem Tax</v>
      </c>
      <c r="H14" s="155" t="s">
        <v>684</v>
      </c>
      <c r="J14" s="96"/>
      <c r="K14" s="96"/>
      <c r="L14" s="96"/>
      <c r="M14" s="96"/>
    </row>
    <row r="15" spans="1:13" ht="16.5">
      <c r="A15" s="263" t="s">
        <v>45</v>
      </c>
      <c r="B15" s="157" t="s">
        <v>46</v>
      </c>
      <c r="C15" s="158" t="s">
        <v>174</v>
      </c>
      <c r="D15" s="157" t="s">
        <v>46</v>
      </c>
      <c r="E15" s="158" t="s">
        <v>174</v>
      </c>
      <c r="F15" s="157" t="s">
        <v>578</v>
      </c>
      <c r="G15" s="748"/>
      <c r="H15" s="158" t="s">
        <v>174</v>
      </c>
      <c r="J15" s="753" t="str">
        <f>CONCATENATE("Want The Mill Rate The Same As For ",I3-1,"?")</f>
        <v>Want The Mill Rate The Same As For 2014?</v>
      </c>
      <c r="K15" s="756"/>
      <c r="L15" s="756"/>
      <c r="M15" s="757"/>
    </row>
    <row r="16" spans="1:13" ht="15.75">
      <c r="A16" s="132" t="str">
        <f>inputPrYr!B24</f>
        <v>General</v>
      </c>
      <c r="B16" s="160">
        <f>IF(gen!$C$61&lt;&gt;0,gen!$C$61,"  ")</f>
        <v>57284</v>
      </c>
      <c r="C16" s="663">
        <f>IF(inputPrYr!D43&gt;0,inputPrYr!D43,"  ")</f>
        <v>4.548</v>
      </c>
      <c r="D16" s="160">
        <f>IF(gen!$D$61&lt;&gt;0,gen!$D$61,"  ")</f>
        <v>57250</v>
      </c>
      <c r="E16" s="663">
        <f>IF(inputOth!D46&gt;0,inputOth!D46,"  ")</f>
        <v>4.911</v>
      </c>
      <c r="F16" s="160">
        <f>IF(gen!$E$61&lt;&gt;0,gen!$E$61,"  ")</f>
        <v>53450</v>
      </c>
      <c r="G16" s="160">
        <f>IF(gen!$E$68&lt;&gt;0,gen!$E$68,"  ")</f>
        <v>47880</v>
      </c>
      <c r="H16" s="663">
        <f>IF(gen!E68&gt;0,ROUND(G16/$F$27*1000,3)," ")</f>
        <v>4.962</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2014 Mill Rate Was:</v>
      </c>
      <c r="K17" s="547"/>
      <c r="L17" s="547"/>
      <c r="M17" s="554">
        <f>E23</f>
        <v>4.911</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2015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-493</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t="str">
        <f>IF((inputPrYr!$B$35&gt;" "),(NonBud!$A$3),"")</f>
        <v>Non-Budgeted Funds</v>
      </c>
      <c r="B22" s="668">
        <f>IF(NonBud!K28&gt;0,NonBud!K28,"")</f>
        <v>1700</v>
      </c>
      <c r="C22" s="666"/>
      <c r="D22" s="668"/>
      <c r="E22" s="666"/>
      <c r="F22" s="668"/>
      <c r="G22" s="566"/>
      <c r="H22" s="666"/>
      <c r="J22" s="753" t="str">
        <f>CONCATENATE("Impact On Keeping The Same Mill Rate As For ",I3-1,"")</f>
        <v>Impact On Keeping The Same Mill Rate As For 2014</v>
      </c>
      <c r="K22" s="758"/>
      <c r="L22" s="758"/>
      <c r="M22" s="759"/>
    </row>
    <row r="23" spans="1:13" ht="15.75">
      <c r="A23" s="118" t="s">
        <v>127</v>
      </c>
      <c r="B23" s="565">
        <f>SUM(B16:B22)</f>
        <v>58984</v>
      </c>
      <c r="C23" s="667">
        <f aca="true" t="shared" si="0" ref="C23:H23">SUM(C16:C21)</f>
        <v>4.548</v>
      </c>
      <c r="D23" s="565">
        <f t="shared" si="0"/>
        <v>57250</v>
      </c>
      <c r="E23" s="667">
        <f t="shared" si="0"/>
        <v>4.911</v>
      </c>
      <c r="F23" s="565">
        <f t="shared" si="0"/>
        <v>53450</v>
      </c>
      <c r="G23" s="565">
        <f>SUM(G16:G21)</f>
        <v>47880</v>
      </c>
      <c r="H23" s="667">
        <f t="shared" si="0"/>
        <v>4.962</v>
      </c>
      <c r="J23" s="552"/>
      <c r="K23" s="547"/>
      <c r="L23" s="547"/>
      <c r="M23" s="553"/>
    </row>
    <row r="24" spans="1:13" ht="15.75">
      <c r="A24" s="118" t="s">
        <v>178</v>
      </c>
      <c r="B24" s="160">
        <f>transfers!C26</f>
        <v>14000</v>
      </c>
      <c r="C24" s="164"/>
      <c r="D24" s="160">
        <f>transfers!D26</f>
        <v>10000</v>
      </c>
      <c r="E24" s="164"/>
      <c r="F24" s="126">
        <f>transfers!E26</f>
        <v>8000</v>
      </c>
      <c r="G24" s="165"/>
      <c r="H24" s="166"/>
      <c r="J24" s="552" t="str">
        <f>CONCATENATE("",I3," Ad Valorem Tax Revenue:")</f>
        <v>2015 Ad Valorem Tax Revenue:</v>
      </c>
      <c r="K24" s="547"/>
      <c r="L24" s="547"/>
      <c r="M24" s="548">
        <f>G23</f>
        <v>47880</v>
      </c>
    </row>
    <row r="25" spans="1:13" ht="16.5" thickBot="1">
      <c r="A25" s="118" t="s">
        <v>179</v>
      </c>
      <c r="B25" s="130">
        <f>SUM(B23-B24)</f>
        <v>44984</v>
      </c>
      <c r="C25" s="168"/>
      <c r="D25" s="130">
        <f>SUM(D23-D24)</f>
        <v>47250</v>
      </c>
      <c r="E25" s="168"/>
      <c r="F25" s="669">
        <f>SUM(F23-F24)</f>
        <v>45450</v>
      </c>
      <c r="G25" s="165"/>
      <c r="H25" s="166"/>
      <c r="J25" s="552" t="str">
        <f>CONCATENATE("",I3-1," Ad Valorem Tax Revenue:")</f>
        <v>2014 Ad Valorem Tax Revenue:</v>
      </c>
      <c r="K25" s="547"/>
      <c r="L25" s="547"/>
      <c r="M25" s="560">
        <f>ROUND(F27*M17/1000,0)</f>
        <v>47387</v>
      </c>
    </row>
    <row r="26" spans="1:13" ht="16.5" thickTop="1">
      <c r="A26" s="118" t="s">
        <v>47</v>
      </c>
      <c r="B26" s="221">
        <f>inputPrYr!E50</f>
        <v>45414</v>
      </c>
      <c r="C26" s="156"/>
      <c r="D26" s="221">
        <f>inputPrYr!E29</f>
        <v>50153</v>
      </c>
      <c r="E26" s="156"/>
      <c r="F26" s="326" t="s">
        <v>21</v>
      </c>
      <c r="G26" s="98"/>
      <c r="H26" s="98"/>
      <c r="J26" s="561" t="s">
        <v>682</v>
      </c>
      <c r="K26" s="562"/>
      <c r="L26" s="562"/>
      <c r="M26" s="551">
        <f>M24-M25</f>
        <v>493</v>
      </c>
    </row>
    <row r="27" spans="1:13" ht="16.5" thickBot="1">
      <c r="A27" s="118" t="s">
        <v>212</v>
      </c>
      <c r="B27" s="231">
        <f>inputPrYr!E51</f>
        <v>9987594</v>
      </c>
      <c r="C27" s="156"/>
      <c r="D27" s="231">
        <f>inputOth!E60</f>
        <v>10213401</v>
      </c>
      <c r="E27" s="156"/>
      <c r="F27" s="231">
        <f>inputOth!E12</f>
        <v>9649188</v>
      </c>
      <c r="G27" s="98"/>
      <c r="H27" s="98"/>
      <c r="J27" s="563"/>
      <c r="K27" s="563"/>
      <c r="L27" s="563"/>
      <c r="M27" s="4"/>
    </row>
    <row r="28" spans="1:13" ht="17.25" thickTop="1">
      <c r="A28" s="101"/>
      <c r="B28" s="165"/>
      <c r="C28" s="105"/>
      <c r="D28" s="165"/>
      <c r="E28" s="105"/>
      <c r="F28" s="165"/>
      <c r="G28" s="98"/>
      <c r="H28" s="98"/>
      <c r="J28" s="753" t="s">
        <v>683</v>
      </c>
      <c r="K28" s="756"/>
      <c r="L28" s="756"/>
      <c r="M28" s="757"/>
    </row>
    <row r="29" spans="1:13" ht="15.75">
      <c r="A29" s="97" t="s">
        <v>48</v>
      </c>
      <c r="B29" s="98"/>
      <c r="C29" s="98"/>
      <c r="D29" s="98"/>
      <c r="E29" s="98"/>
      <c r="F29" s="98"/>
      <c r="G29" s="98"/>
      <c r="H29" s="98"/>
      <c r="J29" s="552"/>
      <c r="K29" s="547"/>
      <c r="L29" s="547"/>
      <c r="M29" s="553"/>
    </row>
    <row r="30" spans="1:13" ht="15.75">
      <c r="A30" s="97" t="s">
        <v>180</v>
      </c>
      <c r="B30" s="147">
        <f>I3-2</f>
        <v>2013</v>
      </c>
      <c r="C30" s="98"/>
      <c r="D30" s="147">
        <f>I3-1</f>
        <v>2014</v>
      </c>
      <c r="E30" s="98"/>
      <c r="F30" s="147">
        <f>I3</f>
        <v>2015</v>
      </c>
      <c r="G30" s="98"/>
      <c r="H30" s="98"/>
      <c r="J30" s="552" t="str">
        <f>CONCATENATE("Current ",I3," Estimated Mill Rate:")</f>
        <v>Current 2015 Estimated Mill Rate:</v>
      </c>
      <c r="K30" s="547"/>
      <c r="L30" s="547"/>
      <c r="M30" s="554">
        <f>H23</f>
        <v>4.962</v>
      </c>
    </row>
    <row r="31" spans="1:13" ht="15.75">
      <c r="A31" s="97" t="s">
        <v>49</v>
      </c>
      <c r="B31" s="170">
        <f>inputPrYr!D54</f>
        <v>0</v>
      </c>
      <c r="C31" s="171"/>
      <c r="D31" s="170">
        <f>inputPrYr!E54</f>
        <v>0</v>
      </c>
      <c r="E31" s="98"/>
      <c r="F31" s="170">
        <f>debt!F12</f>
        <v>0</v>
      </c>
      <c r="G31" s="98"/>
      <c r="H31" s="138"/>
      <c r="J31" s="552" t="str">
        <f>CONCATENATE("Desired ",I3," Mill Rate:")</f>
        <v>Desired 2015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2015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2015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6.5">
      <c r="A41" s="752" t="str">
        <f>inputBudSum!B3</f>
        <v>Darlene Schmidt</v>
      </c>
      <c r="B41" s="712"/>
      <c r="C41" s="149"/>
      <c r="D41" s="98"/>
      <c r="E41" s="98"/>
      <c r="F41" s="98"/>
      <c r="G41" s="98"/>
      <c r="H41" s="138"/>
    </row>
    <row r="42" spans="1:8" ht="16.5">
      <c r="A42" s="750" t="str">
        <f>inputBudSum!B5</f>
        <v>Treasurer </v>
      </c>
      <c r="B42" s="742"/>
      <c r="C42" s="98"/>
      <c r="D42" s="181" t="s">
        <v>37</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tabSelected="1" zoomScalePageLayoutView="0" workbookViewId="0" topLeftCell="A1">
      <selection activeCell="B38" sqref="B38:B39"/>
    </sheetView>
  </sheetViews>
  <sheetFormatPr defaultColWidth="8.89843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6.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2015</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6.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2014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2014</v>
      </c>
      <c r="E22" s="690" t="str">
        <f>CONCATENATE("Amount of ",D11-2,"     Ad Valorem Tax")</f>
        <v>Amount of 2013     Ad Valorem Tax</v>
      </c>
      <c r="G22" s="208" t="s">
        <v>752</v>
      </c>
      <c r="H22" s="212" t="s">
        <v>36</v>
      </c>
    </row>
    <row r="23" spans="1:8" ht="15.75">
      <c r="A23" s="97" t="s">
        <v>3</v>
      </c>
      <c r="B23" s="98"/>
      <c r="C23" s="115" t="s">
        <v>4</v>
      </c>
      <c r="D23" s="117" t="s">
        <v>294</v>
      </c>
      <c r="E23" s="691"/>
      <c r="G23" s="157" t="str">
        <f>CONCATENATE("",D11-2," Ad Valorem Tax")</f>
        <v>2013 Ad Valorem Tax</v>
      </c>
      <c r="H23" s="592">
        <v>0</v>
      </c>
    </row>
    <row r="24" spans="1:7" ht="15.75">
      <c r="A24" s="98"/>
      <c r="B24" s="118" t="s">
        <v>5</v>
      </c>
      <c r="C24" s="119" t="s">
        <v>811</v>
      </c>
      <c r="D24" s="120">
        <v>57250</v>
      </c>
      <c r="E24" s="120">
        <v>50153</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2014 Budgeted Year</v>
      </c>
      <c r="B29" s="125"/>
      <c r="C29" s="125"/>
      <c r="D29" s="126"/>
      <c r="E29" s="127">
        <f>SUM(E24:E28)</f>
        <v>50153</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2014 Budgeted Year</v>
      </c>
      <c r="B33" s="125"/>
      <c r="C33" s="129"/>
      <c r="D33" s="130">
        <f>SUM(D24:D25,D27:D28,D31:D32)</f>
        <v>57250</v>
      </c>
      <c r="E33" s="122"/>
    </row>
    <row r="34" spans="1:5" ht="16.5" thickTop="1">
      <c r="A34" s="98" t="s">
        <v>278</v>
      </c>
      <c r="B34" s="98"/>
      <c r="C34" s="98"/>
      <c r="D34" s="98"/>
      <c r="E34" s="122"/>
    </row>
    <row r="35" spans="1:5" ht="15.75">
      <c r="A35" s="98">
        <v>1</v>
      </c>
      <c r="B35" s="131" t="s">
        <v>812</v>
      </c>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2012 Tax Rate         (2013 Column)</v>
      </c>
      <c r="E41" s="122"/>
    </row>
    <row r="42" spans="1:5" ht="15.75">
      <c r="A42" s="113" t="str">
        <f>CONCATENATE("the ",D11-1," Budget, Budget Summary Page")</f>
        <v>the 2014 Budget, Budget Summary Page</v>
      </c>
      <c r="B42" s="114"/>
      <c r="C42" s="98"/>
      <c r="D42" s="686"/>
      <c r="E42" s="122"/>
    </row>
    <row r="43" spans="1:5" ht="15.75">
      <c r="A43" s="98"/>
      <c r="B43" s="132" t="str">
        <f>B24</f>
        <v>General</v>
      </c>
      <c r="C43" s="98"/>
      <c r="D43" s="133">
        <v>4.548</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4.548</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(2013 budget column):</v>
      </c>
      <c r="B50" s="112"/>
      <c r="C50" s="98"/>
      <c r="D50" s="98"/>
      <c r="E50" s="137">
        <v>45414</v>
      </c>
    </row>
    <row r="51" spans="1:5" ht="15.75">
      <c r="A51" s="136" t="str">
        <f>CONCATENATE("Assessed Valuation (",D11-2," budget column):")</f>
        <v>Assessed Valuation (2013 budget column):</v>
      </c>
      <c r="B51" s="112"/>
      <c r="C51" s="98"/>
      <c r="D51" s="98"/>
      <c r="E51" s="137">
        <v>9987594</v>
      </c>
    </row>
    <row r="52" spans="1:5" ht="15.75">
      <c r="A52" s="98"/>
      <c r="B52" s="98"/>
      <c r="C52" s="98"/>
      <c r="D52" s="98"/>
      <c r="E52" s="122"/>
    </row>
    <row r="53" spans="1:5" ht="15.75">
      <c r="A53" s="112" t="s">
        <v>211</v>
      </c>
      <c r="B53" s="112"/>
      <c r="C53" s="138"/>
      <c r="D53" s="139">
        <f>D11-3</f>
        <v>2012</v>
      </c>
      <c r="E53" s="139">
        <f>D11-2</f>
        <v>2013</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796875" style="184" customWidth="1"/>
    <col min="6" max="16384" width="8.8984375" style="184" customWidth="1"/>
  </cols>
  <sheetData>
    <row r="1" spans="1:6" ht="16.5">
      <c r="A1" s="183" t="str">
        <f>inputPrYr!D3</f>
        <v>Glasco Fire District # 2</v>
      </c>
      <c r="B1" s="138"/>
      <c r="C1" s="138"/>
      <c r="D1" s="138"/>
      <c r="E1" s="138"/>
      <c r="F1" s="138">
        <f>inputPrYr!D11</f>
        <v>2015</v>
      </c>
    </row>
    <row r="2" spans="1:6" ht="16.5">
      <c r="A2" s="183"/>
      <c r="B2" s="138"/>
      <c r="C2" s="138"/>
      <c r="D2" s="138"/>
      <c r="E2" s="138"/>
      <c r="F2" s="138"/>
    </row>
    <row r="3" spans="1:6" ht="16.5">
      <c r="A3" s="138"/>
      <c r="B3" s="138"/>
      <c r="C3" s="138"/>
      <c r="D3" s="138"/>
      <c r="E3" s="138"/>
      <c r="F3" s="138"/>
    </row>
    <row r="4" spans="1:6" ht="16.5">
      <c r="A4" s="98"/>
      <c r="B4" s="714" t="str">
        <f>CONCATENATE("",F1," Neighborhood Revitalization Rebate")</f>
        <v>2015 Neighborhood Revitalization Rebate</v>
      </c>
      <c r="C4" s="762"/>
      <c r="D4" s="762"/>
      <c r="E4" s="722"/>
      <c r="F4" s="138"/>
    </row>
    <row r="5" spans="1:6" ht="16.5">
      <c r="A5" s="98"/>
      <c r="B5" s="98"/>
      <c r="C5" s="98"/>
      <c r="D5" s="98"/>
      <c r="E5" s="98"/>
      <c r="F5" s="138"/>
    </row>
    <row r="6" spans="1:6" ht="51.75" customHeight="1">
      <c r="A6" s="98"/>
      <c r="B6" s="187" t="str">
        <f>CONCATENATE("Budgeted Funds                        for ",F1,"")</f>
        <v>Budgeted Funds                        for 2015</v>
      </c>
      <c r="C6" s="187" t="str">
        <f>CONCATENATE("",F1-1," Ad Valorem before Rebate**")</f>
        <v>2014 Ad Valorem before Rebate**</v>
      </c>
      <c r="D6" s="188" t="str">
        <f>CONCATENATE("",F1-1," Mil Rate before Rebate")</f>
        <v>2014 Mil Rate before Rebate</v>
      </c>
      <c r="E6" s="189" t="str">
        <f>CONCATENATE("Estimate ",F1," NR Rebate")</f>
        <v>Estimate 2015 NR Rebate</v>
      </c>
      <c r="F6" s="138"/>
    </row>
    <row r="7" spans="1:6" ht="16.5">
      <c r="A7" s="98"/>
      <c r="B7" s="190" t="str">
        <f>inputPrYr!B24</f>
        <v>General</v>
      </c>
      <c r="C7" s="191"/>
      <c r="D7" s="192">
        <f aca="true" t="shared" si="0" ref="D7:D12">IF(C7&gt;0,C7/$D$18,"")</f>
      </c>
      <c r="E7" s="193">
        <f aca="true" t="shared" si="1" ref="E7:E12">IF(C7&gt;0,ROUND(D7*$D$22,0),"")</f>
      </c>
      <c r="F7" s="138"/>
    </row>
    <row r="8" spans="1:6" ht="16.5">
      <c r="A8" s="98"/>
      <c r="B8" s="190" t="str">
        <f>inputPrYr!B25</f>
        <v>Debt Service</v>
      </c>
      <c r="C8" s="191"/>
      <c r="D8" s="192">
        <f t="shared" si="0"/>
      </c>
      <c r="E8" s="193">
        <f t="shared" si="1"/>
      </c>
      <c r="F8" s="138"/>
    </row>
    <row r="9" spans="1:6" ht="16.5">
      <c r="A9" s="98"/>
      <c r="B9" s="159" t="str">
        <f>IF(inputPrYr!$B27&gt;"  ",(inputPrYr!$B27),"  ")</f>
        <v>  </v>
      </c>
      <c r="C9" s="191"/>
      <c r="D9" s="192">
        <f t="shared" si="0"/>
      </c>
      <c r="E9" s="193">
        <f t="shared" si="1"/>
      </c>
      <c r="F9" s="138"/>
    </row>
    <row r="10" spans="1:6" ht="16.5">
      <c r="A10" s="98"/>
      <c r="B10" s="159" t="str">
        <f>IF(inputPrYr!$B28&gt;"  ",(inputPrYr!$B28),"  ")</f>
        <v>  </v>
      </c>
      <c r="C10" s="191"/>
      <c r="D10" s="192">
        <f t="shared" si="0"/>
      </c>
      <c r="E10" s="193">
        <f t="shared" si="1"/>
      </c>
      <c r="F10" s="138"/>
    </row>
    <row r="11" spans="1:6" ht="16.5">
      <c r="A11" s="98"/>
      <c r="B11" s="159"/>
      <c r="C11" s="191"/>
      <c r="D11" s="192">
        <f t="shared" si="0"/>
      </c>
      <c r="E11" s="193">
        <f t="shared" si="1"/>
      </c>
      <c r="F11" s="138"/>
    </row>
    <row r="12" spans="1:6" ht="16.5">
      <c r="A12" s="98"/>
      <c r="B12" s="159"/>
      <c r="C12" s="191"/>
      <c r="D12" s="192">
        <f t="shared" si="0"/>
      </c>
      <c r="E12" s="193">
        <f t="shared" si="1"/>
      </c>
      <c r="F12" s="138"/>
    </row>
    <row r="13" spans="1:6" ht="17.25" thickBot="1">
      <c r="A13" s="98"/>
      <c r="B13" s="132" t="s">
        <v>215</v>
      </c>
      <c r="C13" s="194">
        <f>SUM(C7:C12)</f>
        <v>0</v>
      </c>
      <c r="D13" s="195">
        <f>SUM(D7:D12)</f>
        <v>0</v>
      </c>
      <c r="E13" s="194">
        <f>SUM(E7:E12)</f>
        <v>0</v>
      </c>
      <c r="F13" s="138"/>
    </row>
    <row r="14" spans="1:6" ht="17.25" thickTop="1">
      <c r="A14" s="98"/>
      <c r="B14" s="98"/>
      <c r="C14" s="98"/>
      <c r="D14" s="98"/>
      <c r="E14" s="98"/>
      <c r="F14" s="138"/>
    </row>
    <row r="15" spans="1:6" ht="16.5">
      <c r="A15" s="98"/>
      <c r="B15" s="98"/>
      <c r="C15" s="98"/>
      <c r="D15" s="98"/>
      <c r="E15" s="98"/>
      <c r="F15" s="138"/>
    </row>
    <row r="16" spans="1:6" ht="16.5">
      <c r="A16" s="763" t="str">
        <f>CONCATENATE("",F1-1," July 1 Valuation:")</f>
        <v>2014 July 1 Valuation:</v>
      </c>
      <c r="B16" s="761"/>
      <c r="C16" s="763"/>
      <c r="D16" s="196">
        <f>inputOth!E12</f>
        <v>9649188</v>
      </c>
      <c r="E16" s="98"/>
      <c r="F16" s="138"/>
    </row>
    <row r="17" spans="1:6" ht="16.5">
      <c r="A17" s="98"/>
      <c r="B17" s="98"/>
      <c r="C17" s="98"/>
      <c r="D17" s="98"/>
      <c r="E17" s="98"/>
      <c r="F17" s="138"/>
    </row>
    <row r="18" spans="1:6" ht="16.5">
      <c r="A18" s="98"/>
      <c r="B18" s="763" t="s">
        <v>330</v>
      </c>
      <c r="C18" s="763"/>
      <c r="D18" s="197">
        <f>IF(D16&gt;0,(D16*0.001),"")</f>
        <v>9649.188</v>
      </c>
      <c r="E18" s="98"/>
      <c r="F18" s="138"/>
    </row>
    <row r="19" spans="1:6" ht="16.5">
      <c r="A19" s="98"/>
      <c r="B19" s="181"/>
      <c r="C19" s="181"/>
      <c r="D19" s="198"/>
      <c r="E19" s="98"/>
      <c r="F19" s="138"/>
    </row>
    <row r="20" spans="1:6" ht="16.5">
      <c r="A20" s="760" t="s">
        <v>311</v>
      </c>
      <c r="B20" s="722"/>
      <c r="C20" s="722"/>
      <c r="D20" s="200">
        <f>inputOth!D42</f>
        <v>0</v>
      </c>
      <c r="E20" s="201"/>
      <c r="F20" s="201"/>
    </row>
    <row r="21" spans="1:6" ht="16.5">
      <c r="A21" s="201"/>
      <c r="B21" s="201"/>
      <c r="C21" s="201"/>
      <c r="D21" s="202"/>
      <c r="E21" s="201"/>
      <c r="F21" s="201"/>
    </row>
    <row r="22" spans="1:6" ht="16.5">
      <c r="A22" s="201"/>
      <c r="B22" s="760" t="s">
        <v>312</v>
      </c>
      <c r="C22" s="761"/>
      <c r="D22" s="203">
        <f>IF(D20&gt;0,(D20*0.001),"")</f>
      </c>
      <c r="E22" s="201"/>
      <c r="F22" s="201"/>
    </row>
    <row r="23" spans="1:6" ht="16.5">
      <c r="A23" s="201"/>
      <c r="B23" s="201"/>
      <c r="C23" s="201"/>
      <c r="D23" s="201"/>
      <c r="E23" s="201"/>
      <c r="F23" s="201"/>
    </row>
    <row r="24" spans="1:6" ht="16.5">
      <c r="A24" s="201"/>
      <c r="B24" s="201"/>
      <c r="C24" s="201"/>
      <c r="D24" s="201"/>
      <c r="E24" s="201"/>
      <c r="F24" s="201"/>
    </row>
    <row r="25" spans="1:6" ht="16.5">
      <c r="A25" s="201"/>
      <c r="B25" s="201"/>
      <c r="C25" s="201"/>
      <c r="D25" s="201"/>
      <c r="E25" s="201"/>
      <c r="F25" s="201"/>
    </row>
    <row r="26" spans="1:6" ht="16.5">
      <c r="A26" s="201"/>
      <c r="B26" s="201"/>
      <c r="C26" s="201"/>
      <c r="D26" s="201"/>
      <c r="E26" s="201"/>
      <c r="F26" s="201"/>
    </row>
    <row r="27" spans="1:6" ht="16.5">
      <c r="A27" s="416" t="str">
        <f>CONCATENATE("**This information comes from the ",F1," Budget Summary page.  See instructions tab #12 for completing")</f>
        <v>**This information comes from the 2015 Budget Summary page.  See instructions tab #12 for completing</v>
      </c>
      <c r="B27" s="201"/>
      <c r="C27" s="201"/>
      <c r="D27" s="201"/>
      <c r="E27" s="201"/>
      <c r="F27" s="201"/>
    </row>
    <row r="28" spans="1:6" ht="16.5">
      <c r="A28" s="416" t="s">
        <v>565</v>
      </c>
      <c r="B28" s="201"/>
      <c r="C28" s="201"/>
      <c r="D28" s="201"/>
      <c r="E28" s="201"/>
      <c r="F28" s="201"/>
    </row>
    <row r="29" spans="1:6" ht="16.5">
      <c r="A29" s="416"/>
      <c r="B29" s="201"/>
      <c r="C29" s="201"/>
      <c r="D29" s="201"/>
      <c r="E29" s="201"/>
      <c r="F29" s="201"/>
    </row>
    <row r="30" spans="1:6" ht="16.5">
      <c r="A30" s="416"/>
      <c r="B30" s="201"/>
      <c r="C30" s="201"/>
      <c r="D30" s="201"/>
      <c r="E30" s="201"/>
      <c r="F30" s="201"/>
    </row>
    <row r="31" spans="1:6" ht="16.5">
      <c r="A31" s="416"/>
      <c r="B31" s="201"/>
      <c r="C31" s="201"/>
      <c r="D31" s="201"/>
      <c r="E31" s="201"/>
      <c r="F31" s="201"/>
    </row>
    <row r="32" spans="1:6" ht="16.5">
      <c r="A32" s="416"/>
      <c r="B32" s="201"/>
      <c r="C32" s="201"/>
      <c r="D32" s="201"/>
      <c r="E32" s="201"/>
      <c r="F32" s="201"/>
    </row>
    <row r="33" spans="1:6" ht="16.5">
      <c r="A33" s="416"/>
      <c r="B33" s="201"/>
      <c r="C33" s="201"/>
      <c r="D33" s="201"/>
      <c r="E33" s="201"/>
      <c r="F33" s="201"/>
    </row>
    <row r="34" spans="1:6" ht="16.5">
      <c r="A34" s="416"/>
      <c r="B34" s="201"/>
      <c r="C34" s="201"/>
      <c r="D34" s="201"/>
      <c r="E34" s="201"/>
      <c r="F34" s="201"/>
    </row>
    <row r="35" spans="1:6" ht="16.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6.5">
      <c r="B2" s="42"/>
      <c r="C2"/>
      <c r="D2"/>
      <c r="E2"/>
      <c r="F2"/>
      <c r="G2"/>
      <c r="H2"/>
    </row>
    <row r="3" spans="2:8" ht="15.75">
      <c r="B3" s="769" t="s">
        <v>130</v>
      </c>
      <c r="C3" s="769"/>
      <c r="D3" s="769"/>
      <c r="E3" s="769"/>
      <c r="F3" s="769"/>
      <c r="G3" s="769"/>
      <c r="H3" s="769"/>
    </row>
    <row r="4" spans="2:8" ht="16.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Glasco Fire District # 2 District with respect to financing the 2015 annual budget for Glasco Fire District # 2 , Cloud County , Kansas.</v>
      </c>
      <c r="C5" s="767"/>
      <c r="D5" s="767"/>
      <c r="E5" s="767"/>
      <c r="F5" s="767"/>
      <c r="G5" s="767"/>
      <c r="H5" s="767"/>
    </row>
    <row r="6" spans="2:10" ht="15.75">
      <c r="B6" s="767"/>
      <c r="C6" s="767"/>
      <c r="D6" s="767"/>
      <c r="E6" s="767"/>
      <c r="F6" s="767"/>
      <c r="G6" s="767"/>
      <c r="H6" s="767"/>
      <c r="J6" s="38">
        <f>CONCATENATE(J7)</f>
      </c>
    </row>
    <row r="7" spans="2:8" ht="16.5">
      <c r="B7" s="47"/>
      <c r="C7"/>
      <c r="D7"/>
      <c r="E7"/>
      <c r="F7"/>
      <c r="G7"/>
      <c r="H7"/>
    </row>
    <row r="8" spans="2:8" ht="16.5">
      <c r="B8" s="48" t="s">
        <v>181</v>
      </c>
      <c r="C8"/>
      <c r="D8"/>
      <c r="E8"/>
      <c r="F8"/>
      <c r="G8"/>
      <c r="H8"/>
    </row>
    <row r="9" spans="2:8" ht="16.5">
      <c r="B9" s="48" t="str">
        <f>CONCATENATE("",inputPrYr!D11," ",(inputPrYr!D3)," district budget exceed the amount levied to finance the")</f>
        <v>2015 Glasco Fire District # 2 district budget exceed the amount levied to finance the</v>
      </c>
      <c r="C9"/>
      <c r="D9"/>
      <c r="E9"/>
      <c r="F9"/>
      <c r="G9"/>
      <c r="H9"/>
    </row>
    <row r="10" spans="2:8" ht="16.5">
      <c r="B10" s="48" t="str">
        <f>CONCATENATE("",inputPrYr!D11-1," ",inputPrYr!D3," except with regard to revenue produced and attributable to the")</f>
        <v>2014 Glasco Fire District # 2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6.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6.5">
      <c r="B18" s="48"/>
      <c r="C18"/>
      <c r="D18"/>
      <c r="E18"/>
      <c r="F18"/>
      <c r="G18"/>
      <c r="H18"/>
    </row>
    <row r="19" spans="2:8" ht="16.5">
      <c r="B19" s="48" t="str">
        <f>CONCATENATE("Whereas, ",(inputPrYr!D3)," provides essential services to district residents; and")</f>
        <v>Whereas, Glasco Fire District # 2 provides essential services to district residents; and</v>
      </c>
      <c r="C19"/>
      <c r="D19"/>
      <c r="E19"/>
      <c r="F19"/>
      <c r="G19"/>
      <c r="H19"/>
    </row>
    <row r="20" spans="2:8" ht="16.5">
      <c r="B20" s="48"/>
      <c r="C20"/>
      <c r="D20"/>
      <c r="E20"/>
      <c r="F20"/>
      <c r="G20"/>
      <c r="H20"/>
    </row>
    <row r="21" spans="2:8" ht="16.5">
      <c r="B21" s="48" t="s">
        <v>152</v>
      </c>
      <c r="C21"/>
      <c r="D21"/>
      <c r="E21"/>
      <c r="F21"/>
      <c r="G21"/>
      <c r="H21"/>
    </row>
    <row r="22" spans="2:8" ht="16.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Glasco Fire District # 2 that is our desire to notify the public of the possibility of increased property taxes to finance the 2015 Glasco Fire District # 2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6.5">
      <c r="B26" s="48"/>
      <c r="C26"/>
      <c r="D26"/>
      <c r="E26"/>
      <c r="F26"/>
      <c r="G26"/>
      <c r="H26"/>
    </row>
    <row r="27" spans="2:8" ht="15.75">
      <c r="B27" s="766" t="str">
        <f>CONCATENATE("Adopted this _________ day of ___________, ",inputPrYr!D11-1," by the ",(inputPrYr!D3)," District Board, ",(inputPrYr!D4),", State of Kansas.")</f>
        <v>Adopted this _________ day of ___________, 2014 by the Glasco Fire District # 2 District Board, Cloud County, State of Kansas.</v>
      </c>
      <c r="C27" s="767"/>
      <c r="D27" s="767"/>
      <c r="E27" s="767"/>
      <c r="F27" s="767"/>
      <c r="G27" s="767"/>
      <c r="H27" s="767"/>
    </row>
    <row r="28" spans="2:8" ht="15.75">
      <c r="B28" s="767"/>
      <c r="C28" s="767"/>
      <c r="D28" s="767"/>
      <c r="E28" s="767"/>
      <c r="F28" s="767"/>
      <c r="G28" s="767"/>
      <c r="H28" s="767"/>
    </row>
    <row r="29" spans="2:8" ht="16.5">
      <c r="B29" s="44"/>
      <c r="C29"/>
      <c r="D29"/>
      <c r="E29"/>
      <c r="F29"/>
      <c r="G29"/>
      <c r="H29"/>
    </row>
    <row r="30" spans="2:8" ht="16.5">
      <c r="B30" s="44"/>
      <c r="C30"/>
      <c r="D30"/>
      <c r="E30"/>
      <c r="F30"/>
      <c r="G30"/>
      <c r="H30"/>
    </row>
    <row r="31" spans="2:8" ht="16.5">
      <c r="B31" s="45" t="str">
        <f>CONCATENATE(" ",(inputPrYr!D3)," District Board")</f>
        <v> Glasco Fire District # 2 District Board</v>
      </c>
      <c r="C31"/>
      <c r="D31"/>
      <c r="E31"/>
      <c r="F31"/>
      <c r="G31"/>
      <c r="H31"/>
    </row>
    <row r="32" spans="2:8" ht="16.5">
      <c r="B32" s="44"/>
      <c r="C32"/>
      <c r="D32"/>
      <c r="E32"/>
      <c r="F32"/>
      <c r="G32"/>
      <c r="H32"/>
    </row>
    <row r="33" spans="2:8" ht="16.5">
      <c r="B33"/>
      <c r="C33"/>
      <c r="D33"/>
      <c r="E33" s="765" t="s">
        <v>131</v>
      </c>
      <c r="F33" s="765"/>
      <c r="G33" s="765"/>
      <c r="H33" s="765"/>
    </row>
    <row r="34" spans="2:8" ht="16.5">
      <c r="B34"/>
      <c r="C34"/>
      <c r="D34"/>
      <c r="E34" s="765" t="s">
        <v>134</v>
      </c>
      <c r="F34" s="765"/>
      <c r="G34" s="765"/>
      <c r="H34" s="765"/>
    </row>
    <row r="35" spans="2:8" ht="16.5">
      <c r="B35" s="44"/>
      <c r="C35"/>
      <c r="D35"/>
      <c r="E35" s="765"/>
      <c r="F35" s="765"/>
      <c r="G35" s="765"/>
      <c r="H35" s="765"/>
    </row>
    <row r="36" spans="2:8" ht="16.5">
      <c r="B36"/>
      <c r="C36"/>
      <c r="D36"/>
      <c r="E36" s="765" t="s">
        <v>131</v>
      </c>
      <c r="F36" s="765"/>
      <c r="G36" s="765"/>
      <c r="H36" s="765"/>
    </row>
    <row r="37" spans="2:8" ht="16.5">
      <c r="B37"/>
      <c r="C37"/>
      <c r="D37"/>
      <c r="E37" s="765" t="s">
        <v>135</v>
      </c>
      <c r="F37" s="765"/>
      <c r="G37" s="765"/>
      <c r="H37" s="765"/>
    </row>
    <row r="38" spans="2:8" ht="16.5">
      <c r="B38" s="44"/>
      <c r="C38"/>
      <c r="D38"/>
      <c r="E38" s="765"/>
      <c r="F38" s="765"/>
      <c r="G38" s="765"/>
      <c r="H38" s="765"/>
    </row>
    <row r="39" spans="2:8" ht="16.5">
      <c r="B39"/>
      <c r="C39"/>
      <c r="D39"/>
      <c r="E39" s="765" t="s">
        <v>131</v>
      </c>
      <c r="F39" s="765"/>
      <c r="G39" s="765"/>
      <c r="H39" s="765"/>
    </row>
    <row r="40" spans="2:8" ht="16.5">
      <c r="B40"/>
      <c r="C40"/>
      <c r="D40"/>
      <c r="E40" s="765" t="s">
        <v>136</v>
      </c>
      <c r="F40" s="765"/>
      <c r="G40" s="765"/>
      <c r="H40" s="765"/>
    </row>
    <row r="41" spans="2:8" ht="16.5">
      <c r="B41" s="44"/>
      <c r="C41"/>
      <c r="D41"/>
      <c r="E41"/>
      <c r="F41"/>
      <c r="G41"/>
      <c r="H41"/>
    </row>
    <row r="42" spans="2:8" ht="16.5">
      <c r="B42" s="46"/>
      <c r="C42"/>
      <c r="D42"/>
      <c r="E42"/>
      <c r="F42"/>
      <c r="G42"/>
      <c r="H42"/>
    </row>
    <row r="43" spans="3:8" ht="16.5">
      <c r="C43"/>
      <c r="D43"/>
      <c r="E43"/>
      <c r="F43"/>
      <c r="G43"/>
      <c r="H43"/>
    </row>
    <row r="44" spans="2:8" ht="15.75">
      <c r="B44" s="40"/>
      <c r="E44" s="52"/>
      <c r="F44" s="52"/>
      <c r="G44" s="52"/>
      <c r="H44" s="52"/>
    </row>
    <row r="45" spans="4:8" ht="15.75">
      <c r="D45" s="60" t="s">
        <v>37</v>
      </c>
      <c r="E45" s="66">
        <v>9</v>
      </c>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97" t="s">
        <v>345</v>
      </c>
      <c r="B3" s="397"/>
      <c r="C3" s="397"/>
      <c r="D3" s="397"/>
      <c r="E3" s="397"/>
      <c r="F3" s="397"/>
      <c r="G3" s="397"/>
      <c r="H3" s="397"/>
      <c r="I3" s="397"/>
      <c r="J3" s="397"/>
      <c r="K3" s="397"/>
      <c r="L3" s="397"/>
    </row>
    <row r="5" ht="16.5">
      <c r="A5" s="398" t="s">
        <v>346</v>
      </c>
    </row>
    <row r="6" ht="16.5">
      <c r="A6" s="398" t="str">
        <f>CONCATENATE(inputPrYr!D11-2," 'total expenditures' exceed your ",inputPrYr!D11-2," 'budget authority.'")</f>
        <v>2013 'total expenditures' exceed your 2013 'budget authority.'</v>
      </c>
    </row>
    <row r="7" ht="16.5">
      <c r="A7" s="398"/>
    </row>
    <row r="8" ht="16.5">
      <c r="A8" s="398" t="s">
        <v>347</v>
      </c>
    </row>
    <row r="9" ht="16.5">
      <c r="A9" s="398" t="s">
        <v>348</v>
      </c>
    </row>
    <row r="10" ht="16.5">
      <c r="A10" s="398" t="s">
        <v>349</v>
      </c>
    </row>
    <row r="11" ht="16.5">
      <c r="A11" s="398"/>
    </row>
    <row r="12" ht="16.5">
      <c r="A12" s="398"/>
    </row>
    <row r="13" ht="16.5">
      <c r="A13" s="399" t="s">
        <v>350</v>
      </c>
    </row>
    <row r="15" ht="16.5">
      <c r="A15" s="398" t="s">
        <v>351</v>
      </c>
    </row>
    <row r="16" ht="16.5">
      <c r="A16" s="398" t="str">
        <f>CONCATENATE("(i.e. an audit has not been completed, or the ",inputPrYr!D11," adopted")</f>
        <v>(i.e. an audit has not been completed, or the 2015 adopted</v>
      </c>
    </row>
    <row r="17" ht="16.5">
      <c r="A17" s="398" t="s">
        <v>352</v>
      </c>
    </row>
    <row r="18" ht="16.5">
      <c r="A18" s="398" t="s">
        <v>353</v>
      </c>
    </row>
    <row r="19" ht="16.5">
      <c r="A19" s="398" t="s">
        <v>354</v>
      </c>
    </row>
    <row r="21" ht="16.5">
      <c r="A21" s="399" t="s">
        <v>355</v>
      </c>
    </row>
    <row r="22" ht="16.5">
      <c r="A22" s="399"/>
    </row>
    <row r="23" ht="16.5">
      <c r="A23" s="398" t="s">
        <v>356</v>
      </c>
    </row>
    <row r="24" ht="16.5">
      <c r="A24" s="398" t="s">
        <v>357</v>
      </c>
    </row>
    <row r="25" ht="16.5">
      <c r="A25" s="398" t="str">
        <f>CONCATENATE("particular fund.  If your ",inputPrYr!D11-2," budget was amended, did you")</f>
        <v>particular fund.  If your 2013 budget was amended, did you</v>
      </c>
    </row>
    <row r="26" ht="16.5">
      <c r="A26" s="398" t="s">
        <v>358</v>
      </c>
    </row>
    <row r="27" ht="16.5">
      <c r="A27" s="398"/>
    </row>
    <row r="28" ht="16.5">
      <c r="A28" s="398" t="str">
        <f>CONCATENATE("Next, look to see if any of your ",inputPrYr!D11-2," expenditures can be")</f>
        <v>Next, look to see if any of your 2013 expenditures can be</v>
      </c>
    </row>
    <row r="29" ht="16.5">
      <c r="A29" s="398" t="s">
        <v>359</v>
      </c>
    </row>
    <row r="30" ht="16.5">
      <c r="A30" s="398" t="s">
        <v>360</v>
      </c>
    </row>
    <row r="31" ht="16.5">
      <c r="A31" s="398" t="s">
        <v>361</v>
      </c>
    </row>
    <row r="32" ht="16.5">
      <c r="A32" s="398"/>
    </row>
    <row r="33" ht="16.5">
      <c r="A33" s="398" t="str">
        <f>CONCATENATE("Additionally, do your ",inputPrYr!D11-2," receipts contain a reimbursement")</f>
        <v>Additionally, do your 2013 receipts contain a reimbursement</v>
      </c>
    </row>
    <row r="34" ht="16.5">
      <c r="A34" s="398" t="s">
        <v>362</v>
      </c>
    </row>
    <row r="35" ht="16.5">
      <c r="A35" s="398" t="s">
        <v>363</v>
      </c>
    </row>
    <row r="36" ht="16.5">
      <c r="A36" s="398"/>
    </row>
    <row r="37" ht="16.5">
      <c r="A37" s="398" t="s">
        <v>364</v>
      </c>
    </row>
    <row r="38" ht="16.5">
      <c r="A38" s="398" t="s">
        <v>365</v>
      </c>
    </row>
    <row r="39" ht="16.5">
      <c r="A39" s="398" t="s">
        <v>366</v>
      </c>
    </row>
    <row r="40" ht="16.5">
      <c r="A40" s="398"/>
    </row>
    <row r="41" ht="16.5">
      <c r="A41" s="399" t="s">
        <v>367</v>
      </c>
    </row>
    <row r="42" ht="16.5">
      <c r="A42" s="398"/>
    </row>
    <row r="43" ht="16.5">
      <c r="A43" s="398" t="s">
        <v>368</v>
      </c>
    </row>
    <row r="44" ht="16.5">
      <c r="A44" s="398" t="s">
        <v>369</v>
      </c>
    </row>
    <row r="45" ht="16.5">
      <c r="A45" s="398" t="s">
        <v>370</v>
      </c>
    </row>
    <row r="46" ht="16.5">
      <c r="A46" s="398" t="s">
        <v>371</v>
      </c>
    </row>
    <row r="47" ht="16.5">
      <c r="A47" s="398" t="s">
        <v>372</v>
      </c>
    </row>
    <row r="48" ht="16.5">
      <c r="A48" s="398" t="s">
        <v>373</v>
      </c>
    </row>
    <row r="49" ht="16.5">
      <c r="A49" s="398" t="s">
        <v>374</v>
      </c>
    </row>
    <row r="50" ht="16.5">
      <c r="A50" s="398" t="s">
        <v>375</v>
      </c>
    </row>
    <row r="51" ht="16.5">
      <c r="A51" s="398" t="s">
        <v>376</v>
      </c>
    </row>
    <row r="52" ht="16.5">
      <c r="A52" s="398" t="s">
        <v>377</v>
      </c>
    </row>
    <row r="53" ht="16.5">
      <c r="A53" s="398" t="s">
        <v>378</v>
      </c>
    </row>
    <row r="54" ht="16.5">
      <c r="A54" s="398" t="s">
        <v>379</v>
      </c>
    </row>
    <row r="55" ht="16.5">
      <c r="A55" s="398" t="s">
        <v>380</v>
      </c>
    </row>
    <row r="56" ht="16.5">
      <c r="A56" s="398"/>
    </row>
    <row r="57" ht="16.5">
      <c r="A57" s="398" t="s">
        <v>381</v>
      </c>
    </row>
    <row r="58" ht="16.5">
      <c r="A58" s="398" t="s">
        <v>382</v>
      </c>
    </row>
    <row r="59" ht="16.5">
      <c r="A59" s="398" t="s">
        <v>383</v>
      </c>
    </row>
    <row r="60" ht="16.5">
      <c r="A60" s="398"/>
    </row>
    <row r="61" ht="16.5">
      <c r="A61" s="399" t="str">
        <f>CONCATENATE("What if the ",inputPrYr!D11-2," financial records have been closed?")</f>
        <v>What if the 2013 financial records have been closed?</v>
      </c>
    </row>
    <row r="63" ht="16.5">
      <c r="A63" s="398" t="s">
        <v>384</v>
      </c>
    </row>
    <row r="64" ht="16.5">
      <c r="A64" s="398" t="str">
        <f>CONCATENATE("(i.e. an audit for ",inputPrYr!D11-2," has been completed, or the ",inputPrYr!D11)</f>
        <v>(i.e. an audit for 2013 has been completed, or the 2015</v>
      </c>
    </row>
    <row r="65" ht="16.5">
      <c r="A65" s="398" t="s">
        <v>385</v>
      </c>
    </row>
    <row r="66" ht="16.5">
      <c r="A66" s="398" t="s">
        <v>386</v>
      </c>
    </row>
    <row r="67" ht="16.5">
      <c r="A67" s="398"/>
    </row>
    <row r="68" ht="16.5">
      <c r="A68" s="398" t="s">
        <v>387</v>
      </c>
    </row>
    <row r="69" ht="16.5">
      <c r="A69" s="398" t="s">
        <v>388</v>
      </c>
    </row>
    <row r="70" ht="16.5">
      <c r="A70" s="398" t="s">
        <v>389</v>
      </c>
    </row>
    <row r="71" ht="16.5">
      <c r="A71" s="398"/>
    </row>
    <row r="72" ht="16.5">
      <c r="A7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97" t="s">
        <v>391</v>
      </c>
      <c r="B3" s="397"/>
      <c r="C3" s="397"/>
      <c r="D3" s="397"/>
      <c r="E3" s="397"/>
      <c r="F3" s="397"/>
      <c r="G3" s="397"/>
      <c r="H3" s="400"/>
      <c r="I3" s="400"/>
      <c r="J3" s="400"/>
    </row>
    <row r="5" ht="16.5">
      <c r="A5" s="398" t="s">
        <v>392</v>
      </c>
    </row>
    <row r="6" ht="16.5">
      <c r="A6" t="str">
        <f>CONCATENATE(inputPrYr!D11-2," expenditures show that you finished the year with a ")</f>
        <v>2013 expenditures show that you finished the year with a </v>
      </c>
    </row>
    <row r="7" ht="16.5">
      <c r="A7" t="s">
        <v>393</v>
      </c>
    </row>
    <row r="9" ht="16.5">
      <c r="A9" t="s">
        <v>394</v>
      </c>
    </row>
    <row r="10" ht="16.5">
      <c r="A10" t="s">
        <v>395</v>
      </c>
    </row>
    <row r="11" ht="16.5">
      <c r="A11" t="s">
        <v>396</v>
      </c>
    </row>
    <row r="13" ht="16.5">
      <c r="A13" s="399" t="s">
        <v>397</v>
      </c>
    </row>
    <row r="14" ht="16.5">
      <c r="A14" s="399"/>
    </row>
    <row r="15" ht="16.5">
      <c r="A15" s="398" t="s">
        <v>398</v>
      </c>
    </row>
    <row r="16" ht="16.5">
      <c r="A16" s="398" t="s">
        <v>399</v>
      </c>
    </row>
    <row r="17" ht="16.5">
      <c r="A17" s="398" t="s">
        <v>400</v>
      </c>
    </row>
    <row r="18" ht="16.5">
      <c r="A18" s="398"/>
    </row>
    <row r="19" ht="16.5">
      <c r="A19" s="399" t="s">
        <v>401</v>
      </c>
    </row>
    <row r="20" ht="16.5">
      <c r="A20" s="399"/>
    </row>
    <row r="21" ht="16.5">
      <c r="A21" s="398" t="s">
        <v>402</v>
      </c>
    </row>
    <row r="22" ht="16.5">
      <c r="A22" s="398" t="s">
        <v>403</v>
      </c>
    </row>
    <row r="23" ht="16.5">
      <c r="A23" s="398" t="s">
        <v>404</v>
      </c>
    </row>
    <row r="24" ht="16.5">
      <c r="A24" s="398"/>
    </row>
    <row r="25" ht="16.5">
      <c r="A25" s="399" t="s">
        <v>405</v>
      </c>
    </row>
    <row r="26" ht="16.5">
      <c r="A26" s="399"/>
    </row>
    <row r="27" ht="16.5">
      <c r="A27" s="398" t="s">
        <v>406</v>
      </c>
    </row>
    <row r="28" ht="16.5">
      <c r="A28" s="398" t="s">
        <v>407</v>
      </c>
    </row>
    <row r="29" ht="16.5">
      <c r="A29" s="398" t="s">
        <v>408</v>
      </c>
    </row>
    <row r="30" ht="16.5">
      <c r="A30" s="398"/>
    </row>
    <row r="31" ht="16.5">
      <c r="A31" s="399" t="s">
        <v>409</v>
      </c>
    </row>
    <row r="32" ht="16.5">
      <c r="A32" s="399"/>
    </row>
    <row r="33" spans="1:8" ht="16.5">
      <c r="A33" s="398" t="str">
        <f>CONCATENATE("If your financial records for ",inputPrYr!D11-2," are not closed")</f>
        <v>If your financial records for 2013 are not closed</v>
      </c>
      <c r="B33" s="398"/>
      <c r="C33" s="398"/>
      <c r="D33" s="398"/>
      <c r="E33" s="398"/>
      <c r="F33" s="398"/>
      <c r="G33" s="398"/>
      <c r="H33" s="398"/>
    </row>
    <row r="34" spans="1:8" ht="16.5">
      <c r="A34" s="398" t="str">
        <f>CONCATENATE("(i.e. an audit has not been completed, or the ",inputPrYr!D11," adopted ")</f>
        <v>(i.e. an audit has not been completed, or the 2015 adopted </v>
      </c>
      <c r="B34" s="398"/>
      <c r="C34" s="398"/>
      <c r="D34" s="398"/>
      <c r="E34" s="398"/>
      <c r="F34" s="398"/>
      <c r="G34" s="398"/>
      <c r="H34" s="398"/>
    </row>
    <row r="35" spans="1:8" ht="16.5">
      <c r="A35" s="398" t="s">
        <v>410</v>
      </c>
      <c r="B35" s="398"/>
      <c r="C35" s="398"/>
      <c r="D35" s="398"/>
      <c r="E35" s="398"/>
      <c r="F35" s="398"/>
      <c r="G35" s="398"/>
      <c r="H35" s="398"/>
    </row>
    <row r="36" spans="1:8" ht="16.5">
      <c r="A36" s="398" t="s">
        <v>411</v>
      </c>
      <c r="B36" s="398"/>
      <c r="C36" s="398"/>
      <c r="D36" s="398"/>
      <c r="E36" s="398"/>
      <c r="F36" s="398"/>
      <c r="G36" s="398"/>
      <c r="H36" s="398"/>
    </row>
    <row r="37" spans="1:8" ht="16.5">
      <c r="A37" s="398" t="s">
        <v>412</v>
      </c>
      <c r="B37" s="398"/>
      <c r="C37" s="398"/>
      <c r="D37" s="398"/>
      <c r="E37" s="398"/>
      <c r="F37" s="398"/>
      <c r="G37" s="398"/>
      <c r="H37" s="398"/>
    </row>
    <row r="38" spans="1:8" ht="16.5">
      <c r="A38" s="398" t="s">
        <v>413</v>
      </c>
      <c r="B38" s="398"/>
      <c r="C38" s="398"/>
      <c r="D38" s="398"/>
      <c r="E38" s="398"/>
      <c r="F38" s="398"/>
      <c r="G38" s="398"/>
      <c r="H38" s="398"/>
    </row>
    <row r="39" spans="1:8" ht="16.5">
      <c r="A39" s="398" t="s">
        <v>414</v>
      </c>
      <c r="B39" s="398"/>
      <c r="C39" s="398"/>
      <c r="D39" s="398"/>
      <c r="E39" s="398"/>
      <c r="F39" s="398"/>
      <c r="G39" s="398"/>
      <c r="H39" s="398"/>
    </row>
    <row r="40" spans="1:8" ht="16.5">
      <c r="A40" s="398"/>
      <c r="B40" s="398"/>
      <c r="C40" s="398"/>
      <c r="D40" s="398"/>
      <c r="E40" s="398"/>
      <c r="F40" s="398"/>
      <c r="G40" s="398"/>
      <c r="H40" s="398"/>
    </row>
    <row r="41" spans="1:8" ht="16.5">
      <c r="A41" s="398" t="s">
        <v>415</v>
      </c>
      <c r="B41" s="398"/>
      <c r="C41" s="398"/>
      <c r="D41" s="398"/>
      <c r="E41" s="398"/>
      <c r="F41" s="398"/>
      <c r="G41" s="398"/>
      <c r="H41" s="398"/>
    </row>
    <row r="42" spans="1:8" ht="16.5">
      <c r="A42" s="398" t="s">
        <v>416</v>
      </c>
      <c r="B42" s="398"/>
      <c r="C42" s="398"/>
      <c r="D42" s="398"/>
      <c r="E42" s="398"/>
      <c r="F42" s="398"/>
      <c r="G42" s="398"/>
      <c r="H42" s="398"/>
    </row>
    <row r="43" spans="1:8" ht="16.5">
      <c r="A43" s="398" t="s">
        <v>417</v>
      </c>
      <c r="B43" s="398"/>
      <c r="C43" s="398"/>
      <c r="D43" s="398"/>
      <c r="E43" s="398"/>
      <c r="F43" s="398"/>
      <c r="G43" s="398"/>
      <c r="H43" s="398"/>
    </row>
    <row r="44" spans="1:8" ht="16.5">
      <c r="A44" s="398" t="s">
        <v>418</v>
      </c>
      <c r="B44" s="398"/>
      <c r="C44" s="398"/>
      <c r="D44" s="398"/>
      <c r="E44" s="398"/>
      <c r="F44" s="398"/>
      <c r="G44" s="398"/>
      <c r="H44" s="398"/>
    </row>
    <row r="45" spans="1:8" ht="16.5">
      <c r="A45" s="398"/>
      <c r="B45" s="398"/>
      <c r="C45" s="398"/>
      <c r="D45" s="398"/>
      <c r="E45" s="398"/>
      <c r="F45" s="398"/>
      <c r="G45" s="398"/>
      <c r="H45" s="398"/>
    </row>
    <row r="46" spans="1:8" ht="16.5">
      <c r="A46" s="398" t="s">
        <v>419</v>
      </c>
      <c r="B46" s="398"/>
      <c r="C46" s="398"/>
      <c r="D46" s="398"/>
      <c r="E46" s="398"/>
      <c r="F46" s="398"/>
      <c r="G46" s="398"/>
      <c r="H46" s="398"/>
    </row>
    <row r="47" spans="1:8" ht="16.5">
      <c r="A47" s="398" t="s">
        <v>420</v>
      </c>
      <c r="B47" s="398"/>
      <c r="C47" s="398"/>
      <c r="D47" s="398"/>
      <c r="E47" s="398"/>
      <c r="F47" s="398"/>
      <c r="G47" s="398"/>
      <c r="H47" s="398"/>
    </row>
    <row r="48" spans="1:8" ht="16.5">
      <c r="A48" s="398" t="s">
        <v>421</v>
      </c>
      <c r="B48" s="398"/>
      <c r="C48" s="398"/>
      <c r="D48" s="398"/>
      <c r="E48" s="398"/>
      <c r="F48" s="398"/>
      <c r="G48" s="398"/>
      <c r="H48" s="398"/>
    </row>
    <row r="49" spans="1:8" ht="16.5">
      <c r="A49" s="398" t="s">
        <v>422</v>
      </c>
      <c r="B49" s="398"/>
      <c r="C49" s="398"/>
      <c r="D49" s="398"/>
      <c r="E49" s="398"/>
      <c r="F49" s="398"/>
      <c r="G49" s="398"/>
      <c r="H49" s="398"/>
    </row>
    <row r="50" spans="1:8" ht="16.5">
      <c r="A50" s="398" t="s">
        <v>423</v>
      </c>
      <c r="B50" s="398"/>
      <c r="C50" s="398"/>
      <c r="D50" s="398"/>
      <c r="E50" s="398"/>
      <c r="F50" s="398"/>
      <c r="G50" s="398"/>
      <c r="H50" s="398"/>
    </row>
    <row r="51" spans="1:8" ht="16.5">
      <c r="A51" s="398"/>
      <c r="B51" s="398"/>
      <c r="C51" s="398"/>
      <c r="D51" s="398"/>
      <c r="E51" s="398"/>
      <c r="F51" s="398"/>
      <c r="G51" s="398"/>
      <c r="H51" s="398"/>
    </row>
    <row r="52" spans="1:8" ht="16.5">
      <c r="A52" s="399" t="s">
        <v>424</v>
      </c>
      <c r="B52" s="399"/>
      <c r="C52" s="399"/>
      <c r="D52" s="399"/>
      <c r="E52" s="399"/>
      <c r="F52" s="399"/>
      <c r="G52" s="399"/>
      <c r="H52" s="398"/>
    </row>
    <row r="53" spans="1:8" ht="16.5">
      <c r="A53" s="399" t="s">
        <v>425</v>
      </c>
      <c r="B53" s="399"/>
      <c r="C53" s="399"/>
      <c r="D53" s="399"/>
      <c r="E53" s="399"/>
      <c r="F53" s="399"/>
      <c r="G53" s="399"/>
      <c r="H53" s="398"/>
    </row>
    <row r="54" spans="1:8" ht="16.5">
      <c r="A54" s="398"/>
      <c r="B54" s="398"/>
      <c r="C54" s="398"/>
      <c r="D54" s="398"/>
      <c r="E54" s="398"/>
      <c r="F54" s="398"/>
      <c r="G54" s="398"/>
      <c r="H54" s="398"/>
    </row>
    <row r="55" spans="1:8" ht="16.5">
      <c r="A55" s="398" t="s">
        <v>426</v>
      </c>
      <c r="B55" s="398"/>
      <c r="C55" s="398"/>
      <c r="D55" s="398"/>
      <c r="E55" s="398"/>
      <c r="F55" s="398"/>
      <c r="G55" s="398"/>
      <c r="H55" s="398"/>
    </row>
    <row r="56" spans="1:8" ht="16.5">
      <c r="A56" s="398" t="s">
        <v>427</v>
      </c>
      <c r="B56" s="398"/>
      <c r="C56" s="398"/>
      <c r="D56" s="398"/>
      <c r="E56" s="398"/>
      <c r="F56" s="398"/>
      <c r="G56" s="398"/>
      <c r="H56" s="398"/>
    </row>
    <row r="57" spans="1:8" ht="16.5">
      <c r="A57" s="398" t="s">
        <v>428</v>
      </c>
      <c r="B57" s="398"/>
      <c r="C57" s="398"/>
      <c r="D57" s="398"/>
      <c r="E57" s="398"/>
      <c r="F57" s="398"/>
      <c r="G57" s="398"/>
      <c r="H57" s="398"/>
    </row>
    <row r="58" spans="1:8" ht="16.5">
      <c r="A58" s="398" t="s">
        <v>429</v>
      </c>
      <c r="B58" s="398"/>
      <c r="C58" s="398"/>
      <c r="D58" s="398"/>
      <c r="E58" s="398"/>
      <c r="F58" s="398"/>
      <c r="G58" s="398"/>
      <c r="H58" s="398"/>
    </row>
    <row r="59" spans="1:8" ht="16.5">
      <c r="A59" s="398"/>
      <c r="B59" s="398"/>
      <c r="C59" s="398"/>
      <c r="D59" s="398"/>
      <c r="E59" s="398"/>
      <c r="F59" s="398"/>
      <c r="G59" s="398"/>
      <c r="H59" s="398"/>
    </row>
    <row r="60" spans="1:8" ht="16.5">
      <c r="A60" s="398" t="s">
        <v>430</v>
      </c>
      <c r="B60" s="398"/>
      <c r="C60" s="398"/>
      <c r="D60" s="398"/>
      <c r="E60" s="398"/>
      <c r="F60" s="398"/>
      <c r="G60" s="398"/>
      <c r="H60" s="398"/>
    </row>
    <row r="61" spans="1:8" ht="16.5">
      <c r="A61" s="398" t="s">
        <v>431</v>
      </c>
      <c r="B61" s="398"/>
      <c r="C61" s="398"/>
      <c r="D61" s="398"/>
      <c r="E61" s="398"/>
      <c r="F61" s="398"/>
      <c r="G61" s="398"/>
      <c r="H61" s="398"/>
    </row>
    <row r="62" spans="1:8" ht="16.5">
      <c r="A62" s="398" t="s">
        <v>432</v>
      </c>
      <c r="B62" s="398"/>
      <c r="C62" s="398"/>
      <c r="D62" s="398"/>
      <c r="E62" s="398"/>
      <c r="F62" s="398"/>
      <c r="G62" s="398"/>
      <c r="H62" s="398"/>
    </row>
    <row r="63" spans="1:8" ht="16.5">
      <c r="A63" s="398" t="s">
        <v>433</v>
      </c>
      <c r="B63" s="398"/>
      <c r="C63" s="398"/>
      <c r="D63" s="398"/>
      <c r="E63" s="398"/>
      <c r="F63" s="398"/>
      <c r="G63" s="398"/>
      <c r="H63" s="398"/>
    </row>
    <row r="64" spans="1:8" ht="16.5">
      <c r="A64" s="398" t="s">
        <v>434</v>
      </c>
      <c r="B64" s="398"/>
      <c r="C64" s="398"/>
      <c r="D64" s="398"/>
      <c r="E64" s="398"/>
      <c r="F64" s="398"/>
      <c r="G64" s="398"/>
      <c r="H64" s="398"/>
    </row>
    <row r="65" spans="1:8" ht="16.5">
      <c r="A65" s="398" t="s">
        <v>435</v>
      </c>
      <c r="B65" s="398"/>
      <c r="C65" s="398"/>
      <c r="D65" s="398"/>
      <c r="E65" s="398"/>
      <c r="F65" s="398"/>
      <c r="G65" s="398"/>
      <c r="H65" s="398"/>
    </row>
    <row r="66" spans="1:8" ht="16.5">
      <c r="A66" s="398"/>
      <c r="B66" s="398"/>
      <c r="C66" s="398"/>
      <c r="D66" s="398"/>
      <c r="E66" s="398"/>
      <c r="F66" s="398"/>
      <c r="G66" s="398"/>
      <c r="H66" s="398"/>
    </row>
    <row r="67" spans="1:8" ht="16.5">
      <c r="A67" s="398" t="s">
        <v>436</v>
      </c>
      <c r="B67" s="398"/>
      <c r="C67" s="398"/>
      <c r="D67" s="398"/>
      <c r="E67" s="398"/>
      <c r="F67" s="398"/>
      <c r="G67" s="398"/>
      <c r="H67" s="398"/>
    </row>
    <row r="68" spans="1:8" ht="16.5">
      <c r="A68" s="398" t="s">
        <v>437</v>
      </c>
      <c r="B68" s="398"/>
      <c r="C68" s="398"/>
      <c r="D68" s="398"/>
      <c r="E68" s="398"/>
      <c r="F68" s="398"/>
      <c r="G68" s="398"/>
      <c r="H68" s="398"/>
    </row>
    <row r="69" spans="1:8" ht="16.5">
      <c r="A69" s="398" t="s">
        <v>438</v>
      </c>
      <c r="B69" s="398"/>
      <c r="C69" s="398"/>
      <c r="D69" s="398"/>
      <c r="E69" s="398"/>
      <c r="F69" s="398"/>
      <c r="G69" s="398"/>
      <c r="H69" s="398"/>
    </row>
    <row r="70" spans="1:8" ht="16.5">
      <c r="A70" s="398" t="s">
        <v>439</v>
      </c>
      <c r="B70" s="398"/>
      <c r="C70" s="398"/>
      <c r="D70" s="398"/>
      <c r="E70" s="398"/>
      <c r="F70" s="398"/>
      <c r="G70" s="398"/>
      <c r="H70" s="398"/>
    </row>
    <row r="71" spans="1:8" ht="16.5">
      <c r="A71" s="398" t="s">
        <v>440</v>
      </c>
      <c r="B71" s="398"/>
      <c r="C71" s="398"/>
      <c r="D71" s="398"/>
      <c r="E71" s="398"/>
      <c r="F71" s="398"/>
      <c r="G71" s="398"/>
      <c r="H71" s="398"/>
    </row>
    <row r="72" spans="1:8" ht="16.5">
      <c r="A72" s="398" t="s">
        <v>441</v>
      </c>
      <c r="B72" s="398"/>
      <c r="C72" s="398"/>
      <c r="D72" s="398"/>
      <c r="E72" s="398"/>
      <c r="F72" s="398"/>
      <c r="G72" s="398"/>
      <c r="H72" s="398"/>
    </row>
    <row r="73" spans="1:8" ht="16.5">
      <c r="A73" s="398" t="s">
        <v>442</v>
      </c>
      <c r="B73" s="398"/>
      <c r="C73" s="398"/>
      <c r="D73" s="398"/>
      <c r="E73" s="398"/>
      <c r="F73" s="398"/>
      <c r="G73" s="398"/>
      <c r="H73" s="398"/>
    </row>
    <row r="74" spans="1:8" ht="16.5">
      <c r="A74" s="398"/>
      <c r="B74" s="398"/>
      <c r="C74" s="398"/>
      <c r="D74" s="398"/>
      <c r="E74" s="398"/>
      <c r="F74" s="398"/>
      <c r="G74" s="398"/>
      <c r="H74" s="398"/>
    </row>
    <row r="75" spans="1:8" ht="16.5">
      <c r="A75" s="398" t="s">
        <v>443</v>
      </c>
      <c r="B75" s="398"/>
      <c r="C75" s="398"/>
      <c r="D75" s="398"/>
      <c r="E75" s="398"/>
      <c r="F75" s="398"/>
      <c r="G75" s="398"/>
      <c r="H75" s="398"/>
    </row>
    <row r="76" spans="1:8" ht="16.5">
      <c r="A76" s="398" t="s">
        <v>444</v>
      </c>
      <c r="B76" s="398"/>
      <c r="C76" s="398"/>
      <c r="D76" s="398"/>
      <c r="E76" s="398"/>
      <c r="F76" s="398"/>
      <c r="G76" s="398"/>
      <c r="H76" s="398"/>
    </row>
    <row r="77" spans="1:8" ht="16.5">
      <c r="A77" s="398" t="s">
        <v>445</v>
      </c>
      <c r="B77" s="398"/>
      <c r="C77" s="398"/>
      <c r="D77" s="398"/>
      <c r="E77" s="398"/>
      <c r="F77" s="398"/>
      <c r="G77" s="398"/>
      <c r="H77" s="398"/>
    </row>
    <row r="78" spans="1:8" ht="16.5">
      <c r="A78" s="398"/>
      <c r="B78" s="398"/>
      <c r="C78" s="398"/>
      <c r="D78" s="398"/>
      <c r="E78" s="398"/>
      <c r="F78" s="398"/>
      <c r="G78" s="398"/>
      <c r="H78" s="398"/>
    </row>
    <row r="79" ht="16.5">
      <c r="A79" s="398" t="s">
        <v>390</v>
      </c>
    </row>
    <row r="80" ht="16.5">
      <c r="A80" s="399"/>
    </row>
    <row r="81" ht="16.5">
      <c r="A81" s="398"/>
    </row>
    <row r="82" ht="16.5">
      <c r="A82" s="398"/>
    </row>
    <row r="83" ht="16.5">
      <c r="A83" s="398"/>
    </row>
    <row r="84" ht="16.5">
      <c r="A84" s="398"/>
    </row>
    <row r="85" ht="16.5">
      <c r="A85" s="398"/>
    </row>
    <row r="86" ht="16.5">
      <c r="A86" s="398"/>
    </row>
    <row r="87" ht="16.5">
      <c r="A87" s="398"/>
    </row>
    <row r="88" ht="16.5">
      <c r="A88" s="398"/>
    </row>
    <row r="89" ht="16.5">
      <c r="A89" s="398"/>
    </row>
    <row r="90" ht="16.5">
      <c r="A90" s="398"/>
    </row>
    <row r="91" ht="16.5">
      <c r="A91" s="398"/>
    </row>
    <row r="92" ht="16.5">
      <c r="A92" s="398"/>
    </row>
    <row r="93" ht="16.5">
      <c r="A93" s="398"/>
    </row>
    <row r="94" ht="16.5">
      <c r="A94" s="398"/>
    </row>
    <row r="95" ht="16.5">
      <c r="A95" s="398"/>
    </row>
    <row r="96" ht="16.5">
      <c r="A96" s="398"/>
    </row>
    <row r="97" ht="16.5">
      <c r="A97" s="398"/>
    </row>
    <row r="98" ht="16.5">
      <c r="A98" s="398"/>
    </row>
    <row r="99" ht="16.5">
      <c r="A99" s="398"/>
    </row>
    <row r="100" ht="16.5">
      <c r="A100" s="398"/>
    </row>
    <row r="101" ht="16.5">
      <c r="A101" s="398"/>
    </row>
    <row r="103" ht="16.5">
      <c r="A103" s="398"/>
    </row>
    <row r="104" ht="16.5">
      <c r="A104" s="398"/>
    </row>
    <row r="105" ht="16.5">
      <c r="A105" s="398"/>
    </row>
    <row r="107" ht="16.5">
      <c r="A107" s="399"/>
    </row>
    <row r="108" ht="16.5">
      <c r="A108" s="399"/>
    </row>
    <row r="109" ht="16.5">
      <c r="A109"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97" t="s">
        <v>446</v>
      </c>
      <c r="B3" s="397"/>
      <c r="C3" s="397"/>
      <c r="D3" s="397"/>
      <c r="E3" s="397"/>
      <c r="F3" s="397"/>
      <c r="G3" s="397"/>
      <c r="H3" s="397"/>
      <c r="I3" s="397"/>
      <c r="J3" s="397"/>
      <c r="K3" s="397"/>
      <c r="L3" s="397"/>
    </row>
    <row r="4" spans="1:12" ht="16.5">
      <c r="A4" s="397"/>
      <c r="B4" s="397"/>
      <c r="C4" s="397"/>
      <c r="D4" s="397"/>
      <c r="E4" s="397"/>
      <c r="F4" s="397"/>
      <c r="G4" s="397"/>
      <c r="H4" s="397"/>
      <c r="I4" s="397"/>
      <c r="J4" s="397"/>
      <c r="K4" s="397"/>
      <c r="L4" s="397"/>
    </row>
    <row r="5" spans="1:12" ht="16.5">
      <c r="A5" s="398" t="s">
        <v>346</v>
      </c>
      <c r="I5" s="397"/>
      <c r="J5" s="397"/>
      <c r="K5" s="397"/>
      <c r="L5" s="397"/>
    </row>
    <row r="6" spans="1:12" ht="16.5">
      <c r="A6" s="398" t="str">
        <f>CONCATENATE("estimated ",inputPrYr!D11-1," 'total expenditures' exceed your ",inputPrYr!D11-1,"")</f>
        <v>estimated 2014 'total expenditures' exceed your 2014</v>
      </c>
      <c r="I6" s="397"/>
      <c r="J6" s="397"/>
      <c r="K6" s="397"/>
      <c r="L6" s="397"/>
    </row>
    <row r="7" spans="1:12" ht="16.5">
      <c r="A7" s="401" t="s">
        <v>447</v>
      </c>
      <c r="I7" s="397"/>
      <c r="J7" s="397"/>
      <c r="K7" s="397"/>
      <c r="L7" s="397"/>
    </row>
    <row r="8" spans="1:12" ht="16.5">
      <c r="A8" s="398"/>
      <c r="I8" s="397"/>
      <c r="J8" s="397"/>
      <c r="K8" s="397"/>
      <c r="L8" s="397"/>
    </row>
    <row r="9" spans="1:12" ht="16.5">
      <c r="A9" s="398" t="s">
        <v>448</v>
      </c>
      <c r="I9" s="397"/>
      <c r="J9" s="397"/>
      <c r="K9" s="397"/>
      <c r="L9" s="397"/>
    </row>
    <row r="10" spans="1:12" ht="16.5">
      <c r="A10" s="398" t="s">
        <v>449</v>
      </c>
      <c r="I10" s="397"/>
      <c r="J10" s="397"/>
      <c r="K10" s="397"/>
      <c r="L10" s="397"/>
    </row>
    <row r="11" spans="1:12" ht="16.5">
      <c r="A11" s="398" t="s">
        <v>450</v>
      </c>
      <c r="I11" s="397"/>
      <c r="J11" s="397"/>
      <c r="K11" s="397"/>
      <c r="L11" s="397"/>
    </row>
    <row r="12" spans="1:12" ht="16.5">
      <c r="A12" s="398" t="s">
        <v>451</v>
      </c>
      <c r="I12" s="397"/>
      <c r="J12" s="397"/>
      <c r="K12" s="397"/>
      <c r="L12" s="397"/>
    </row>
    <row r="13" spans="1:12" ht="16.5">
      <c r="A13" s="398" t="s">
        <v>452</v>
      </c>
      <c r="I13" s="397"/>
      <c r="J13" s="397"/>
      <c r="K13" s="397"/>
      <c r="L13" s="397"/>
    </row>
    <row r="14" spans="1:12" ht="16.5">
      <c r="A14" s="397"/>
      <c r="B14" s="397"/>
      <c r="C14" s="397"/>
      <c r="D14" s="397"/>
      <c r="E14" s="397"/>
      <c r="F14" s="397"/>
      <c r="G14" s="397"/>
      <c r="H14" s="397"/>
      <c r="I14" s="397"/>
      <c r="J14" s="397"/>
      <c r="K14" s="397"/>
      <c r="L14" s="397"/>
    </row>
    <row r="15" ht="16.5">
      <c r="A15" s="399" t="s">
        <v>453</v>
      </c>
    </row>
    <row r="16" ht="16.5">
      <c r="A16" s="399" t="s">
        <v>454</v>
      </c>
    </row>
    <row r="17" ht="16.5">
      <c r="A17" s="399"/>
    </row>
    <row r="18" spans="1:7" ht="16.5">
      <c r="A18" s="398" t="s">
        <v>455</v>
      </c>
      <c r="B18" s="398"/>
      <c r="C18" s="398"/>
      <c r="D18" s="398"/>
      <c r="E18" s="398"/>
      <c r="F18" s="398"/>
      <c r="G18" s="398"/>
    </row>
    <row r="19" spans="1:7" ht="16.5">
      <c r="A19" s="398" t="str">
        <f>CONCATENATE("your ",inputPrYr!D11-1," numbers to see what steps might be necessary to")</f>
        <v>your 2014 numbers to see what steps might be necessary to</v>
      </c>
      <c r="B19" s="398"/>
      <c r="C19" s="398"/>
      <c r="D19" s="398"/>
      <c r="E19" s="398"/>
      <c r="F19" s="398"/>
      <c r="G19" s="398"/>
    </row>
    <row r="20" spans="1:7" ht="16.5">
      <c r="A20" s="398" t="s">
        <v>456</v>
      </c>
      <c r="B20" s="398"/>
      <c r="C20" s="398"/>
      <c r="D20" s="398"/>
      <c r="E20" s="398"/>
      <c r="F20" s="398"/>
      <c r="G20" s="398"/>
    </row>
    <row r="21" spans="1:7" ht="16.5">
      <c r="A21" s="398" t="s">
        <v>457</v>
      </c>
      <c r="B21" s="398"/>
      <c r="C21" s="398"/>
      <c r="D21" s="398"/>
      <c r="E21" s="398"/>
      <c r="F21" s="398"/>
      <c r="G21" s="398"/>
    </row>
    <row r="22" ht="16.5">
      <c r="A22" s="398"/>
    </row>
    <row r="23" ht="16.5">
      <c r="A23" s="399" t="s">
        <v>458</v>
      </c>
    </row>
    <row r="24" ht="16.5">
      <c r="A24" s="399"/>
    </row>
    <row r="25" ht="16.5">
      <c r="A25" s="398" t="s">
        <v>459</v>
      </c>
    </row>
    <row r="26" spans="1:6" ht="16.5">
      <c r="A26" s="398" t="s">
        <v>460</v>
      </c>
      <c r="B26" s="398"/>
      <c r="C26" s="398"/>
      <c r="D26" s="398"/>
      <c r="E26" s="398"/>
      <c r="F26" s="398"/>
    </row>
    <row r="27" spans="1:6" ht="16.5">
      <c r="A27" s="398" t="s">
        <v>461</v>
      </c>
      <c r="B27" s="398"/>
      <c r="C27" s="398"/>
      <c r="D27" s="398"/>
      <c r="E27" s="398"/>
      <c r="F27" s="398"/>
    </row>
    <row r="28" spans="1:6" ht="16.5">
      <c r="A28" s="398" t="s">
        <v>462</v>
      </c>
      <c r="B28" s="398"/>
      <c r="C28" s="398"/>
      <c r="D28" s="398"/>
      <c r="E28" s="398"/>
      <c r="F28" s="398"/>
    </row>
    <row r="29" spans="1:6" ht="16.5">
      <c r="A29" s="398"/>
      <c r="B29" s="398"/>
      <c r="C29" s="398"/>
      <c r="D29" s="398"/>
      <c r="E29" s="398"/>
      <c r="F29" s="398"/>
    </row>
    <row r="30" spans="1:7" ht="16.5">
      <c r="A30" s="399" t="s">
        <v>463</v>
      </c>
      <c r="B30" s="399"/>
      <c r="C30" s="399"/>
      <c r="D30" s="399"/>
      <c r="E30" s="399"/>
      <c r="F30" s="399"/>
      <c r="G30" s="399"/>
    </row>
    <row r="31" spans="1:7" ht="16.5">
      <c r="A31" s="399" t="s">
        <v>464</v>
      </c>
      <c r="B31" s="399"/>
      <c r="C31" s="399"/>
      <c r="D31" s="399"/>
      <c r="E31" s="399"/>
      <c r="F31" s="399"/>
      <c r="G31" s="399"/>
    </row>
    <row r="32" spans="1:6" ht="16.5">
      <c r="A32" s="398"/>
      <c r="B32" s="398"/>
      <c r="C32" s="398"/>
      <c r="D32" s="398"/>
      <c r="E32" s="398"/>
      <c r="F32" s="398"/>
    </row>
    <row r="33" spans="1:6" ht="16.5">
      <c r="A33" s="402" t="str">
        <f>CONCATENATE("Well, let's look to see if any of your ",inputPrYr!D11-1," expenditures can")</f>
        <v>Well, let's look to see if any of your 2014 expenditures can</v>
      </c>
      <c r="B33" s="398"/>
      <c r="C33" s="398"/>
      <c r="D33" s="398"/>
      <c r="E33" s="398"/>
      <c r="F33" s="398"/>
    </row>
    <row r="34" spans="1:6" ht="16.5">
      <c r="A34" s="402" t="s">
        <v>465</v>
      </c>
      <c r="B34" s="398"/>
      <c r="C34" s="398"/>
      <c r="D34" s="398"/>
      <c r="E34" s="398"/>
      <c r="F34" s="398"/>
    </row>
    <row r="35" spans="1:6" ht="16.5">
      <c r="A35" s="402" t="s">
        <v>360</v>
      </c>
      <c r="B35" s="398"/>
      <c r="C35" s="398"/>
      <c r="D35" s="398"/>
      <c r="E35" s="398"/>
      <c r="F35" s="398"/>
    </row>
    <row r="36" spans="1:6" ht="16.5">
      <c r="A36" s="402" t="s">
        <v>361</v>
      </c>
      <c r="B36" s="398"/>
      <c r="C36" s="398"/>
      <c r="D36" s="398"/>
      <c r="E36" s="398"/>
      <c r="F36" s="398"/>
    </row>
    <row r="37" spans="1:6" ht="16.5">
      <c r="A37" s="402"/>
      <c r="B37" s="398"/>
      <c r="C37" s="398"/>
      <c r="D37" s="398"/>
      <c r="E37" s="398"/>
      <c r="F37" s="398"/>
    </row>
    <row r="38" spans="1:6" ht="16.5">
      <c r="A38" s="402" t="str">
        <f>CONCATENATE("Additionally, do your ",inputPrYr!D11-1," receipts contain a reimbursement")</f>
        <v>Additionally, do your 2014 receipts contain a reimbursement</v>
      </c>
      <c r="B38" s="398"/>
      <c r="C38" s="398"/>
      <c r="D38" s="398"/>
      <c r="E38" s="398"/>
      <c r="F38" s="398"/>
    </row>
    <row r="39" spans="1:6" ht="16.5">
      <c r="A39" s="402" t="s">
        <v>362</v>
      </c>
      <c r="B39" s="398"/>
      <c r="C39" s="398"/>
      <c r="D39" s="398"/>
      <c r="E39" s="398"/>
      <c r="F39" s="398"/>
    </row>
    <row r="40" spans="1:6" ht="16.5">
      <c r="A40" s="402" t="s">
        <v>363</v>
      </c>
      <c r="B40" s="398"/>
      <c r="C40" s="398"/>
      <c r="D40" s="398"/>
      <c r="E40" s="398"/>
      <c r="F40" s="398"/>
    </row>
    <row r="41" spans="1:6" ht="16.5">
      <c r="A41" s="402"/>
      <c r="B41" s="398"/>
      <c r="C41" s="398"/>
      <c r="D41" s="398"/>
      <c r="E41" s="398"/>
      <c r="F41" s="398"/>
    </row>
    <row r="42" spans="1:6" ht="16.5">
      <c r="A42" s="402" t="s">
        <v>466</v>
      </c>
      <c r="B42" s="398"/>
      <c r="C42" s="398"/>
      <c r="D42" s="398"/>
      <c r="E42" s="398"/>
      <c r="F42" s="398"/>
    </row>
    <row r="43" spans="1:6" ht="16.5">
      <c r="A43" s="402" t="s">
        <v>467</v>
      </c>
      <c r="B43" s="398"/>
      <c r="C43" s="398"/>
      <c r="D43" s="398"/>
      <c r="E43" s="398"/>
      <c r="F43" s="398"/>
    </row>
    <row r="44" spans="1:6" ht="16.5">
      <c r="A44" s="402" t="s">
        <v>468</v>
      </c>
      <c r="B44" s="398"/>
      <c r="C44" s="398"/>
      <c r="D44" s="398"/>
      <c r="E44" s="398"/>
      <c r="F44" s="398"/>
    </row>
    <row r="45" spans="1:6" ht="16.5">
      <c r="A45" s="402" t="s">
        <v>469</v>
      </c>
      <c r="B45" s="398"/>
      <c r="C45" s="398"/>
      <c r="D45" s="398"/>
      <c r="E45" s="398"/>
      <c r="F45" s="398"/>
    </row>
    <row r="46" spans="1:6" ht="16.5">
      <c r="A46" s="402" t="s">
        <v>470</v>
      </c>
      <c r="B46" s="398"/>
      <c r="C46" s="398"/>
      <c r="D46" s="398"/>
      <c r="E46" s="398"/>
      <c r="F46" s="398"/>
    </row>
    <row r="47" spans="1:6" ht="16.5">
      <c r="A47" s="402"/>
      <c r="B47" s="398"/>
      <c r="C47" s="398"/>
      <c r="D47" s="398"/>
      <c r="E47" s="398"/>
      <c r="F47" s="398"/>
    </row>
    <row r="48" spans="1:6" ht="16.5">
      <c r="A48" s="403" t="s">
        <v>471</v>
      </c>
      <c r="B48" s="398"/>
      <c r="C48" s="398"/>
      <c r="D48" s="398"/>
      <c r="E48" s="398"/>
      <c r="F48" s="398"/>
    </row>
    <row r="49" spans="1:6" ht="16.5">
      <c r="A49" s="403" t="s">
        <v>472</v>
      </c>
      <c r="B49" s="398"/>
      <c r="C49" s="398"/>
      <c r="D49" s="398"/>
      <c r="E49" s="398"/>
      <c r="F49" s="398"/>
    </row>
    <row r="50" spans="1:6" ht="16.5">
      <c r="A50" s="403" t="s">
        <v>473</v>
      </c>
      <c r="B50" s="398"/>
      <c r="C50" s="398"/>
      <c r="D50" s="398"/>
      <c r="E50" s="398"/>
      <c r="F50" s="398"/>
    </row>
    <row r="51" ht="16.5">
      <c r="A51" s="403" t="s">
        <v>474</v>
      </c>
    </row>
    <row r="52" ht="16.5">
      <c r="A52" s="403" t="s">
        <v>475</v>
      </c>
    </row>
    <row r="53" ht="16.5">
      <c r="A53" s="403" t="s">
        <v>476</v>
      </c>
    </row>
    <row r="55" ht="16.5">
      <c r="A55" s="398" t="s">
        <v>477</v>
      </c>
    </row>
    <row r="56" ht="16.5">
      <c r="A56" s="398" t="s">
        <v>478</v>
      </c>
    </row>
    <row r="57" ht="16.5">
      <c r="A57" s="398" t="s">
        <v>479</v>
      </c>
    </row>
    <row r="58" ht="16.5">
      <c r="A58" s="398" t="s">
        <v>480</v>
      </c>
    </row>
    <row r="59" ht="16.5">
      <c r="A59" s="398" t="s">
        <v>481</v>
      </c>
    </row>
    <row r="60" ht="16.5">
      <c r="A60" s="398" t="s">
        <v>482</v>
      </c>
    </row>
    <row r="62" ht="16.5">
      <c r="A62" s="398"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7" t="s">
        <v>483</v>
      </c>
      <c r="B3" s="397"/>
      <c r="C3" s="397"/>
      <c r="D3" s="397"/>
      <c r="E3" s="397"/>
      <c r="F3" s="397"/>
      <c r="G3" s="397"/>
    </row>
    <row r="4" spans="1:7" ht="16.5">
      <c r="A4" s="397"/>
      <c r="B4" s="397"/>
      <c r="C4" s="397"/>
      <c r="D4" s="397"/>
      <c r="E4" s="397"/>
      <c r="F4" s="397"/>
      <c r="G4" s="397"/>
    </row>
    <row r="5" ht="16.5">
      <c r="A5" s="398" t="s">
        <v>392</v>
      </c>
    </row>
    <row r="6" ht="16.5">
      <c r="A6" s="398" t="str">
        <f>CONCATENATE(inputPrYr!D11-1," estimated expenditures show that at the end of this year")</f>
        <v>2014 estimated expenditures show that at the end of this year</v>
      </c>
    </row>
    <row r="7" ht="16.5">
      <c r="A7" s="398" t="s">
        <v>484</v>
      </c>
    </row>
    <row r="8" ht="16.5">
      <c r="A8" s="398" t="s">
        <v>485</v>
      </c>
    </row>
    <row r="10" ht="16.5">
      <c r="A10" t="s">
        <v>394</v>
      </c>
    </row>
    <row r="11" ht="16.5">
      <c r="A11" t="s">
        <v>395</v>
      </c>
    </row>
    <row r="12" ht="16.5">
      <c r="A12" t="s">
        <v>396</v>
      </c>
    </row>
    <row r="13" spans="1:7" ht="16.5">
      <c r="A13" s="397"/>
      <c r="B13" s="397"/>
      <c r="C13" s="397"/>
      <c r="D13" s="397"/>
      <c r="E13" s="397"/>
      <c r="F13" s="397"/>
      <c r="G13" s="397"/>
    </row>
    <row r="14" ht="16.5">
      <c r="A14" s="399" t="s">
        <v>486</v>
      </c>
    </row>
    <row r="15" ht="16.5">
      <c r="A15" s="398"/>
    </row>
    <row r="16" ht="16.5">
      <c r="A16" s="398" t="s">
        <v>487</v>
      </c>
    </row>
    <row r="17" ht="16.5">
      <c r="A17" s="398" t="s">
        <v>488</v>
      </c>
    </row>
    <row r="18" ht="16.5">
      <c r="A18" s="398" t="s">
        <v>489</v>
      </c>
    </row>
    <row r="19" ht="16.5">
      <c r="A19" s="398"/>
    </row>
    <row r="20" ht="16.5">
      <c r="A20" s="398" t="s">
        <v>490</v>
      </c>
    </row>
    <row r="21" ht="16.5">
      <c r="A21" s="398" t="s">
        <v>491</v>
      </c>
    </row>
    <row r="22" ht="16.5">
      <c r="A22" s="398" t="s">
        <v>492</v>
      </c>
    </row>
    <row r="23" ht="16.5">
      <c r="A23" s="398" t="s">
        <v>493</v>
      </c>
    </row>
    <row r="24" ht="16.5">
      <c r="A24" s="398"/>
    </row>
    <row r="25" ht="16.5">
      <c r="A25" s="399" t="s">
        <v>458</v>
      </c>
    </row>
    <row r="26" ht="16.5">
      <c r="A26" s="399"/>
    </row>
    <row r="27" ht="16.5">
      <c r="A27" s="398" t="s">
        <v>459</v>
      </c>
    </row>
    <row r="28" spans="1:6" ht="16.5">
      <c r="A28" s="398" t="s">
        <v>460</v>
      </c>
      <c r="B28" s="398"/>
      <c r="C28" s="398"/>
      <c r="D28" s="398"/>
      <c r="E28" s="398"/>
      <c r="F28" s="398"/>
    </row>
    <row r="29" spans="1:6" ht="16.5">
      <c r="A29" s="398" t="s">
        <v>461</v>
      </c>
      <c r="B29" s="398"/>
      <c r="C29" s="398"/>
      <c r="D29" s="398"/>
      <c r="E29" s="398"/>
      <c r="F29" s="398"/>
    </row>
    <row r="30" spans="1:6" ht="16.5">
      <c r="A30" s="398" t="s">
        <v>462</v>
      </c>
      <c r="B30" s="398"/>
      <c r="C30" s="398"/>
      <c r="D30" s="398"/>
      <c r="E30" s="398"/>
      <c r="F30" s="398"/>
    </row>
    <row r="31" ht="16.5">
      <c r="A31" s="398"/>
    </row>
    <row r="32" spans="1:7" ht="16.5">
      <c r="A32" s="399" t="s">
        <v>463</v>
      </c>
      <c r="B32" s="399"/>
      <c r="C32" s="399"/>
      <c r="D32" s="399"/>
      <c r="E32" s="399"/>
      <c r="F32" s="399"/>
      <c r="G32" s="399"/>
    </row>
    <row r="33" spans="1:7" ht="16.5">
      <c r="A33" s="399" t="s">
        <v>464</v>
      </c>
      <c r="B33" s="399"/>
      <c r="C33" s="399"/>
      <c r="D33" s="399"/>
      <c r="E33" s="399"/>
      <c r="F33" s="399"/>
      <c r="G33" s="399"/>
    </row>
    <row r="34" spans="1:7" ht="16.5">
      <c r="A34" s="399"/>
      <c r="B34" s="399"/>
      <c r="C34" s="399"/>
      <c r="D34" s="399"/>
      <c r="E34" s="399"/>
      <c r="F34" s="399"/>
      <c r="G34" s="399"/>
    </row>
    <row r="35" spans="1:7" ht="16.5">
      <c r="A35" s="398" t="s">
        <v>494</v>
      </c>
      <c r="B35" s="398"/>
      <c r="C35" s="398"/>
      <c r="D35" s="398"/>
      <c r="E35" s="398"/>
      <c r="F35" s="398"/>
      <c r="G35" s="398"/>
    </row>
    <row r="36" spans="1:7" ht="16.5">
      <c r="A36" s="398" t="s">
        <v>495</v>
      </c>
      <c r="B36" s="398"/>
      <c r="C36" s="398"/>
      <c r="D36" s="398"/>
      <c r="E36" s="398"/>
      <c r="F36" s="398"/>
      <c r="G36" s="398"/>
    </row>
    <row r="37" spans="1:7" ht="16.5">
      <c r="A37" s="398" t="s">
        <v>496</v>
      </c>
      <c r="B37" s="398"/>
      <c r="C37" s="398"/>
      <c r="D37" s="398"/>
      <c r="E37" s="398"/>
      <c r="F37" s="398"/>
      <c r="G37" s="398"/>
    </row>
    <row r="38" spans="1:7" ht="16.5">
      <c r="A38" s="398" t="s">
        <v>497</v>
      </c>
      <c r="B38" s="398"/>
      <c r="C38" s="398"/>
      <c r="D38" s="398"/>
      <c r="E38" s="398"/>
      <c r="F38" s="398"/>
      <c r="G38" s="398"/>
    </row>
    <row r="39" spans="1:7" ht="16.5">
      <c r="A39" s="398" t="s">
        <v>498</v>
      </c>
      <c r="B39" s="398"/>
      <c r="C39" s="398"/>
      <c r="D39" s="398"/>
      <c r="E39" s="398"/>
      <c r="F39" s="398"/>
      <c r="G39" s="398"/>
    </row>
    <row r="40" spans="1:7" ht="16.5">
      <c r="A40" s="399"/>
      <c r="B40" s="399"/>
      <c r="C40" s="399"/>
      <c r="D40" s="399"/>
      <c r="E40" s="399"/>
      <c r="F40" s="399"/>
      <c r="G40" s="399"/>
    </row>
    <row r="41" spans="1:6" ht="16.5">
      <c r="A41" s="402" t="str">
        <f>CONCATENATE("So, let's look to see if any of your ",inputPrYr!D11-1," expenditures can")</f>
        <v>So, let's look to see if any of your 2014 expenditures can</v>
      </c>
      <c r="B41" s="398"/>
      <c r="C41" s="398"/>
      <c r="D41" s="398"/>
      <c r="E41" s="398"/>
      <c r="F41" s="398"/>
    </row>
    <row r="42" spans="1:6" ht="16.5">
      <c r="A42" s="402" t="s">
        <v>465</v>
      </c>
      <c r="B42" s="398"/>
      <c r="C42" s="398"/>
      <c r="D42" s="398"/>
      <c r="E42" s="398"/>
      <c r="F42" s="398"/>
    </row>
    <row r="43" spans="1:6" ht="16.5">
      <c r="A43" s="402" t="s">
        <v>360</v>
      </c>
      <c r="B43" s="398"/>
      <c r="C43" s="398"/>
      <c r="D43" s="398"/>
      <c r="E43" s="398"/>
      <c r="F43" s="398"/>
    </row>
    <row r="44" spans="1:6" ht="16.5">
      <c r="A44" s="402" t="s">
        <v>361</v>
      </c>
      <c r="B44" s="398"/>
      <c r="C44" s="398"/>
      <c r="D44" s="398"/>
      <c r="E44" s="398"/>
      <c r="F44" s="398"/>
    </row>
    <row r="45" ht="16.5">
      <c r="A45" s="398"/>
    </row>
    <row r="46" spans="1:6" ht="16.5">
      <c r="A46" s="402" t="str">
        <f>CONCATENATE("Additionally, do your ",inputPrYr!D11-1," receipts contain a reimbursement")</f>
        <v>Additionally, do your 2014 receipts contain a reimbursement</v>
      </c>
      <c r="B46" s="398"/>
      <c r="C46" s="398"/>
      <c r="D46" s="398"/>
      <c r="E46" s="398"/>
      <c r="F46" s="398"/>
    </row>
    <row r="47" spans="1:6" ht="16.5">
      <c r="A47" s="402" t="s">
        <v>362</v>
      </c>
      <c r="B47" s="398"/>
      <c r="C47" s="398"/>
      <c r="D47" s="398"/>
      <c r="E47" s="398"/>
      <c r="F47" s="398"/>
    </row>
    <row r="48" spans="1:6" ht="16.5">
      <c r="A48" s="402" t="s">
        <v>363</v>
      </c>
      <c r="B48" s="398"/>
      <c r="C48" s="398"/>
      <c r="D48" s="398"/>
      <c r="E48" s="398"/>
      <c r="F48" s="398"/>
    </row>
    <row r="49" spans="1:7" ht="16.5">
      <c r="A49" s="398"/>
      <c r="B49" s="398"/>
      <c r="C49" s="398"/>
      <c r="D49" s="398"/>
      <c r="E49" s="398"/>
      <c r="F49" s="398"/>
      <c r="G49" s="398"/>
    </row>
    <row r="50" spans="1:7" ht="16.5">
      <c r="A50" s="398" t="s">
        <v>419</v>
      </c>
      <c r="B50" s="398"/>
      <c r="C50" s="398"/>
      <c r="D50" s="398"/>
      <c r="E50" s="398"/>
      <c r="F50" s="398"/>
      <c r="G50" s="398"/>
    </row>
    <row r="51" spans="1:7" ht="16.5">
      <c r="A51" s="398" t="s">
        <v>420</v>
      </c>
      <c r="B51" s="398"/>
      <c r="C51" s="398"/>
      <c r="D51" s="398"/>
      <c r="E51" s="398"/>
      <c r="F51" s="398"/>
      <c r="G51" s="398"/>
    </row>
    <row r="52" spans="1:7" ht="16.5">
      <c r="A52" s="398" t="s">
        <v>421</v>
      </c>
      <c r="B52" s="398"/>
      <c r="C52" s="398"/>
      <c r="D52" s="398"/>
      <c r="E52" s="398"/>
      <c r="F52" s="398"/>
      <c r="G52" s="398"/>
    </row>
    <row r="53" spans="1:7" ht="16.5">
      <c r="A53" s="398" t="s">
        <v>422</v>
      </c>
      <c r="B53" s="398"/>
      <c r="C53" s="398"/>
      <c r="D53" s="398"/>
      <c r="E53" s="398"/>
      <c r="F53" s="398"/>
      <c r="G53" s="398"/>
    </row>
    <row r="54" spans="1:7" ht="16.5">
      <c r="A54" s="398" t="s">
        <v>423</v>
      </c>
      <c r="B54" s="398"/>
      <c r="C54" s="398"/>
      <c r="D54" s="398"/>
      <c r="E54" s="398"/>
      <c r="F54" s="398"/>
      <c r="G54" s="398"/>
    </row>
    <row r="55" spans="1:7" ht="16.5">
      <c r="A55" s="398"/>
      <c r="B55" s="398"/>
      <c r="C55" s="398"/>
      <c r="D55" s="398"/>
      <c r="E55" s="398"/>
      <c r="F55" s="398"/>
      <c r="G55" s="398"/>
    </row>
    <row r="56" spans="1:6" ht="16.5">
      <c r="A56" s="402" t="s">
        <v>499</v>
      </c>
      <c r="B56" s="398"/>
      <c r="C56" s="398"/>
      <c r="D56" s="398"/>
      <c r="E56" s="398"/>
      <c r="F56" s="398"/>
    </row>
    <row r="57" spans="1:6" ht="16.5">
      <c r="A57" s="402" t="s">
        <v>500</v>
      </c>
      <c r="B57" s="398"/>
      <c r="C57" s="398"/>
      <c r="D57" s="398"/>
      <c r="E57" s="398"/>
      <c r="F57" s="398"/>
    </row>
    <row r="58" spans="1:6" ht="16.5">
      <c r="A58" s="402" t="s">
        <v>501</v>
      </c>
      <c r="B58" s="398"/>
      <c r="C58" s="398"/>
      <c r="D58" s="398"/>
      <c r="E58" s="398"/>
      <c r="F58" s="398"/>
    </row>
    <row r="59" spans="1:6" ht="16.5">
      <c r="A59" s="402"/>
      <c r="B59" s="398"/>
      <c r="C59" s="398"/>
      <c r="D59" s="398"/>
      <c r="E59" s="398"/>
      <c r="F59" s="398"/>
    </row>
    <row r="60" spans="1:7" ht="16.5">
      <c r="A60" s="398" t="s">
        <v>502</v>
      </c>
      <c r="B60" s="398"/>
      <c r="C60" s="398"/>
      <c r="D60" s="398"/>
      <c r="E60" s="398"/>
      <c r="F60" s="398"/>
      <c r="G60" s="398"/>
    </row>
    <row r="61" spans="1:7" ht="16.5">
      <c r="A61" s="398" t="s">
        <v>503</v>
      </c>
      <c r="B61" s="398"/>
      <c r="C61" s="398"/>
      <c r="D61" s="398"/>
      <c r="E61" s="398"/>
      <c r="F61" s="398"/>
      <c r="G61" s="398"/>
    </row>
    <row r="62" spans="1:7" ht="16.5">
      <c r="A62" s="398" t="s">
        <v>504</v>
      </c>
      <c r="B62" s="398"/>
      <c r="C62" s="398"/>
      <c r="D62" s="398"/>
      <c r="E62" s="398"/>
      <c r="F62" s="398"/>
      <c r="G62" s="398"/>
    </row>
    <row r="63" spans="1:7" ht="16.5">
      <c r="A63" s="398" t="s">
        <v>505</v>
      </c>
      <c r="B63" s="398"/>
      <c r="C63" s="398"/>
      <c r="D63" s="398"/>
      <c r="E63" s="398"/>
      <c r="F63" s="398"/>
      <c r="G63" s="398"/>
    </row>
    <row r="64" spans="1:7" ht="16.5">
      <c r="A64" s="398" t="s">
        <v>506</v>
      </c>
      <c r="B64" s="398"/>
      <c r="C64" s="398"/>
      <c r="D64" s="398"/>
      <c r="E64" s="398"/>
      <c r="F64" s="398"/>
      <c r="G64" s="398"/>
    </row>
    <row r="66" spans="1:6" ht="16.5">
      <c r="A66" s="402" t="s">
        <v>466</v>
      </c>
      <c r="B66" s="398"/>
      <c r="C66" s="398"/>
      <c r="D66" s="398"/>
      <c r="E66" s="398"/>
      <c r="F66" s="398"/>
    </row>
    <row r="67" spans="1:6" ht="16.5">
      <c r="A67" s="402" t="s">
        <v>467</v>
      </c>
      <c r="B67" s="398"/>
      <c r="C67" s="398"/>
      <c r="D67" s="398"/>
      <c r="E67" s="398"/>
      <c r="F67" s="398"/>
    </row>
    <row r="68" spans="1:6" ht="16.5">
      <c r="A68" s="402" t="s">
        <v>468</v>
      </c>
      <c r="B68" s="398"/>
      <c r="C68" s="398"/>
      <c r="D68" s="398"/>
      <c r="E68" s="398"/>
      <c r="F68" s="398"/>
    </row>
    <row r="69" spans="1:6" ht="16.5">
      <c r="A69" s="402" t="s">
        <v>469</v>
      </c>
      <c r="B69" s="398"/>
      <c r="C69" s="398"/>
      <c r="D69" s="398"/>
      <c r="E69" s="398"/>
      <c r="F69" s="398"/>
    </row>
    <row r="70" spans="1:6" ht="16.5">
      <c r="A70" s="402" t="s">
        <v>470</v>
      </c>
      <c r="B70" s="398"/>
      <c r="C70" s="398"/>
      <c r="D70" s="398"/>
      <c r="E70" s="398"/>
      <c r="F70" s="398"/>
    </row>
    <row r="71" ht="16.5">
      <c r="A71" s="398"/>
    </row>
    <row r="72" ht="16.5">
      <c r="A72" s="398" t="s">
        <v>390</v>
      </c>
    </row>
    <row r="73" ht="16.5">
      <c r="A73" s="398"/>
    </row>
    <row r="74" ht="16.5">
      <c r="A74" s="398"/>
    </row>
    <row r="75" ht="16.5">
      <c r="A75" s="398"/>
    </row>
    <row r="78" ht="16.5">
      <c r="A78" s="399"/>
    </row>
    <row r="80" ht="16.5">
      <c r="A80" s="398"/>
    </row>
    <row r="81" ht="16.5">
      <c r="A81" s="398"/>
    </row>
    <row r="82" ht="16.5">
      <c r="A82" s="398"/>
    </row>
    <row r="83" ht="16.5">
      <c r="A83" s="398"/>
    </row>
    <row r="84" ht="16.5">
      <c r="A84" s="398"/>
    </row>
    <row r="85" ht="16.5">
      <c r="A85" s="398"/>
    </row>
    <row r="86" ht="16.5">
      <c r="A86" s="398"/>
    </row>
    <row r="87" ht="16.5">
      <c r="A87" s="398"/>
    </row>
    <row r="88" ht="16.5">
      <c r="A88" s="398"/>
    </row>
    <row r="89" ht="16.5">
      <c r="A89" s="398"/>
    </row>
    <row r="90" ht="16.5">
      <c r="A90" s="398"/>
    </row>
    <row r="92" ht="16.5">
      <c r="A92" s="398"/>
    </row>
    <row r="93" ht="16.5">
      <c r="A93" s="398"/>
    </row>
    <row r="94" ht="16.5">
      <c r="A94" s="398"/>
    </row>
    <row r="95" ht="16.5">
      <c r="A95" s="398"/>
    </row>
    <row r="96" ht="16.5">
      <c r="A96" s="398"/>
    </row>
    <row r="97" ht="16.5">
      <c r="A97" s="398"/>
    </row>
    <row r="98" ht="16.5">
      <c r="A98" s="398"/>
    </row>
    <row r="99" ht="16.5">
      <c r="A99" s="398"/>
    </row>
    <row r="100" ht="16.5">
      <c r="A100" s="398"/>
    </row>
    <row r="101" ht="16.5">
      <c r="A101" s="398"/>
    </row>
    <row r="102" ht="16.5">
      <c r="A102" s="398"/>
    </row>
    <row r="103" ht="16.5">
      <c r="A103" s="398"/>
    </row>
    <row r="104" ht="16.5">
      <c r="A104" s="398"/>
    </row>
    <row r="105" ht="16.5">
      <c r="A105" s="398"/>
    </row>
    <row r="106" ht="16.5">
      <c r="A106" s="39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7" t="s">
        <v>507</v>
      </c>
      <c r="B3" s="397"/>
      <c r="C3" s="397"/>
      <c r="D3" s="397"/>
      <c r="E3" s="397"/>
      <c r="F3" s="397"/>
      <c r="G3" s="397"/>
    </row>
    <row r="4" spans="1:7" ht="16.5">
      <c r="A4" s="397" t="s">
        <v>508</v>
      </c>
      <c r="B4" s="397"/>
      <c r="C4" s="397"/>
      <c r="D4" s="397"/>
      <c r="E4" s="397"/>
      <c r="F4" s="397"/>
      <c r="G4" s="397"/>
    </row>
    <row r="5" spans="1:7" ht="16.5">
      <c r="A5" s="397"/>
      <c r="B5" s="397"/>
      <c r="C5" s="397"/>
      <c r="D5" s="397"/>
      <c r="E5" s="397"/>
      <c r="F5" s="397"/>
      <c r="G5" s="397"/>
    </row>
    <row r="6" spans="1:7" ht="16.5">
      <c r="A6" s="397"/>
      <c r="B6" s="397"/>
      <c r="C6" s="397"/>
      <c r="D6" s="397"/>
      <c r="E6" s="397"/>
      <c r="F6" s="397"/>
      <c r="G6" s="397"/>
    </row>
    <row r="7" ht="16.5">
      <c r="A7" s="398" t="s">
        <v>346</v>
      </c>
    </row>
    <row r="8" ht="16.5">
      <c r="A8" s="398" t="str">
        <f>CONCATENATE("estimated ",inputPrYr!D11," 'total expenditures' exceed your ",inputPrYr!D11,"")</f>
        <v>estimated 2015 'total expenditures' exceed your 2015</v>
      </c>
    </row>
    <row r="9" ht="16.5">
      <c r="A9" s="401" t="s">
        <v>509</v>
      </c>
    </row>
    <row r="10" ht="16.5">
      <c r="A10" s="398"/>
    </row>
    <row r="11" ht="16.5">
      <c r="A11" s="398" t="s">
        <v>510</v>
      </c>
    </row>
    <row r="12" ht="16.5">
      <c r="A12" s="398" t="s">
        <v>511</v>
      </c>
    </row>
    <row r="13" ht="16.5">
      <c r="A13" s="398" t="s">
        <v>512</v>
      </c>
    </row>
    <row r="14" ht="16.5">
      <c r="A14" s="398"/>
    </row>
    <row r="15" ht="16.5">
      <c r="A15" s="399" t="s">
        <v>513</v>
      </c>
    </row>
    <row r="16" spans="1:7" ht="16.5">
      <c r="A16" s="397"/>
      <c r="B16" s="397"/>
      <c r="C16" s="397"/>
      <c r="D16" s="397"/>
      <c r="E16" s="397"/>
      <c r="F16" s="397"/>
      <c r="G16" s="397"/>
    </row>
    <row r="17" spans="1:8" ht="16.5">
      <c r="A17" s="404" t="s">
        <v>514</v>
      </c>
      <c r="B17" s="405"/>
      <c r="C17" s="405"/>
      <c r="D17" s="405"/>
      <c r="E17" s="405"/>
      <c r="F17" s="405"/>
      <c r="G17" s="405"/>
      <c r="H17" s="405"/>
    </row>
    <row r="18" spans="1:7" ht="16.5">
      <c r="A18" s="398" t="s">
        <v>515</v>
      </c>
      <c r="B18" s="406"/>
      <c r="C18" s="406"/>
      <c r="D18" s="406"/>
      <c r="E18" s="406"/>
      <c r="F18" s="406"/>
      <c r="G18" s="406"/>
    </row>
    <row r="19" ht="16.5">
      <c r="A19" s="398" t="s">
        <v>516</v>
      </c>
    </row>
    <row r="20" ht="16.5">
      <c r="A20" s="398" t="s">
        <v>517</v>
      </c>
    </row>
    <row r="22" ht="16.5">
      <c r="A22" s="399" t="s">
        <v>518</v>
      </c>
    </row>
    <row r="24" ht="16.5">
      <c r="A24" s="398" t="s">
        <v>519</v>
      </c>
    </row>
    <row r="25" ht="16.5">
      <c r="A25" s="398" t="s">
        <v>520</v>
      </c>
    </row>
    <row r="26" ht="16.5">
      <c r="A26" s="398" t="s">
        <v>521</v>
      </c>
    </row>
    <row r="28" ht="16.5">
      <c r="A28" s="399" t="s">
        <v>522</v>
      </c>
    </row>
    <row r="30" ht="16.5">
      <c r="A30" t="s">
        <v>523</v>
      </c>
    </row>
    <row r="31" ht="16.5">
      <c r="A31" t="s">
        <v>524</v>
      </c>
    </row>
    <row r="32" ht="16.5">
      <c r="A32" t="s">
        <v>525</v>
      </c>
    </row>
    <row r="33" ht="16.5">
      <c r="A33" s="398" t="s">
        <v>526</v>
      </c>
    </row>
    <row r="35" ht="16.5">
      <c r="A35" t="s">
        <v>527</v>
      </c>
    </row>
    <row r="36" ht="16.5">
      <c r="A36" t="s">
        <v>528</v>
      </c>
    </row>
    <row r="37" ht="16.5">
      <c r="A37" t="s">
        <v>529</v>
      </c>
    </row>
    <row r="38" ht="16.5">
      <c r="A38" t="s">
        <v>530</v>
      </c>
    </row>
    <row r="40" ht="16.5">
      <c r="A40" t="s">
        <v>531</v>
      </c>
    </row>
    <row r="41" ht="16.5">
      <c r="A41" t="s">
        <v>532</v>
      </c>
    </row>
    <row r="42" ht="16.5">
      <c r="A42" t="s">
        <v>533</v>
      </c>
    </row>
    <row r="43" ht="16.5">
      <c r="A43" t="s">
        <v>534</v>
      </c>
    </row>
    <row r="44" ht="16.5">
      <c r="A44" t="s">
        <v>535</v>
      </c>
    </row>
    <row r="45" ht="16.5">
      <c r="A45" t="s">
        <v>536</v>
      </c>
    </row>
    <row r="47" ht="16.5">
      <c r="A47" t="s">
        <v>537</v>
      </c>
    </row>
    <row r="48" ht="16.5">
      <c r="A48" t="s">
        <v>538</v>
      </c>
    </row>
    <row r="49" ht="16.5">
      <c r="A49" s="398" t="s">
        <v>539</v>
      </c>
    </row>
    <row r="50" ht="16.5">
      <c r="A50" s="398" t="s">
        <v>540</v>
      </c>
    </row>
    <row r="52" ht="16.5">
      <c r="A52" t="s">
        <v>390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517" t="s">
        <v>652</v>
      </c>
    </row>
    <row r="3" ht="32.25">
      <c r="A3" s="518" t="s">
        <v>653</v>
      </c>
    </row>
    <row r="4" ht="16.5">
      <c r="A4" s="519" t="s">
        <v>654</v>
      </c>
    </row>
    <row r="7" ht="32.25">
      <c r="A7" s="518" t="s">
        <v>655</v>
      </c>
    </row>
    <row r="8" ht="16.5">
      <c r="A8" s="519" t="s">
        <v>656</v>
      </c>
    </row>
    <row r="11" ht="16.5">
      <c r="A11" s="520" t="s">
        <v>657</v>
      </c>
    </row>
    <row r="12" ht="16.5">
      <c r="A12" s="519" t="s">
        <v>658</v>
      </c>
    </row>
    <row r="15" ht="16.5">
      <c r="A15" s="520" t="s">
        <v>659</v>
      </c>
    </row>
    <row r="16" ht="16.5">
      <c r="A16" s="519" t="s">
        <v>660</v>
      </c>
    </row>
    <row r="19" ht="16.5">
      <c r="A19" s="520" t="s">
        <v>661</v>
      </c>
    </row>
    <row r="20" ht="16.5">
      <c r="A20" s="519" t="s">
        <v>662</v>
      </c>
    </row>
    <row r="23" ht="16.5">
      <c r="A23" s="520" t="s">
        <v>663</v>
      </c>
    </row>
    <row r="24" ht="16.5">
      <c r="A24" s="519" t="s">
        <v>664</v>
      </c>
    </row>
    <row r="27" ht="16.5">
      <c r="A27" s="520" t="s">
        <v>665</v>
      </c>
    </row>
    <row r="28" ht="16.5">
      <c r="A28" s="519" t="s">
        <v>666</v>
      </c>
    </row>
    <row r="31" ht="16.5">
      <c r="A31" s="520" t="s">
        <v>667</v>
      </c>
    </row>
    <row r="32" ht="16.5">
      <c r="A32" s="519" t="s">
        <v>668</v>
      </c>
    </row>
    <row r="35" ht="16.5">
      <c r="A35" s="520" t="s">
        <v>669</v>
      </c>
    </row>
    <row r="36" ht="16.5">
      <c r="A36" s="519" t="s">
        <v>670</v>
      </c>
    </row>
    <row r="39" ht="16.5">
      <c r="A39" s="520" t="s">
        <v>671</v>
      </c>
    </row>
    <row r="40" ht="16.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31.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30" sqref="D3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6.5">
      <c r="A1" s="14" t="str">
        <f>inputPrYr!D3</f>
        <v>Glasco Fire District # 2</v>
      </c>
      <c r="B1" s="36"/>
      <c r="C1" s="36"/>
      <c r="D1" s="36"/>
      <c r="E1" s="14">
        <f>inputPrYr!D11</f>
        <v>2015</v>
      </c>
    </row>
    <row r="2" spans="1:5" ht="16.5">
      <c r="A2" s="36"/>
      <c r="B2" s="36"/>
      <c r="C2" s="36"/>
      <c r="D2" s="36"/>
      <c r="E2" s="36"/>
    </row>
    <row r="3" spans="1:5" ht="16.5">
      <c r="A3" s="695" t="s">
        <v>156</v>
      </c>
      <c r="B3" s="696"/>
      <c r="C3" s="696"/>
      <c r="D3" s="696"/>
      <c r="E3" s="696"/>
    </row>
    <row r="4" spans="1:5" ht="16.5">
      <c r="A4" s="54"/>
      <c r="B4" s="54"/>
      <c r="C4" s="54"/>
      <c r="D4" s="54"/>
      <c r="E4" s="54"/>
    </row>
    <row r="5" spans="1:5" ht="16.5">
      <c r="A5" s="37" t="str">
        <f>CONCATENATE("From the County Clerks ",E1," Budget Information:")</f>
        <v>From the County Clerks 2015 Budget Information:</v>
      </c>
      <c r="B5" s="31"/>
      <c r="C5" s="31"/>
      <c r="D5" s="14"/>
      <c r="E5" s="23"/>
    </row>
    <row r="6" spans="1:5" ht="16.5">
      <c r="A6" s="62" t="str">
        <f>CONCATENATE("Assessed Valuation for ",inputPrYr!D11-1,":")</f>
        <v>Assessed Valuation for 2014:</v>
      </c>
      <c r="B6" s="20"/>
      <c r="C6" s="20"/>
      <c r="D6" s="20"/>
      <c r="E6" s="53"/>
    </row>
    <row r="7" spans="1:5" ht="16.5">
      <c r="A7" s="27" t="str">
        <f>inputPrYr!$D$4</f>
        <v>Cloud County</v>
      </c>
      <c r="B7" s="20"/>
      <c r="C7" s="20"/>
      <c r="D7" s="11">
        <v>9369903</v>
      </c>
      <c r="E7" s="24"/>
    </row>
    <row r="8" spans="1:5" ht="16.5">
      <c r="A8" s="27" t="str">
        <f>inputPrYr!$D$6</f>
        <v>Ottawa </v>
      </c>
      <c r="B8" s="20"/>
      <c r="C8" s="20"/>
      <c r="D8" s="11">
        <v>279285</v>
      </c>
      <c r="E8" s="24"/>
    </row>
    <row r="9" spans="1:5" ht="16.5">
      <c r="A9" s="27">
        <f>inputPrYr!$D$7</f>
        <v>0</v>
      </c>
      <c r="B9" s="20"/>
      <c r="C9" s="20"/>
      <c r="D9" s="11"/>
      <c r="E9" s="24"/>
    </row>
    <row r="10" spans="1:5" ht="16.5">
      <c r="A10" s="27">
        <f>inputPrYr!$D$8</f>
        <v>0</v>
      </c>
      <c r="B10" s="20"/>
      <c r="C10" s="20"/>
      <c r="D10" s="11"/>
      <c r="E10" s="24"/>
    </row>
    <row r="11" spans="1:5" ht="16.5">
      <c r="A11" s="27">
        <f>inputPrYr!$D$9</f>
        <v>0</v>
      </c>
      <c r="B11" s="20"/>
      <c r="C11" s="20"/>
      <c r="D11" s="11"/>
      <c r="E11" s="24"/>
    </row>
    <row r="12" spans="1:5" ht="17.25" thickBot="1">
      <c r="A12" s="27" t="str">
        <f>CONCATENATE("Total Assessed Valuation for ",inputPrYr!D11-1,"")</f>
        <v>Total Assessed Valuation for 2014</v>
      </c>
      <c r="B12" s="20"/>
      <c r="C12" s="20"/>
      <c r="D12" s="20"/>
      <c r="E12" s="70">
        <f>SUM(D7:D11)</f>
        <v>9649188</v>
      </c>
    </row>
    <row r="13" spans="1:5" ht="17.25" thickTop="1">
      <c r="A13" s="62" t="str">
        <f>CONCATENATE("New Improvements for ",inputPrYr!D11-1,":")</f>
        <v>New Improvements for 2014:</v>
      </c>
      <c r="B13" s="20"/>
      <c r="C13" s="20"/>
      <c r="D13" s="20"/>
      <c r="E13" s="59"/>
    </row>
    <row r="14" spans="1:5" ht="16.5">
      <c r="A14" s="27" t="str">
        <f>inputPrYr!$D$4</f>
        <v>Cloud County</v>
      </c>
      <c r="B14" s="20"/>
      <c r="C14" s="20"/>
      <c r="D14" s="50">
        <v>20089</v>
      </c>
      <c r="E14" s="14"/>
    </row>
    <row r="15" spans="1:5" ht="16.5">
      <c r="A15" s="27" t="str">
        <f>inputPrYr!$D$6</f>
        <v>Ottawa </v>
      </c>
      <c r="B15" s="20"/>
      <c r="C15" s="20"/>
      <c r="D15" s="13">
        <v>0</v>
      </c>
      <c r="E15" s="14"/>
    </row>
    <row r="16" spans="1:5" ht="16.5">
      <c r="A16" s="27">
        <f>inputPrYr!$D$7</f>
        <v>0</v>
      </c>
      <c r="B16" s="20"/>
      <c r="C16" s="20"/>
      <c r="D16" s="13"/>
      <c r="E16" s="14"/>
    </row>
    <row r="17" spans="1:5" ht="16.5">
      <c r="A17" s="27">
        <f>inputPrYr!$D$8</f>
        <v>0</v>
      </c>
      <c r="B17" s="20"/>
      <c r="C17" s="20"/>
      <c r="D17" s="13"/>
      <c r="E17" s="14"/>
    </row>
    <row r="18" spans="1:5" ht="16.5">
      <c r="A18" s="27">
        <f>inputPrYr!$D$9</f>
        <v>0</v>
      </c>
      <c r="B18" s="20"/>
      <c r="C18" s="20"/>
      <c r="D18" s="13"/>
      <c r="E18" s="20"/>
    </row>
    <row r="19" spans="1:5" ht="17.25" thickBot="1">
      <c r="A19" s="27" t="str">
        <f>CONCATENATE("Total New Improvements for ",inputPrYr!D11-1,"")</f>
        <v>Total New Improvements for 2014</v>
      </c>
      <c r="B19" s="20"/>
      <c r="C19" s="20"/>
      <c r="D19" s="20"/>
      <c r="E19" s="71">
        <f>SUM(D14:D18)</f>
        <v>20089</v>
      </c>
    </row>
    <row r="20" spans="1:5" ht="17.25" thickTop="1">
      <c r="A20" s="62" t="str">
        <f>CONCATENATE("Personal Property excluding oil, gas, and mobile homes - ",inputPrYr!D11-1,":")</f>
        <v>Personal Property excluding oil, gas, and mobile homes - 2014:</v>
      </c>
      <c r="B20" s="20"/>
      <c r="C20" s="20"/>
      <c r="D20" s="20"/>
      <c r="E20" s="59"/>
    </row>
    <row r="21" spans="1:5" ht="16.5">
      <c r="A21" s="27" t="str">
        <f>inputPrYr!$D$4</f>
        <v>Cloud County</v>
      </c>
      <c r="B21" s="20"/>
      <c r="C21" s="20"/>
      <c r="D21" s="50">
        <v>170509</v>
      </c>
      <c r="E21" s="14"/>
    </row>
    <row r="22" spans="1:5" ht="16.5">
      <c r="A22" s="27" t="str">
        <f>inputPrYr!$D$6</f>
        <v>Ottawa </v>
      </c>
      <c r="B22" s="20"/>
      <c r="C22" s="20"/>
      <c r="D22" s="50">
        <v>18365</v>
      </c>
      <c r="E22" s="14"/>
    </row>
    <row r="23" spans="1:5" ht="16.5">
      <c r="A23" s="27">
        <f>inputPrYr!$D$7</f>
        <v>0</v>
      </c>
      <c r="B23" s="20"/>
      <c r="C23" s="20"/>
      <c r="D23" s="50"/>
      <c r="E23" s="14"/>
    </row>
    <row r="24" spans="1:5" ht="16.5">
      <c r="A24" s="27">
        <f>inputPrYr!$D$8</f>
        <v>0</v>
      </c>
      <c r="B24" s="20"/>
      <c r="C24" s="20"/>
      <c r="D24" s="50"/>
      <c r="E24" s="14"/>
    </row>
    <row r="25" spans="1:5" ht="16.5">
      <c r="A25" s="27">
        <f>inputPrYr!$D$9</f>
        <v>0</v>
      </c>
      <c r="B25" s="20"/>
      <c r="C25" s="20"/>
      <c r="D25" s="50"/>
      <c r="E25" s="14"/>
    </row>
    <row r="26" spans="1:5" ht="17.25" thickBot="1">
      <c r="A26" s="27" t="str">
        <f>CONCATENATE("Total Personal Property - ",inputPrYr!D11-1,"")</f>
        <v>Total Personal Property - 2014</v>
      </c>
      <c r="B26" s="20"/>
      <c r="C26" s="20"/>
      <c r="D26" s="20"/>
      <c r="E26" s="71">
        <f>SUM(D21:D25)</f>
        <v>188874</v>
      </c>
    </row>
    <row r="27" spans="1:5" ht="17.25" thickTop="1">
      <c r="A27" s="62" t="str">
        <f>CONCATENATE("Property that has changed in use for ",inputPrYr!D11-1,":")</f>
        <v>Property that has changed in use for 2014:</v>
      </c>
      <c r="B27" s="20"/>
      <c r="C27" s="20"/>
      <c r="D27" s="20"/>
      <c r="E27" s="59"/>
    </row>
    <row r="28" spans="1:5" ht="16.5">
      <c r="A28" s="27" t="str">
        <f>inputPrYr!$D$4</f>
        <v>Cloud County</v>
      </c>
      <c r="B28" s="20"/>
      <c r="C28" s="20"/>
      <c r="D28" s="50">
        <v>2890</v>
      </c>
      <c r="E28" s="14"/>
    </row>
    <row r="29" spans="1:5" ht="16.5">
      <c r="A29" s="27" t="str">
        <f>inputPrYr!$D$6</f>
        <v>Ottawa </v>
      </c>
      <c r="B29" s="20"/>
      <c r="C29" s="20"/>
      <c r="D29" s="50">
        <v>0</v>
      </c>
      <c r="E29" s="14"/>
    </row>
    <row r="30" spans="1:5" ht="16.5">
      <c r="A30" s="27">
        <f>inputPrYr!$D$7</f>
        <v>0</v>
      </c>
      <c r="B30" s="20"/>
      <c r="C30" s="20"/>
      <c r="D30" s="50"/>
      <c r="E30" s="14"/>
    </row>
    <row r="31" spans="1:5" ht="16.5">
      <c r="A31" s="27">
        <f>inputPrYr!$D$8</f>
        <v>0</v>
      </c>
      <c r="B31" s="20"/>
      <c r="C31" s="20"/>
      <c r="D31" s="50"/>
      <c r="E31" s="14"/>
    </row>
    <row r="32" spans="1:5" ht="16.5">
      <c r="A32" s="27">
        <f>inputPrYr!$D$9</f>
        <v>0</v>
      </c>
      <c r="B32" s="20"/>
      <c r="C32" s="20"/>
      <c r="D32" s="50"/>
      <c r="E32" s="14"/>
    </row>
    <row r="33" spans="1:5" ht="17.25" thickBot="1">
      <c r="A33" s="27" t="str">
        <f>CONCATENATE("Total Property that has changed in use for ",inputPrYr!D11-1,"")</f>
        <v>Total Property that has changed in use for 2014</v>
      </c>
      <c r="B33" s="20"/>
      <c r="C33" s="20"/>
      <c r="D33" s="20"/>
      <c r="E33" s="71">
        <f>SUM(D28:D32)</f>
        <v>2890</v>
      </c>
    </row>
    <row r="34" spans="1:5" ht="17.25" thickTop="1">
      <c r="A34" s="62" t="str">
        <f>CONCATENATE("Personal Property excludes oil, gas, and mobile homes- ",inputPrYr!D11-2,":")</f>
        <v>Personal Property excludes oil, gas, and mobile homes- 2013:</v>
      </c>
      <c r="B34" s="20"/>
      <c r="C34" s="20"/>
      <c r="D34" s="20"/>
      <c r="E34" s="59"/>
    </row>
    <row r="35" spans="1:5" ht="16.5">
      <c r="A35" s="27" t="str">
        <f>inputPrYr!$D$4</f>
        <v>Cloud County</v>
      </c>
      <c r="B35" s="20"/>
      <c r="C35" s="20"/>
      <c r="D35" s="80">
        <v>163143</v>
      </c>
      <c r="E35" s="59"/>
    </row>
    <row r="36" spans="1:5" ht="16.5">
      <c r="A36" s="27" t="str">
        <f>inputPrYr!$D$6</f>
        <v>Ottawa </v>
      </c>
      <c r="B36" s="20"/>
      <c r="C36" s="20"/>
      <c r="D36" s="81">
        <v>16231</v>
      </c>
      <c r="E36" s="59"/>
    </row>
    <row r="37" spans="1:5" ht="16.5">
      <c r="A37" s="27">
        <f>inputPrYr!$D$7</f>
        <v>0</v>
      </c>
      <c r="B37" s="20"/>
      <c r="C37" s="20"/>
      <c r="D37" s="81"/>
      <c r="E37" s="59"/>
    </row>
    <row r="38" spans="1:5" ht="16.5">
      <c r="A38" s="27">
        <f>inputPrYr!$D$8</f>
        <v>0</v>
      </c>
      <c r="B38" s="20"/>
      <c r="C38" s="20"/>
      <c r="D38" s="81"/>
      <c r="E38" s="59"/>
    </row>
    <row r="39" spans="1:5" ht="16.5">
      <c r="A39" s="27">
        <f>inputPrYr!$D$9</f>
        <v>0</v>
      </c>
      <c r="B39" s="20"/>
      <c r="C39" s="20"/>
      <c r="D39" s="81"/>
      <c r="E39" s="59"/>
    </row>
    <row r="40" spans="1:5" ht="17.25" thickBot="1">
      <c r="A40" s="27" t="str">
        <f>CONCATENATE("Total Personal Property - ",inputPrYr!D11-2,"")</f>
        <v>Total Personal Property - 2013</v>
      </c>
      <c r="B40" s="14"/>
      <c r="C40" s="14"/>
      <c r="D40" s="14"/>
      <c r="E40" s="70">
        <f>SUM(D35:D39)</f>
        <v>179374</v>
      </c>
    </row>
    <row r="41" spans="1:5" ht="17.25" thickTop="1">
      <c r="A41" s="26"/>
      <c r="B41" s="14"/>
      <c r="C41" s="14"/>
      <c r="D41" s="14"/>
      <c r="E41" s="53"/>
    </row>
    <row r="42" spans="1:5" ht="16.5">
      <c r="A42" s="79" t="str">
        <f>CONCATENATE("Neighborhood Revitalization - ",E1,":")</f>
        <v>Neighborhood Revitalization - 2015:</v>
      </c>
      <c r="B42" s="14"/>
      <c r="C42" s="14"/>
      <c r="D42" s="80"/>
      <c r="E42" s="53"/>
    </row>
    <row r="43" spans="1:5" ht="16.5">
      <c r="A43" s="26"/>
      <c r="B43" s="14"/>
      <c r="C43" s="14"/>
      <c r="D43" s="14"/>
      <c r="E43" s="53"/>
    </row>
    <row r="44" spans="1:5" ht="16.5">
      <c r="A44" s="69" t="str">
        <f>CONCATENATE("Actual Tax Rates for the ",E1-1," Budget:")</f>
        <v>Actual Tax Rates for the 2014 Budget:</v>
      </c>
      <c r="B44" s="20"/>
      <c r="C44" s="20"/>
      <c r="D44" s="20"/>
      <c r="E44" s="49"/>
    </row>
    <row r="45" spans="1:5" ht="16.5">
      <c r="A45" s="697" t="s">
        <v>19</v>
      </c>
      <c r="B45" s="698"/>
      <c r="C45" s="36"/>
      <c r="D45" s="55" t="s">
        <v>56</v>
      </c>
      <c r="E45" s="49"/>
    </row>
    <row r="46" spans="1:5" ht="16.5">
      <c r="A46" s="56" t="s">
        <v>5</v>
      </c>
      <c r="B46" s="17"/>
      <c r="C46" s="20"/>
      <c r="D46" s="76">
        <v>4.911</v>
      </c>
      <c r="E46" s="49"/>
    </row>
    <row r="47" spans="1:5" ht="16.5">
      <c r="A47" s="57" t="s">
        <v>284</v>
      </c>
      <c r="B47" s="58"/>
      <c r="C47" s="20"/>
      <c r="D47" s="77"/>
      <c r="E47" s="49"/>
    </row>
    <row r="48" spans="1:5" ht="16.5">
      <c r="A48" s="57">
        <f>inputPrYr!B27</f>
        <v>0</v>
      </c>
      <c r="B48" s="58"/>
      <c r="C48" s="20"/>
      <c r="D48" s="77"/>
      <c r="E48" s="49"/>
    </row>
    <row r="49" spans="1:5" ht="16.5">
      <c r="A49" s="57">
        <f>inputPrYr!B28</f>
        <v>0</v>
      </c>
      <c r="B49" s="58"/>
      <c r="C49" s="20"/>
      <c r="D49" s="77"/>
      <c r="E49" s="49"/>
    </row>
    <row r="50" spans="1:5" ht="16.5">
      <c r="A50" s="57"/>
      <c r="B50" s="58"/>
      <c r="C50" s="20"/>
      <c r="D50" s="77"/>
      <c r="E50" s="49"/>
    </row>
    <row r="51" spans="1:5" ht="16.5">
      <c r="A51" s="57"/>
      <c r="B51" s="58"/>
      <c r="C51" s="20"/>
      <c r="D51" s="78"/>
      <c r="E51" s="49"/>
    </row>
    <row r="52" spans="1:5" ht="16.5">
      <c r="A52" s="36"/>
      <c r="B52" s="17" t="s">
        <v>208</v>
      </c>
      <c r="C52" s="68"/>
      <c r="D52" s="72">
        <f>SUM(D46:D51)</f>
        <v>4.911</v>
      </c>
      <c r="E52" s="36"/>
    </row>
    <row r="53" spans="1:5" ht="16.5">
      <c r="A53" s="36"/>
      <c r="B53" s="36"/>
      <c r="C53" s="36"/>
      <c r="D53" s="36"/>
      <c r="E53" s="36"/>
    </row>
    <row r="54" spans="1:5" ht="16.5">
      <c r="A54" s="74" t="str">
        <f>CONCATENATE("Final Assessed Valuation from the November 1, ",E1-2," Abstract:")</f>
        <v>Final Assessed Valuation from the November 1, 2013 Abstract:</v>
      </c>
      <c r="B54" s="73"/>
      <c r="C54" s="73"/>
      <c r="D54" s="73"/>
      <c r="E54" s="75"/>
    </row>
    <row r="55" spans="1:5" ht="16.5">
      <c r="A55" s="27" t="str">
        <f>inputPrYr!$D$4</f>
        <v>Cloud County</v>
      </c>
      <c r="B55" s="36"/>
      <c r="C55" s="36"/>
      <c r="D55" s="80">
        <v>9907856</v>
      </c>
      <c r="E55" s="36"/>
    </row>
    <row r="56" spans="1:5" ht="16.5">
      <c r="A56" s="27" t="str">
        <f>inputPrYr!$D$6</f>
        <v>Ottawa </v>
      </c>
      <c r="B56" s="36"/>
      <c r="C56" s="36"/>
      <c r="D56" s="81">
        <v>305545</v>
      </c>
      <c r="E56" s="36"/>
    </row>
    <row r="57" spans="1:5" ht="16.5">
      <c r="A57" s="27">
        <f>inputPrYr!$D$7</f>
        <v>0</v>
      </c>
      <c r="B57" s="36"/>
      <c r="C57" s="36"/>
      <c r="D57" s="81"/>
      <c r="E57" s="36"/>
    </row>
    <row r="58" spans="1:5" ht="16.5">
      <c r="A58" s="27">
        <f>inputPrYr!$D$8</f>
        <v>0</v>
      </c>
      <c r="B58" s="36"/>
      <c r="C58" s="36"/>
      <c r="D58" s="81"/>
      <c r="E58" s="36"/>
    </row>
    <row r="59" spans="1:5" ht="16.5">
      <c r="A59" s="27">
        <f>inputPrYr!$D$9</f>
        <v>0</v>
      </c>
      <c r="B59" s="36"/>
      <c r="C59" s="36"/>
      <c r="D59" s="81"/>
      <c r="E59" s="36"/>
    </row>
    <row r="60" spans="1:5" ht="17.25" thickBot="1">
      <c r="A60" s="14" t="str">
        <f>CONCATENATE("Total Assessed Valuation from November 1, ",E1-2," Abstract")</f>
        <v>Total Assessed Valuation from November 1, 2013 Abstract</v>
      </c>
      <c r="B60" s="36"/>
      <c r="C60" s="36"/>
      <c r="D60" s="36"/>
      <c r="E60" s="70">
        <f>SUM(D55:D59)</f>
        <v>10213401</v>
      </c>
    </row>
    <row r="61" spans="1:5" ht="17.25" thickTop="1">
      <c r="A61" s="36"/>
      <c r="B61" s="36"/>
      <c r="C61" s="36"/>
      <c r="D61" s="36"/>
      <c r="E61" s="36"/>
    </row>
    <row r="62" spans="1:5" ht="16.5">
      <c r="A62" s="32" t="str">
        <f>CONCATENATE("From the County Treasurer's Budget Information - ",E1," Budget Year Estimates:")</f>
        <v>From the County Treasurer's Budget Information - 2015 Budget Year Estimates:</v>
      </c>
      <c r="B62" s="33"/>
      <c r="C62" s="33"/>
      <c r="D62" s="33"/>
      <c r="E62" s="23"/>
    </row>
    <row r="63" spans="1:5" ht="16.5">
      <c r="A63" s="63" t="s">
        <v>146</v>
      </c>
      <c r="B63" s="14"/>
      <c r="C63" s="14"/>
      <c r="D63" s="14"/>
      <c r="E63" s="49"/>
    </row>
    <row r="64" spans="1:5" ht="16.5">
      <c r="A64" s="27" t="str">
        <f>inputPrYr!$D$4</f>
        <v>Cloud County</v>
      </c>
      <c r="B64" s="14"/>
      <c r="C64" s="14"/>
      <c r="D64" s="11">
        <v>2396</v>
      </c>
      <c r="E64" s="24"/>
    </row>
    <row r="65" spans="1:5" ht="16.5">
      <c r="A65" s="27" t="str">
        <f>inputPrYr!$D$6</f>
        <v>Ottawa </v>
      </c>
      <c r="B65" s="14"/>
      <c r="C65" s="14"/>
      <c r="D65" s="11">
        <v>54</v>
      </c>
      <c r="E65" s="24"/>
    </row>
    <row r="66" spans="1:5" ht="16.5">
      <c r="A66" s="27">
        <f>inputPrYr!$D$7</f>
        <v>0</v>
      </c>
      <c r="B66" s="14"/>
      <c r="C66" s="14"/>
      <c r="D66" s="11"/>
      <c r="E66" s="24"/>
    </row>
    <row r="67" spans="1:5" ht="16.5">
      <c r="A67" s="27">
        <f>inputPrYr!$D$8</f>
        <v>0</v>
      </c>
      <c r="B67" s="14"/>
      <c r="C67" s="14"/>
      <c r="D67" s="11"/>
      <c r="E67" s="24"/>
    </row>
    <row r="68" spans="1:5" ht="16.5">
      <c r="A68" s="27">
        <f>inputPrYr!$D$9</f>
        <v>0</v>
      </c>
      <c r="B68" s="14"/>
      <c r="C68" s="14"/>
      <c r="D68" s="11"/>
      <c r="E68" s="24"/>
    </row>
    <row r="69" spans="1:5" ht="17.25" thickBot="1">
      <c r="A69" s="16" t="s">
        <v>145</v>
      </c>
      <c r="B69" s="14"/>
      <c r="C69" s="14"/>
      <c r="D69" s="14"/>
      <c r="E69" s="67">
        <f>SUM(D64:D68)</f>
        <v>2450</v>
      </c>
    </row>
    <row r="70" spans="1:5" ht="17.25" thickTop="1">
      <c r="A70" s="63" t="s">
        <v>147</v>
      </c>
      <c r="B70" s="14"/>
      <c r="C70" s="14"/>
      <c r="D70" s="14"/>
      <c r="E70" s="49"/>
    </row>
    <row r="71" spans="1:5" ht="16.5">
      <c r="A71" s="27" t="str">
        <f>inputPrYr!$D$4</f>
        <v>Cloud County</v>
      </c>
      <c r="B71" s="14"/>
      <c r="C71" s="14"/>
      <c r="D71" s="11">
        <v>32</v>
      </c>
      <c r="E71" s="24"/>
    </row>
    <row r="72" spans="1:5" ht="16.5">
      <c r="A72" s="27" t="str">
        <f>inputPrYr!$D$6</f>
        <v>Ottawa </v>
      </c>
      <c r="B72" s="14"/>
      <c r="C72" s="14"/>
      <c r="D72" s="12"/>
      <c r="E72" s="24"/>
    </row>
    <row r="73" spans="1:5" ht="16.5">
      <c r="A73" s="27">
        <f>inputPrYr!$D$7</f>
        <v>0</v>
      </c>
      <c r="B73" s="14"/>
      <c r="C73" s="14"/>
      <c r="D73" s="12"/>
      <c r="E73" s="24"/>
    </row>
    <row r="74" spans="1:5" ht="16.5">
      <c r="A74" s="27">
        <f>inputPrYr!$D$8</f>
        <v>0</v>
      </c>
      <c r="B74" s="14"/>
      <c r="C74" s="14"/>
      <c r="D74" s="12"/>
      <c r="E74" s="24"/>
    </row>
    <row r="75" spans="1:5" ht="16.5">
      <c r="A75" s="27">
        <f>inputPrYr!$D$9</f>
        <v>0</v>
      </c>
      <c r="B75" s="14"/>
      <c r="C75" s="14"/>
      <c r="D75" s="12"/>
      <c r="E75" s="25"/>
    </row>
    <row r="76" spans="1:5" ht="17.25" thickBot="1">
      <c r="A76" s="16" t="s">
        <v>144</v>
      </c>
      <c r="B76" s="14"/>
      <c r="C76" s="14"/>
      <c r="D76" s="14"/>
      <c r="E76" s="67">
        <f>SUM(D71:D75)</f>
        <v>32</v>
      </c>
    </row>
    <row r="77" spans="1:5" ht="17.25" thickTop="1">
      <c r="A77" s="63" t="s">
        <v>143</v>
      </c>
      <c r="B77" s="14"/>
      <c r="C77" s="14"/>
      <c r="D77" s="14"/>
      <c r="E77" s="49"/>
    </row>
    <row r="78" spans="1:5" ht="16.5">
      <c r="A78" s="27" t="str">
        <f>inputPrYr!$D$4</f>
        <v>Cloud County</v>
      </c>
      <c r="B78" s="14"/>
      <c r="C78" s="14"/>
      <c r="D78" s="11">
        <v>444</v>
      </c>
      <c r="E78" s="24"/>
    </row>
    <row r="79" spans="1:5" ht="16.5">
      <c r="A79" s="27" t="str">
        <f>inputPrYr!$D$6</f>
        <v>Ottawa </v>
      </c>
      <c r="B79" s="14"/>
      <c r="C79" s="14"/>
      <c r="D79" s="12">
        <v>4</v>
      </c>
      <c r="E79" s="24"/>
    </row>
    <row r="80" spans="1:5" ht="16.5">
      <c r="A80" s="27">
        <f>inputPrYr!$D$7</f>
        <v>0</v>
      </c>
      <c r="B80" s="14"/>
      <c r="C80" s="14"/>
      <c r="D80" s="12"/>
      <c r="E80" s="24"/>
    </row>
    <row r="81" spans="1:5" ht="16.5">
      <c r="A81" s="27">
        <f>inputPrYr!$D$8</f>
        <v>0</v>
      </c>
      <c r="B81" s="14"/>
      <c r="C81" s="14"/>
      <c r="D81" s="12"/>
      <c r="E81" s="24"/>
    </row>
    <row r="82" spans="1:5" ht="16.5">
      <c r="A82" s="27">
        <f>inputPrYr!$D$9</f>
        <v>0</v>
      </c>
      <c r="B82" s="14"/>
      <c r="C82" s="14"/>
      <c r="D82" s="12"/>
      <c r="E82" s="25"/>
    </row>
    <row r="83" spans="1:5" ht="17.25" thickBot="1">
      <c r="A83" s="16" t="s">
        <v>142</v>
      </c>
      <c r="B83" s="14"/>
      <c r="C83" s="14"/>
      <c r="D83" s="14"/>
      <c r="E83" s="67">
        <f>SUM(D78:D82)</f>
        <v>448</v>
      </c>
    </row>
    <row r="84" spans="1:5" ht="17.25" thickTop="1">
      <c r="A84" s="63" t="s">
        <v>171</v>
      </c>
      <c r="B84" s="14"/>
      <c r="C84" s="14"/>
      <c r="D84" s="61"/>
      <c r="E84" s="49"/>
    </row>
    <row r="85" spans="1:5" ht="16.5">
      <c r="A85" s="14"/>
      <c r="B85" s="14"/>
      <c r="C85" s="14"/>
      <c r="D85" s="14"/>
      <c r="E85" s="14"/>
    </row>
    <row r="86" spans="1:5" ht="16.5">
      <c r="A86" s="32" t="s">
        <v>216</v>
      </c>
      <c r="B86" s="34"/>
      <c r="C86" s="15"/>
      <c r="D86" s="14"/>
      <c r="E86" s="14"/>
    </row>
    <row r="87" spans="1:5" ht="16.5">
      <c r="A87" s="82" t="str">
        <f>CONCATENATE("Delinquency Rate for ",E1-3," Uncollected Taxes")</f>
        <v>Delinquency Rate for 2012 Uncollected Taxes</v>
      </c>
      <c r="B87" s="19"/>
      <c r="C87" s="18" t="s">
        <v>25</v>
      </c>
      <c r="D87" s="18" t="s">
        <v>25</v>
      </c>
      <c r="E87" s="51"/>
    </row>
    <row r="88" spans="1:5" ht="16.5">
      <c r="A88" s="83" t="str">
        <f>CONCATENATE("and ",E1-2," Ad Valorem Levied:")</f>
        <v>and 2013 Ad Valorem Levied:</v>
      </c>
      <c r="B88" s="22"/>
      <c r="C88" s="28" t="s">
        <v>217</v>
      </c>
      <c r="D88" s="28" t="s">
        <v>218</v>
      </c>
      <c r="E88" s="51"/>
    </row>
    <row r="89" spans="1:5" ht="16.5">
      <c r="A89" s="27" t="str">
        <f>inputPrYr!$D$4</f>
        <v>Cloud County</v>
      </c>
      <c r="B89" s="21"/>
      <c r="C89" s="91"/>
      <c r="D89" s="61"/>
      <c r="E89" s="51"/>
    </row>
    <row r="90" spans="1:5" ht="16.5">
      <c r="A90" s="27" t="str">
        <f>inputPrYr!$D$6</f>
        <v>Ottawa </v>
      </c>
      <c r="B90" s="21"/>
      <c r="C90" s="92"/>
      <c r="D90" s="93"/>
      <c r="E90" s="24"/>
    </row>
    <row r="91" spans="1:5" ht="16.5">
      <c r="A91" s="27">
        <f>inputPrYr!$D$7</f>
        <v>0</v>
      </c>
      <c r="B91" s="21"/>
      <c r="C91" s="92"/>
      <c r="D91" s="93"/>
      <c r="E91" s="24"/>
    </row>
    <row r="92" spans="1:5" ht="16.5">
      <c r="A92" s="27">
        <f>inputPrYr!$D$8</f>
        <v>0</v>
      </c>
      <c r="B92" s="21"/>
      <c r="C92" s="92"/>
      <c r="D92" s="93"/>
      <c r="E92" s="24"/>
    </row>
    <row r="93" spans="1:5" ht="16.5">
      <c r="A93" s="27">
        <f>inputPrYr!$D$9</f>
        <v>0</v>
      </c>
      <c r="B93" s="21"/>
      <c r="C93" s="92"/>
      <c r="D93" s="93"/>
      <c r="E93" s="24"/>
    </row>
    <row r="94" spans="1:5" ht="17.25" thickBot="1">
      <c r="A94" s="29" t="s">
        <v>8</v>
      </c>
      <c r="B94" s="21"/>
      <c r="C94" s="94">
        <f>SUM(C89:C93)</f>
        <v>0</v>
      </c>
      <c r="D94" s="94">
        <f>SUM(D89:D93)</f>
        <v>0</v>
      </c>
      <c r="E94" s="24"/>
    </row>
    <row r="95" spans="1:5" ht="18" thickBot="1" thickTop="1">
      <c r="A95" s="29" t="s">
        <v>148</v>
      </c>
      <c r="B95" s="17"/>
      <c r="C95" s="17"/>
      <c r="D95" s="22"/>
      <c r="E95" s="653">
        <f>IF(C94=0,0,C94/D94)</f>
        <v>0</v>
      </c>
    </row>
    <row r="96" spans="1:5" ht="17.25" thickTop="1">
      <c r="A96" s="593" t="s">
        <v>753</v>
      </c>
      <c r="B96" s="29"/>
      <c r="C96" s="20"/>
      <c r="D96" s="20"/>
      <c r="E96" s="652">
        <v>0</v>
      </c>
    </row>
    <row r="97" spans="1:5" ht="16.5">
      <c r="A97" s="64" t="s">
        <v>201</v>
      </c>
      <c r="B97" s="65"/>
      <c r="C97" s="65"/>
      <c r="D97" s="65"/>
      <c r="E97" s="65"/>
    </row>
    <row r="98" spans="1:5" ht="16.5">
      <c r="A98" s="85"/>
      <c r="B98" s="85"/>
      <c r="C98" s="85"/>
      <c r="D98" s="85"/>
      <c r="E98" s="85"/>
    </row>
    <row r="99" spans="1:5" ht="16.5">
      <c r="A99" s="699" t="str">
        <f>CONCATENATE("From the ",E1-2," Budget Certificate Page")</f>
        <v>From the 2013 Budget Certificate Page</v>
      </c>
      <c r="B99" s="700"/>
      <c r="C99" s="85"/>
      <c r="D99" s="85"/>
      <c r="E99" s="85"/>
    </row>
    <row r="100" spans="1:5" ht="16.5">
      <c r="A100" s="86"/>
      <c r="B100" s="86" t="str">
        <f>CONCATENATE("",E1-2," Expenditure Amounts")</f>
        <v>2013 Expenditure Amounts</v>
      </c>
      <c r="C100" s="701" t="str">
        <f>CONCATENATE("Note: If the ",E1-2," budget was amended, then the")</f>
        <v>Note: If the 2013 budget was amended, then the</v>
      </c>
      <c r="D100" s="702"/>
      <c r="E100" s="702"/>
    </row>
    <row r="101" spans="1:5" ht="16.5">
      <c r="A101" s="87" t="s">
        <v>219</v>
      </c>
      <c r="B101" s="87" t="s">
        <v>220</v>
      </c>
      <c r="C101" s="84" t="s">
        <v>221</v>
      </c>
      <c r="D101" s="88"/>
      <c r="E101" s="88"/>
    </row>
    <row r="102" spans="1:5" ht="16.5">
      <c r="A102" s="89" t="str">
        <f>inputPrYr!B24</f>
        <v>General</v>
      </c>
      <c r="B102" s="61">
        <v>59950</v>
      </c>
      <c r="C102" s="84" t="s">
        <v>222</v>
      </c>
      <c r="D102" s="90"/>
      <c r="E102" s="90"/>
    </row>
    <row r="103" spans="1:5" ht="16.5">
      <c r="A103" s="89" t="str">
        <f>inputPrYr!B25</f>
        <v>Debt Service</v>
      </c>
      <c r="B103" s="61"/>
      <c r="C103" s="84"/>
      <c r="D103" s="90"/>
      <c r="E103" s="90"/>
    </row>
    <row r="104" spans="1:5" ht="16.5">
      <c r="A104" s="89">
        <f>inputPrYr!B27</f>
        <v>0</v>
      </c>
      <c r="B104" s="61"/>
      <c r="C104" s="85"/>
      <c r="D104" s="85"/>
      <c r="E104" s="85"/>
    </row>
    <row r="105" spans="1:5" ht="16.5">
      <c r="A105" s="89">
        <f>inputPrYr!B28</f>
        <v>0</v>
      </c>
      <c r="B105" s="61"/>
      <c r="C105" s="85"/>
      <c r="D105" s="85"/>
      <c r="E105" s="85"/>
    </row>
    <row r="106" spans="1:5" ht="16.5">
      <c r="A106" s="89">
        <f>inputPrYr!B31</f>
        <v>0</v>
      </c>
      <c r="B106" s="61"/>
      <c r="C106" s="85"/>
      <c r="D106" s="85"/>
      <c r="E106" s="85"/>
    </row>
    <row r="107" spans="1:5" ht="16.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0" sqref="B10:B11"/>
    </sheetView>
  </sheetViews>
  <sheetFormatPr defaultColWidth="8.796875" defaultRowHeight="15"/>
  <cols>
    <col min="1" max="1" width="13.796875" style="0" customWidth="1"/>
    <col min="2" max="2" width="16.09765625" style="0" customWidth="1"/>
  </cols>
  <sheetData>
    <row r="1" ht="16.5">
      <c r="J1" s="654" t="s">
        <v>765</v>
      </c>
    </row>
    <row r="2" spans="1:10" ht="54" customHeight="1">
      <c r="A2" s="703" t="s">
        <v>334</v>
      </c>
      <c r="B2" s="704"/>
      <c r="C2" s="704"/>
      <c r="D2" s="704"/>
      <c r="E2" s="704"/>
      <c r="F2" s="704"/>
      <c r="J2" s="654" t="s">
        <v>766</v>
      </c>
    </row>
    <row r="3" spans="1:10" ht="15" customHeight="1">
      <c r="A3" s="641" t="s">
        <v>763</v>
      </c>
      <c r="B3" s="388" t="s">
        <v>832</v>
      </c>
      <c r="C3" s="642"/>
      <c r="D3" s="642"/>
      <c r="E3" s="642"/>
      <c r="F3" s="642"/>
      <c r="J3" s="654" t="s">
        <v>767</v>
      </c>
    </row>
    <row r="4" spans="1:10" ht="15" customHeight="1">
      <c r="A4" s="641"/>
      <c r="B4" s="642"/>
      <c r="C4" s="642"/>
      <c r="D4" s="642"/>
      <c r="E4" s="642"/>
      <c r="F4" s="642"/>
      <c r="J4" s="654" t="s">
        <v>768</v>
      </c>
    </row>
    <row r="5" spans="1:10" ht="15" customHeight="1">
      <c r="A5" s="1" t="s">
        <v>764</v>
      </c>
      <c r="B5" s="388" t="s">
        <v>833</v>
      </c>
      <c r="J5" s="654" t="s">
        <v>769</v>
      </c>
    </row>
    <row r="6" spans="1:10" ht="16.5">
      <c r="A6" s="385"/>
      <c r="B6" s="385"/>
      <c r="C6" s="385"/>
      <c r="D6" s="386"/>
      <c r="E6" s="385"/>
      <c r="F6" s="385"/>
      <c r="J6" s="654" t="s">
        <v>770</v>
      </c>
    </row>
    <row r="7" spans="1:10" ht="16.5">
      <c r="A7" s="387" t="s">
        <v>335</v>
      </c>
      <c r="B7" s="388" t="s">
        <v>834</v>
      </c>
      <c r="C7" s="389"/>
      <c r="D7" s="387" t="s">
        <v>762</v>
      </c>
      <c r="E7" s="385"/>
      <c r="F7" s="385"/>
      <c r="J7" s="654" t="s">
        <v>771</v>
      </c>
    </row>
    <row r="8" spans="1:10" ht="16.5">
      <c r="A8" s="387"/>
      <c r="B8" s="390"/>
      <c r="C8" s="391"/>
      <c r="D8" s="655" t="str">
        <f>IF(B7="","",CONCATENATE("Latest date for notice to be published in your newspaper: ",I18," ",I22,", ",I23))</f>
        <v>Latest date for notice to be published in your newspaper: August 14, 2014</v>
      </c>
      <c r="E8" s="385"/>
      <c r="F8" s="385"/>
      <c r="J8" s="654" t="s">
        <v>772</v>
      </c>
    </row>
    <row r="9" spans="1:10" ht="16.5">
      <c r="A9" s="387" t="s">
        <v>336</v>
      </c>
      <c r="B9" s="388" t="s">
        <v>835</v>
      </c>
      <c r="C9" s="392"/>
      <c r="D9" s="387"/>
      <c r="E9" s="385"/>
      <c r="F9" s="385"/>
      <c r="J9" s="654" t="s">
        <v>773</v>
      </c>
    </row>
    <row r="10" spans="1:10" ht="16.5">
      <c r="A10" s="387"/>
      <c r="B10" s="387"/>
      <c r="C10" s="387"/>
      <c r="D10" s="387"/>
      <c r="E10" s="385"/>
      <c r="F10" s="385"/>
      <c r="J10" s="654" t="s">
        <v>774</v>
      </c>
    </row>
    <row r="11" spans="1:10" ht="16.5">
      <c r="A11" s="387" t="s">
        <v>337</v>
      </c>
      <c r="B11" s="393" t="s">
        <v>837</v>
      </c>
      <c r="C11" s="393"/>
      <c r="D11" s="393"/>
      <c r="E11" s="394"/>
      <c r="F11" s="385"/>
      <c r="J11" s="654" t="s">
        <v>775</v>
      </c>
    </row>
    <row r="12" spans="1:10" ht="16.5">
      <c r="A12" s="387"/>
      <c r="B12" s="387"/>
      <c r="C12" s="387"/>
      <c r="D12" s="387"/>
      <c r="E12" s="385"/>
      <c r="F12" s="385"/>
      <c r="J12" s="654" t="s">
        <v>776</v>
      </c>
    </row>
    <row r="13" spans="1:6" ht="16.5">
      <c r="A13" s="387"/>
      <c r="B13" s="387"/>
      <c r="C13" s="387"/>
      <c r="D13" s="387"/>
      <c r="E13" s="385"/>
      <c r="F13" s="385"/>
    </row>
    <row r="14" spans="1:6" ht="16.5">
      <c r="A14" s="387" t="s">
        <v>338</v>
      </c>
      <c r="B14" s="393" t="s">
        <v>836</v>
      </c>
      <c r="C14" s="393"/>
      <c r="D14" s="393"/>
      <c r="E14" s="394"/>
      <c r="F14" s="385"/>
    </row>
    <row r="17" spans="1:6" ht="16.5">
      <c r="A17" s="705" t="s">
        <v>339</v>
      </c>
      <c r="B17" s="705"/>
      <c r="C17" s="387"/>
      <c r="D17" s="387"/>
      <c r="E17" s="387"/>
      <c r="F17" s="385"/>
    </row>
    <row r="18" spans="1:9" ht="16.5">
      <c r="A18" s="387"/>
      <c r="B18" s="387"/>
      <c r="C18" s="387"/>
      <c r="D18" s="387"/>
      <c r="E18" s="387"/>
      <c r="F18" s="385"/>
      <c r="I18" s="654" t="str">
        <f ca="1">IF(B7="","",INDIRECT(I19))</f>
        <v>August</v>
      </c>
    </row>
    <row r="19" spans="1:9" ht="16.5">
      <c r="A19" s="387" t="s">
        <v>335</v>
      </c>
      <c r="B19" s="390" t="s">
        <v>340</v>
      </c>
      <c r="C19" s="387"/>
      <c r="D19" s="387"/>
      <c r="E19" s="387"/>
      <c r="I19" s="656" t="str">
        <f>IF(B7="","",CONCATENATE("J",I21))</f>
        <v>J8</v>
      </c>
    </row>
    <row r="20" spans="1:9" ht="16.5">
      <c r="A20" s="387"/>
      <c r="B20" s="387"/>
      <c r="C20" s="387"/>
      <c r="D20" s="387"/>
      <c r="E20" s="387"/>
      <c r="I20" s="657">
        <f>B7-10</f>
        <v>41865</v>
      </c>
    </row>
    <row r="21" spans="1:9" ht="16.5">
      <c r="A21" s="387" t="s">
        <v>336</v>
      </c>
      <c r="B21" s="387" t="s">
        <v>341</v>
      </c>
      <c r="C21" s="387"/>
      <c r="D21" s="387"/>
      <c r="E21" s="387"/>
      <c r="I21" s="658">
        <f>IF(B7="","",MONTH(I20))</f>
        <v>8</v>
      </c>
    </row>
    <row r="22" spans="1:9" ht="16.5">
      <c r="A22" s="387"/>
      <c r="B22" s="387"/>
      <c r="C22" s="387"/>
      <c r="D22" s="387"/>
      <c r="E22" s="387"/>
      <c r="I22" s="659">
        <f>IF(B7="","",DAY(I20))</f>
        <v>14</v>
      </c>
    </row>
    <row r="23" spans="1:9" ht="16.5">
      <c r="A23" s="387" t="s">
        <v>337</v>
      </c>
      <c r="B23" s="387" t="s">
        <v>342</v>
      </c>
      <c r="C23" s="387"/>
      <c r="D23" s="387"/>
      <c r="E23" s="387"/>
      <c r="I23" s="660">
        <f>IF(D7="","",YEAR(I20))</f>
        <v>2014</v>
      </c>
    </row>
    <row r="24" spans="1:5" ht="16.5">
      <c r="A24" s="387"/>
      <c r="B24" s="387"/>
      <c r="C24" s="387"/>
      <c r="D24" s="387"/>
      <c r="E24" s="387"/>
    </row>
    <row r="25" spans="1:5" ht="16.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89843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2015</v>
      </c>
    </row>
    <row r="4" spans="1:7" ht="15.75">
      <c r="A4" s="717" t="str">
        <f>CONCATENATE("To the Clerk of ",inputPrYr!D4,", State of Kansas")</f>
        <v>To the Clerk of Cloud County, State of Kansas</v>
      </c>
      <c r="B4" s="717"/>
      <c r="C4" s="717"/>
      <c r="D4" s="717"/>
      <c r="E4" s="717"/>
      <c r="F4" s="717"/>
      <c r="G4" s="717"/>
    </row>
    <row r="5" spans="1:7" ht="15.75">
      <c r="A5" s="148" t="s">
        <v>172</v>
      </c>
      <c r="B5" s="108"/>
      <c r="C5" s="108"/>
      <c r="D5" s="108"/>
      <c r="E5" s="108"/>
      <c r="F5" s="108"/>
      <c r="G5" s="108"/>
    </row>
    <row r="6" spans="1:7" ht="15.75">
      <c r="A6" s="689" t="str">
        <f>inputPrYr!D3</f>
        <v>Glasco Fire District # 2</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2015; and</v>
      </c>
      <c r="B9" s="108"/>
      <c r="C9" s="108"/>
      <c r="D9" s="108"/>
      <c r="E9" s="108"/>
      <c r="F9" s="108"/>
      <c r="G9" s="108"/>
    </row>
    <row r="10" spans="1:7" ht="15.75">
      <c r="A10" s="148" t="str">
        <f>CONCATENATE("(3) the Amount(s) of  ",G3-1," Ad Valorem Tax are within statutory limitations for the ",G3," Budget.")</f>
        <v>(3) the Amount(s) of  2014 Ad Valorem Tax are within statutory limitations for the 2015 Budget.</v>
      </c>
      <c r="B10" s="108"/>
      <c r="C10" s="108"/>
      <c r="D10" s="108"/>
      <c r="E10" s="108"/>
      <c r="F10" s="108"/>
      <c r="G10" s="108"/>
    </row>
    <row r="11" spans="1:7" ht="15.75">
      <c r="A11" s="97"/>
      <c r="B11" s="98"/>
      <c r="C11" s="98"/>
      <c r="D11" s="149"/>
      <c r="E11" s="180"/>
      <c r="F11" s="180"/>
      <c r="G11" s="180"/>
    </row>
    <row r="12" spans="1:7" ht="16.5">
      <c r="A12" s="98"/>
      <c r="B12" s="98"/>
      <c r="C12" s="98"/>
      <c r="D12" s="98"/>
      <c r="E12" s="718" t="str">
        <f>CONCATENATE("",G3," Adopted Budget")</f>
        <v>2015 Adopted Budget</v>
      </c>
      <c r="F12" s="719"/>
      <c r="G12" s="720"/>
    </row>
    <row r="13" spans="1:8" ht="15.75">
      <c r="A13" s="97"/>
      <c r="B13" s="98"/>
      <c r="C13" s="98"/>
      <c r="D13" s="125"/>
      <c r="E13" s="205" t="s">
        <v>11</v>
      </c>
      <c r="F13" s="715" t="str">
        <f>CONCATENATE("Amount of  ",G3-1," Ad Valorem Tax")</f>
        <v>Amount of  2014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2015</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19-3610</v>
      </c>
      <c r="D22" s="193">
        <v>6</v>
      </c>
      <c r="E22" s="221">
        <f>IF(gen!$E$61&lt;&gt;0,gen!$E$61,"  ")</f>
        <v>53450</v>
      </c>
      <c r="F22" s="221">
        <f>IF(gen!$E$68&lt;&gt;0,gen!$E$68,"  ")</f>
        <v>47880</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t="str">
        <f>IF((inputPrYr!$B$35&gt;" "),(NonBud!$A$3),"")</f>
        <v>Non-Budgeted Funds</v>
      </c>
      <c r="B28" s="226"/>
      <c r="C28" s="206"/>
      <c r="D28" s="193">
        <f>IF(NonBud!F33&gt;0,NonBud!F33,"")</f>
        <v>7</v>
      </c>
      <c r="E28" s="227"/>
      <c r="F28" s="228"/>
      <c r="G28" s="664"/>
    </row>
    <row r="29" spans="1:7" ht="16.5" thickBot="1">
      <c r="A29" s="229" t="s">
        <v>127</v>
      </c>
      <c r="B29" s="223"/>
      <c r="C29" s="217"/>
      <c r="D29" s="230" t="s">
        <v>21</v>
      </c>
      <c r="E29" s="231">
        <f>SUM(E22:E27)</f>
        <v>53450</v>
      </c>
      <c r="F29" s="169">
        <f>SUM(F22:F27)</f>
        <v>47880</v>
      </c>
      <c r="G29" s="665">
        <f>IF(SUM(G22:G27)=0,"",SUM(G22:G27))</f>
      </c>
    </row>
    <row r="30" spans="1:7" ht="16.5" thickTop="1">
      <c r="A30" s="219" t="s">
        <v>202</v>
      </c>
      <c r="B30" s="223"/>
      <c r="C30" s="217"/>
      <c r="D30" s="232">
        <f>summ!E42</f>
        <v>8</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v>9</v>
      </c>
      <c r="E32" s="577"/>
      <c r="F32" s="235"/>
      <c r="G32" s="97"/>
    </row>
    <row r="33" spans="1:7" ht="16.5">
      <c r="A33" s="97" t="s">
        <v>22</v>
      </c>
      <c r="B33" s="97" t="s">
        <v>22</v>
      </c>
      <c r="C33" s="97" t="s">
        <v>22</v>
      </c>
      <c r="D33" s="236" t="s">
        <v>149</v>
      </c>
      <c r="E33" s="125"/>
      <c r="F33" s="710" t="s">
        <v>129</v>
      </c>
      <c r="G33" s="720"/>
    </row>
    <row r="34" spans="1:7" ht="16.5">
      <c r="A34" s="98" t="s">
        <v>332</v>
      </c>
      <c r="B34" s="98"/>
      <c r="C34" s="97" t="s">
        <v>22</v>
      </c>
      <c r="D34" s="219" t="str">
        <f>inputPrYr!D4</f>
        <v>Cloud County</v>
      </c>
      <c r="E34" s="223"/>
      <c r="F34" s="706"/>
      <c r="G34" s="707"/>
    </row>
    <row r="35" spans="1:7" ht="16.5">
      <c r="A35" s="237"/>
      <c r="B35" s="237"/>
      <c r="C35" s="97" t="s">
        <v>22</v>
      </c>
      <c r="D35" s="219" t="str">
        <f>inputPrYr!D6</f>
        <v>Ottawa </v>
      </c>
      <c r="E35" s="223"/>
      <c r="F35" s="706"/>
      <c r="G35" s="707"/>
    </row>
    <row r="36" spans="1:7" ht="16.5">
      <c r="A36" s="238"/>
      <c r="B36" s="238"/>
      <c r="C36" s="97" t="s">
        <v>22</v>
      </c>
      <c r="D36" s="219">
        <f>inputPrYr!D7</f>
        <v>0</v>
      </c>
      <c r="E36" s="223"/>
      <c r="F36" s="706"/>
      <c r="G36" s="707"/>
    </row>
    <row r="37" spans="1:7" ht="16.5">
      <c r="A37" s="101" t="s">
        <v>333</v>
      </c>
      <c r="B37" s="213"/>
      <c r="C37" s="97" t="s">
        <v>22</v>
      </c>
      <c r="D37" s="219">
        <f>inputPrYr!D8</f>
        <v>0</v>
      </c>
      <c r="E37" s="223"/>
      <c r="F37" s="706"/>
      <c r="G37" s="707"/>
    </row>
    <row r="38" spans="1:7" ht="16.5">
      <c r="A38" s="237"/>
      <c r="B38" s="237"/>
      <c r="C38" s="97" t="s">
        <v>22</v>
      </c>
      <c r="D38" s="219">
        <f>inputPrYr!D9</f>
        <v>0</v>
      </c>
      <c r="E38" s="223"/>
      <c r="F38" s="706"/>
      <c r="G38" s="707"/>
    </row>
    <row r="39" spans="1:7" ht="16.5">
      <c r="A39" s="238"/>
      <c r="B39" s="238"/>
      <c r="C39" s="97" t="s">
        <v>22</v>
      </c>
      <c r="D39" s="219" t="s">
        <v>150</v>
      </c>
      <c r="E39" s="223"/>
      <c r="F39" s="708">
        <f>SUM(F34:F38)</f>
        <v>0</v>
      </c>
      <c r="G39" s="709"/>
    </row>
    <row r="40" spans="1:7" ht="16.5">
      <c r="A40" s="238"/>
      <c r="B40" s="238"/>
      <c r="C40" s="97" t="s">
        <v>22</v>
      </c>
      <c r="D40" s="97" t="s">
        <v>22</v>
      </c>
      <c r="E40" s="105"/>
      <c r="F40" s="710" t="str">
        <f>CONCATENATE("November 1, ",G3-1," Valuation")</f>
        <v>November 1, 2014 Valuation</v>
      </c>
      <c r="G40" s="707"/>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2014</v>
      </c>
      <c r="D48" s="105" t="s">
        <v>778</v>
      </c>
      <c r="E48" s="105"/>
      <c r="F48" s="578"/>
      <c r="G48" s="578"/>
    </row>
    <row r="49" spans="1:7" ht="15.75">
      <c r="A49" s="97" t="s">
        <v>22</v>
      </c>
      <c r="B49" s="97" t="s">
        <v>22</v>
      </c>
      <c r="C49" s="97" t="s">
        <v>22</v>
      </c>
      <c r="D49" s="98"/>
      <c r="E49" s="98"/>
      <c r="F49" s="108"/>
      <c r="G49" s="108"/>
    </row>
    <row r="50" spans="1:7" ht="16.5">
      <c r="A50" s="711"/>
      <c r="B50" s="712"/>
      <c r="C50" s="98"/>
      <c r="D50" s="105" t="s">
        <v>778</v>
      </c>
      <c r="E50" s="105"/>
      <c r="F50" s="105"/>
      <c r="G50" s="105"/>
    </row>
    <row r="51" spans="1:7" ht="16.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Glasco Fire District # 2</v>
      </c>
      <c r="D1" s="98"/>
      <c r="E1" s="98"/>
      <c r="F1" s="98"/>
      <c r="G1" s="98"/>
      <c r="H1" s="98"/>
      <c r="I1" s="98"/>
      <c r="J1" s="98">
        <f>inputPrYr!D11</f>
        <v>2015</v>
      </c>
    </row>
    <row r="2" spans="1:10" ht="15.75" customHeight="1">
      <c r="A2" s="98"/>
      <c r="B2" s="98"/>
      <c r="C2" s="98" t="str">
        <f>inputPrYr!D4</f>
        <v>Cloud County</v>
      </c>
      <c r="D2" s="98"/>
      <c r="E2" s="98"/>
      <c r="F2" s="98"/>
      <c r="G2" s="98"/>
      <c r="H2" s="98"/>
      <c r="I2" s="98"/>
      <c r="J2" s="98"/>
    </row>
    <row r="3" spans="1:10" ht="15.75">
      <c r="A3" s="723" t="str">
        <f>CONCATENATE("Computation to Determine Limit for ",J1,"")</f>
        <v>Computation to Determine Limit for 2015</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2014 Budget</v>
      </c>
      <c r="C5" s="98"/>
      <c r="D5" s="98"/>
      <c r="E5" s="122"/>
      <c r="F5" s="122"/>
      <c r="G5" s="122"/>
      <c r="H5" s="243" t="s">
        <v>85</v>
      </c>
      <c r="I5" s="122" t="s">
        <v>86</v>
      </c>
      <c r="J5" s="413">
        <f>inputPrYr!E29</f>
        <v>50153</v>
      </c>
    </row>
    <row r="6" spans="1:10" ht="15.75">
      <c r="A6" s="242" t="s">
        <v>87</v>
      </c>
      <c r="B6" s="98" t="str">
        <f>CONCATENATE("Debt Service Levy in ",J1-1," Budget")</f>
        <v>Debt Service Levy in 2014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50153</v>
      </c>
    </row>
    <row r="8" spans="1:10" ht="15.75">
      <c r="A8" s="98"/>
      <c r="B8" s="98"/>
      <c r="C8" s="98"/>
      <c r="D8" s="98"/>
      <c r="E8" s="122"/>
      <c r="F8" s="122"/>
      <c r="G8" s="122"/>
      <c r="H8" s="122"/>
      <c r="I8" s="122"/>
      <c r="J8" s="122"/>
    </row>
    <row r="9" spans="1:10" ht="15.75">
      <c r="A9" s="98"/>
      <c r="B9" s="109" t="str">
        <f>CONCATENATE("",J1-1," Valuation Information for Valuation Adjustments:")</f>
        <v>2014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2014:</v>
      </c>
      <c r="C11" s="98"/>
      <c r="D11" s="98"/>
      <c r="E11" s="243"/>
      <c r="F11" s="243" t="s">
        <v>85</v>
      </c>
      <c r="G11" s="244">
        <f>inputOth!E19</f>
        <v>20089</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2014:</v>
      </c>
      <c r="C13" s="98"/>
      <c r="D13" s="98"/>
      <c r="E13" s="243"/>
      <c r="F13" s="243"/>
      <c r="G13" s="246"/>
      <c r="H13" s="246"/>
      <c r="I13" s="122"/>
      <c r="J13" s="122"/>
    </row>
    <row r="14" spans="1:10" ht="15.75">
      <c r="A14" s="98"/>
      <c r="B14" s="98" t="s">
        <v>91</v>
      </c>
      <c r="C14" s="98" t="str">
        <f>CONCATENATE("Personal Property ",J1-1,"")</f>
        <v>Personal Property 2014</v>
      </c>
      <c r="D14" s="242" t="s">
        <v>85</v>
      </c>
      <c r="E14" s="244">
        <f>inputOth!E26</f>
        <v>188874</v>
      </c>
      <c r="F14" s="243"/>
      <c r="G14" s="122"/>
      <c r="H14" s="122"/>
      <c r="I14" s="246"/>
      <c r="J14" s="122"/>
    </row>
    <row r="15" spans="1:10" ht="15.75">
      <c r="A15" s="242"/>
      <c r="B15" s="98" t="s">
        <v>92</v>
      </c>
      <c r="C15" s="98" t="str">
        <f>CONCATENATE("Personal Property ",J1-2,"")</f>
        <v>Personal Property 2013</v>
      </c>
      <c r="D15" s="242" t="s">
        <v>88</v>
      </c>
      <c r="E15" s="245">
        <f>inputOth!E40</f>
        <v>179374</v>
      </c>
      <c r="F15" s="243"/>
      <c r="G15" s="246"/>
      <c r="H15" s="246"/>
      <c r="I15" s="122"/>
      <c r="J15" s="122"/>
    </row>
    <row r="16" spans="1:10" ht="15.75">
      <c r="A16" s="242"/>
      <c r="B16" s="98" t="s">
        <v>93</v>
      </c>
      <c r="C16" s="98" t="s">
        <v>107</v>
      </c>
      <c r="D16" s="98"/>
      <c r="E16" s="122"/>
      <c r="F16" s="122" t="s">
        <v>85</v>
      </c>
      <c r="G16" s="244">
        <f>IF(E14&gt;E15,E14-E15,0)</f>
        <v>9500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2014:</v>
      </c>
      <c r="C18" s="98"/>
      <c r="D18" s="242"/>
      <c r="E18" s="122"/>
      <c r="F18" s="122"/>
      <c r="G18" s="122">
        <f>inputOth!E33</f>
        <v>2890</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32479</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1,2014</v>
      </c>
      <c r="C22" s="98"/>
      <c r="D22" s="98"/>
      <c r="E22" s="244">
        <f>inputOth!E12</f>
        <v>9649188</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9616709</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0.003377350817207841</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169</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50322</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2015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50322</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2015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Glasco Fire District # 2</v>
      </c>
      <c r="C1" s="98"/>
      <c r="D1" s="98"/>
      <c r="E1" s="98"/>
      <c r="F1" s="98"/>
      <c r="G1" s="98"/>
      <c r="H1" s="98"/>
      <c r="I1" s="251"/>
      <c r="J1" s="98"/>
    </row>
    <row r="2" spans="1:10" ht="15.75">
      <c r="A2" s="98"/>
      <c r="B2" s="98" t="str">
        <f>inputPrYr!D4</f>
        <v>Cloud County</v>
      </c>
      <c r="C2" s="98"/>
      <c r="D2" s="98"/>
      <c r="E2" s="98"/>
      <c r="F2" s="98"/>
      <c r="G2" s="98"/>
      <c r="H2" s="98"/>
      <c r="I2" s="181"/>
      <c r="J2" s="98">
        <f>inputPrYr!D11</f>
        <v>2015</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6.5">
      <c r="A9" s="98"/>
      <c r="B9" s="724" t="str">
        <f>CONCATENATE("",J2-1,"                    Budgeted Funds")</f>
        <v>2014                    Budgeted Funds</v>
      </c>
      <c r="C9" s="715" t="str">
        <f>CONCATENATE("Tax Levy Amount in ",J2-2," Budget")</f>
        <v>Tax Levy Amount in 2013 Budget</v>
      </c>
      <c r="D9" s="718" t="str">
        <f>CONCATENATE("Allocation for Year ",J2,"")</f>
        <v>Allocation for Year 2015</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50153</v>
      </c>
      <c r="D11" s="159">
        <f>IF(E17=0,0,E17-D12-D13-D14)</f>
        <v>2450</v>
      </c>
      <c r="E11" s="159">
        <f>IF(E19=0,0,E19-E12-E13-E14)</f>
        <v>32</v>
      </c>
      <c r="F11" s="159">
        <f>IF(E21=0,0,E21-F12-F13-F14)</f>
        <v>448</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50153</v>
      </c>
      <c r="D15" s="167">
        <f>SUM(D11:D14)</f>
        <v>2450</v>
      </c>
      <c r="E15" s="167">
        <f>SUM(E11:E14)</f>
        <v>32</v>
      </c>
      <c r="F15" s="167">
        <f>SUM(F11:F14)</f>
        <v>448</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2450</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32</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448</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0.04885051741670488</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0.0006380475744222679</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0.00893266604191175</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I21" sqref="I21"/>
    </sheetView>
  </sheetViews>
  <sheetFormatPr defaultColWidth="8.89843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2015</v>
      </c>
    </row>
    <row r="2" spans="1:6" ht="15.75">
      <c r="A2" s="259" t="str">
        <f>inputPrYr!D3</f>
        <v>Glasco Fire District # 2</v>
      </c>
      <c r="B2" s="259"/>
      <c r="C2" s="98"/>
      <c r="D2" s="98"/>
      <c r="E2" s="251"/>
      <c r="F2" s="98"/>
    </row>
    <row r="3" spans="1:6" ht="15.75">
      <c r="A3" s="259" t="str">
        <f>inputPrYr!D4</f>
        <v>Cloud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2013</v>
      </c>
      <c r="D9" s="264">
        <f>F1-1</f>
        <v>2014</v>
      </c>
      <c r="E9" s="264">
        <f>F1</f>
        <v>2015</v>
      </c>
      <c r="F9" s="263" t="s">
        <v>169</v>
      </c>
    </row>
    <row r="10" spans="1:6" ht="15" customHeight="1">
      <c r="A10" s="266" t="s">
        <v>825</v>
      </c>
      <c r="B10" s="266" t="s">
        <v>826</v>
      </c>
      <c r="C10" s="267">
        <v>14000</v>
      </c>
      <c r="D10" s="267">
        <v>10000</v>
      </c>
      <c r="E10" s="267">
        <v>8000</v>
      </c>
      <c r="F10" s="266" t="s">
        <v>838</v>
      </c>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6.5">
      <c r="A24" s="115"/>
      <c r="B24" s="270" t="s">
        <v>127</v>
      </c>
      <c r="C24" s="271">
        <f>SUM(C10:C23)</f>
        <v>14000</v>
      </c>
      <c r="D24" s="271">
        <f>SUM(D10:D23)</f>
        <v>10000</v>
      </c>
      <c r="E24" s="271">
        <f>SUM(E10:E23)</f>
        <v>8000</v>
      </c>
      <c r="F24" s="272"/>
      <c r="G24" s="184"/>
    </row>
    <row r="25" spans="1:7" ht="16.5">
      <c r="A25" s="115"/>
      <c r="B25" s="273" t="s">
        <v>568</v>
      </c>
      <c r="C25" s="274"/>
      <c r="D25" s="275"/>
      <c r="E25" s="275"/>
      <c r="F25" s="272"/>
      <c r="G25" s="184"/>
    </row>
    <row r="26" spans="1:7" ht="16.5">
      <c r="A26" s="115"/>
      <c r="B26" s="270" t="s">
        <v>170</v>
      </c>
      <c r="C26" s="271">
        <f>C24</f>
        <v>14000</v>
      </c>
      <c r="D26" s="271">
        <f>SUM(D24-D25)</f>
        <v>10000</v>
      </c>
      <c r="E26" s="271">
        <f>SUM(E24-E25)</f>
        <v>8000</v>
      </c>
      <c r="F26" s="272"/>
      <c r="G26" s="184"/>
    </row>
    <row r="27" spans="1:7" ht="16.5">
      <c r="A27" s="98"/>
      <c r="B27" s="98"/>
      <c r="C27" s="98"/>
      <c r="D27" s="138"/>
      <c r="E27" s="138"/>
      <c r="F27" s="138"/>
      <c r="G27" s="184"/>
    </row>
    <row r="28" spans="1:7" ht="16.5">
      <c r="A28" s="98"/>
      <c r="B28" s="98"/>
      <c r="C28" s="98"/>
      <c r="D28" s="138"/>
      <c r="E28" s="138"/>
      <c r="F28" s="138"/>
      <c r="G28" s="184"/>
    </row>
    <row r="29" spans="1:7" ht="16.5">
      <c r="A29" s="418" t="s">
        <v>569</v>
      </c>
      <c r="B29" s="419" t="str">
        <f>CONCATENATE("Adjustments are required only if the transfer is being made in ",D9," and/or ",E9," from a non-budgeted fund.")</f>
        <v>Adjustments are required only if the transfer is being made in 2014 and/or 2015 from a non-budgeted fund.</v>
      </c>
      <c r="C29" s="98"/>
      <c r="D29" s="138"/>
      <c r="E29" s="138"/>
      <c r="F29" s="138"/>
      <c r="G29" s="184"/>
    </row>
    <row r="30" spans="1:7" ht="16.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linda</cp:lastModifiedBy>
  <cp:lastPrinted>2014-07-31T20:57:09Z</cp:lastPrinted>
  <dcterms:created xsi:type="dcterms:W3CDTF">1999-08-06T13:59:57Z</dcterms:created>
  <dcterms:modified xsi:type="dcterms:W3CDTF">2014-08-27T15:12:51Z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