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<sst xmlns="http://schemas.openxmlformats.org/spreadsheetml/2006/main" count="1185" uniqueCount="803">
  <si>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</si>
  <si>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</si>
  <si>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</si>
  <si>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</si>
  <si>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</si>
  <si>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</si>
  <si>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</si>
  <si>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</si>
  <si>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</si>
  <si>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</si>
  <si>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</si>
  <si>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</si>
  <si>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</si>
  <si>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</si>
  <si>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</si>
  <si>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</si>
  <si>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</si>
  <si>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</si>
  <si>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</si>
  <si>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</si>
  <si>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</si>
  <si>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</si>
  <si>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</si>
  <si>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</si>
  <si>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</si>
  <si>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</si>
  <si>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</si>
  <si>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</si>
  <si>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</si>
  <si>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</si>
  <si>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</si>
  <si>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</si>
  <si>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</si>
  <si>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</si>
  <si>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</si>
  <si>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</si>
  <si>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</si>
  <si>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</si>
  <si>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</si>
  <si>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</si>
  <si>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</si>
  <si>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</si>
  <si>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</si>
  <si>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</si>
  <si>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</si>
  <si>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</si>
  <si>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</si>
  <si>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</si>
  <si>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</si>
  <si>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</si>
  <si>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</si>
  <si>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</si>
  <si>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</si>
  <si>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</si>
  <si>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</si>
  <si>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</si>
  <si>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</si>
  <si>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</si>
  <si>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</si>
  <si>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</si>
  <si>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</si>
  <si>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</si>
  <si>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</si>
  <si>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</si>
  <si>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</si>
  <si>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</si>
  <si>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</si>
  <si>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</si>
  <si>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</si>
  <si>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</si>
  <si>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</si>
  <si>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</si>
  <si>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</si>
  <si>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</si>
  <si>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</si>
  <si>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</si>
  <si>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</si>
  <si>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</si>
  <si>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</si>
  <si>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</si>
  <si>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</si>
  <si>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</si>
  <si>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</si>
  <si>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</si>
  <si>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</si>
  <si>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</si>
  <si>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</si>
  <si>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</si>
  <si>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</si>
  <si>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</si>
  <si>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</si>
  <si>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</si>
  <si>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</si>
  <si>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</si>
  <si>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</si>
  <si>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</si>
  <si>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</si>
  <si>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</si>
  <si>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</si>
  <si>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</si>
  <si>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</si>
  <si>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</si>
  <si>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</si>
  <si>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</si>
  <si>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</si>
  <si>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</si>
  <si>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</si>
  <si>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</si>
  <si>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</si>
  <si>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</si>
  <si>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</si>
  <si>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</si>
  <si>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</si>
  <si>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</si>
  <si>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</si>
  <si>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</si>
  <si>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</si>
  <si>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</si>
  <si>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</si>
  <si>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</si>
  <si>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</si>
  <si>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</si>
  <si>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</si>
  <si>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</si>
  <si>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</si>
  <si>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</si>
  <si>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</si>
  <si>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</si>
  <si>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</si>
  <si>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</si>
  <si>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</si>
  <si>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</si>
  <si>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</si>
  <si>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</si>
  <si>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</si>
  <si>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</si>
  <si>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</si>
  <si>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</si>
  <si>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</si>
  <si>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</si>
  <si>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</si>
  <si>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</si>
  <si>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</si>
  <si>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</si>
  <si>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</si>
  <si>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</si>
  <si>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</si>
  <si>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</si>
  <si>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</si>
  <si>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</si>
  <si>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</si>
  <si>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</si>
  <si>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</si>
  <si>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</si>
  <si>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</si>
  <si>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</si>
  <si>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</si>
  <si>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</si>
  <si>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</si>
  <si>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</si>
  <si>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</si>
  <si>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</si>
  <si>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</si>
  <si>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</si>
  <si>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</si>
  <si>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</si>
  <si>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</si>
  <si>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</si>
  <si>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</si>
  <si>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</si>
  <si>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</si>
  <si>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</si>
  <si>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</si>
  <si>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</si>
  <si>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</si>
  <si>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</si>
  <si>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</si>
  <si>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</si>
  <si>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</si>
  <si>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</si>
  <si>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</si>
  <si>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</si>
  <si>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</si>
  <si>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</si>
  <si>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</si>
  <si>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</si>
  <si>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</si>
  <si>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</si>
  <si>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</si>
  <si>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</si>
  <si>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</si>
  <si>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</si>
  <si>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</si>
  <si>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</si>
  <si>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</si>
  <si>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</si>
  <si>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</si>
  <si>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</si>
  <si>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</si>
  <si>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</si>
  <si>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</si>
  <si>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</si>
  <si>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</si>
  <si>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</si>
  <si>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</si>
  <si>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</si>
  <si>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</si>
  <si>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</si>
  <si>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</si>
  <si>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</si>
  <si>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</si>
  <si>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</si>
  <si>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</si>
  <si>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</si>
  <si>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</si>
  <si>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</si>
  <si>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</si>
  <si>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</si>
  <si>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</si>
  <si>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</si>
  <si>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</si>
  <si>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</si>
  <si>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</si>
  <si>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</si>
  <si>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</si>
  <si>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</si>
  <si>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</si>
  <si>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</si>
  <si>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</si>
  <si>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</si>
  <si>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</si>
  <si>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</si>
  <si>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</si>
  <si>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</si>
  <si>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</si>
  <si>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</si>
  <si>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</si>
  <si>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</si>
  <si>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</si>
  <si>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</si>
  <si>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</si>
  <si>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</si>
  <si>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</si>
  <si>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</si>
  <si>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</si>
  <si>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</si>
  <si>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</si>
  <si>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</si>
  <si>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</si>
  <si>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</si>
  <si>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</si>
  <si>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</si>
  <si>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</si>
  <si>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</si>
  <si>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</si>
  <si>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</si>
  <si>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</si>
  <si>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</si>
  <si>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</si>
  <si>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</si>
  <si>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</si>
  <si>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</si>
  <si>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</si>
  <si>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</si>
  <si>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</si>
  <si>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</si>
  <si>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</si>
  <si>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</si>
  <si>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</si>
  <si>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</si>
  <si>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</si>
  <si>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</si>
  <si>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</si>
  <si>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</si>
  <si>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</si>
  <si>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</si>
  <si>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</si>
  <si>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</si>
  <si>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</si>
  <si>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</si>
  <si>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</si>
  <si>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</si>
  <si>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</si>
  <si>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</si>
  <si>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</si>
  <si>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</si>
  <si>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</si>
  <si>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</si>
  <si>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</si>
  <si>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</si>
  <si>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</si>
  <si>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</si>
  <si>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</si>
  <si>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</si>
  <si>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</si>
  <si>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</si>
  <si>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</si>
  <si>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</si>
  <si>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</si>
  <si>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</si>
  <si>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</si>
  <si>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</si>
  <si>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</si>
  <si>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</si>
  <si>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</si>
  <si>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</si>
  <si>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</si>
  <si>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</si>
  <si>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</si>
  <si>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</si>
  <si>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</si>
  <si>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</si>
  <si>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</si>
  <si>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</si>
  <si>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</si>
  <si>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</si>
  <si>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</si>
  <si>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</si>
  <si>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</si>
  <si>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</si>
  <si>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</si>
  <si>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</si>
  <si>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</si>
  <si>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</si>
  <si>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</si>
  <si>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</si>
  <si>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</si>
  <si>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</si>
  <si>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</si>
  <si>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</si>
  <si>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</si>
  <si>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</si>
  <si>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</si>
  <si>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</si>
  <si>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</si>
  <si>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</si>
  <si>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</si>
  <si>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</si>
  <si>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</si>
  <si>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</si>
  <si>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</si>
  <si>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</si>
  <si>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</si>
  <si>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</si>
  <si>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</si>
  <si>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</si>
  <si>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</si>
  <si>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</si>
  <si>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</si>
  <si>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</si>
  <si>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</si>
  <si>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</si>
  <si>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</si>
  <si>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</si>
  <si>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</si>
  <si>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</si>
  <si>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</si>
  <si>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</si>
  <si>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</si>
  <si>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</si>
  <si>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</si>
  <si>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</si>
  <si>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</si>
  <si>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</si>
  <si>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</si>
  <si>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</si>
  <si>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</si>
  <si>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</si>
  <si>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</si>
  <si>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</si>
  <si>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</si>
  <si>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</si>
  <si>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</si>
  <si>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</si>
  <si>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</si>
  <si>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</si>
  <si>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</si>
  <si>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</si>
  <si>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</si>
  <si>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</si>
  <si>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</si>
  <si>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</si>
  <si>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</si>
  <si>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</si>
  <si>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</si>
  <si>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</si>
  <si>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</si>
  <si>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</si>
  <si>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</si>
  <si>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</si>
  <si>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</si>
  <si>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</si>
  <si>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</si>
  <si>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</si>
  <si>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</si>
  <si>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</si>
  <si>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</si>
  <si>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</si>
  <si>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</si>
  <si>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</si>
  <si>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</si>
  <si>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</si>
  <si>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</si>
  <si>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</si>
  <si>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</si>
  <si>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</si>
  <si>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</si>
  <si>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</si>
  <si>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</si>
  <si>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</si>
  <si>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</si>
  <si>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</si>
  <si>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</si>
  <si>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</si>
  <si>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</si>
  <si>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</si>
  <si>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</si>
  <si>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</si>
  <si>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</si>
  <si>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</si>
  <si>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</si>
  <si>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</si>
  <si>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</si>
  <si>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</si>
  <si>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</si>
  <si>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</si>
  <si>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</si>
  <si>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</si>
  <si>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</si>
  <si>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</si>
  <si>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</si>
  <si>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</si>
  <si>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</si>
  <si>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</si>
  <si>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</si>
  <si>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</si>
  <si>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</si>
  <si>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</si>
  <si>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</si>
  <si>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</si>
  <si>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</si>
  <si>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</si>
  <si>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</si>
  <si>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</si>
  <si>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</si>
  <si>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</si>
  <si>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</si>
  <si>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</si>
  <si>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</si>
  <si>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</si>
  <si>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</si>
  <si>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</si>
  <si>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</si>
  <si>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</si>
  <si>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</si>
  <si>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</si>
  <si>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</si>
  <si>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</si>
  <si>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</si>
  <si>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</si>
  <si>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</si>
  <si>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</si>
  <si>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</si>
  <si>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</si>
  <si>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</si>
  <si>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</si>
  <si>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</si>
  <si>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</si>
  <si>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</si>
  <si>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</si>
  <si>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</si>
  <si>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</si>
  <si>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</si>
  <si>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</si>
  <si>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</si>
  <si>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</si>
  <si>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</si>
  <si>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</si>
  <si>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</si>
  <si>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</si>
  <si>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</si>
  <si>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</si>
  <si>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</si>
  <si>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</si>
  <si>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</si>
  <si>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</si>
  <si>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</si>
  <si>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</si>
  <si>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</si>
  <si>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</si>
  <si>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</si>
  <si>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</si>
  <si>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</si>
  <si>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</si>
  <si>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</si>
  <si>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</si>
  <si>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</si>
  <si>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</si>
  <si>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</si>
  <si>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</si>
  <si>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</si>
  <si>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</si>
  <si>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</si>
  <si>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</si>
  <si>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</si>
  <si>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</si>
  <si>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</si>
  <si>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</si>
  <si>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</si>
  <si>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</si>
  <si>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</si>
  <si>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</si>
  <si>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</si>
  <si>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</si>
  <si>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</si>
  <si>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</si>
  <si>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</si>
  <si>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</si>
  <si>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</si>
  <si>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</si>
  <si>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</si>
  <si>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</si>
  <si>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</si>
  <si>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</si>
  <si>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</si>
  <si>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</si>
  <si>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</si>
  <si>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</si>
  <si>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</si>
  <si>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</si>
  <si>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</si>
  <si>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</si>
  <si>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</si>
  <si>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</si>
  <si>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</si>
  <si>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</si>
  <si>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</si>
  <si>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</si>
  <si>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</si>
  <si>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</si>
  <si>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</si>
  <si>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</si>
  <si>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</si>
  <si>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</si>
  <si>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</si>
  <si>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</si>
  <si>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</si>
  <si>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</si>
  <si>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</si>
  <si>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</si>
  <si>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</si>
  <si>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</si>
  <si>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</si>
  <si>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</si>
  <si>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</si>
  <si>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</si>
  <si>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</si>
  <si>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</si>
  <si>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</si>
  <si>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</si>
  <si>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</si>
  <si>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</si>
  <si>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</si>
  <si>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</si>
  <si>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</si>
  <si>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</si>
  <si>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</si>
  <si>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</si>
  <si>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</si>
  <si>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</si>
  <si>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</si>
  <si>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</si>
  <si>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</si>
  <si>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</si>
  <si>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</si>
  <si>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</si>
  <si>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</si>
  <si>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</si>
  <si>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</si>
  <si>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</si>
  <si>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</si>
  <si>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</si>
  <si>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</si>
  <si>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</si>
  <si>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</si>
  <si>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</si>
  <si>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</si>
  <si>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</si>
  <si>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</si>
  <si>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</si>
  <si>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</si>
  <si>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</si>
  <si>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</si>
  <si>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</si>
  <si>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</si>
  <si>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</si>
  <si>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</si>
  <si>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</si>
  <si>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</si>
  <si>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</si>
  <si>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</si>
  <si>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</si>
  <si>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</si>
  <si>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</si>
  <si>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</si>
  <si>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</si>
  <si>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</si>
  <si>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</si>
  <si>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</si>
  <si>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</si>
  <si>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</si>
  <si>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</si>
  <si>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</si>
  <si>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</si>
  <si>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</si>
  <si>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</si>
  <si>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</si>
  <si>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</si>
  <si>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</si>
  <si>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</si>
  <si>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</si>
  <si>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</si>
  <si>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</si>
  <si>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</si>
  <si>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</si>
  <si>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</si>
  <si>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</si>
  <si>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</si>
  <si>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</si>
  <si>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</si>
  <si>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</si>
  <si>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</si>
  <si>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</si>
  <si>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</si>
  <si>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</si>
  <si>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</si>
  <si>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</si>
  <si>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</si>
  <si>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</si>
  <si>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</si>
  <si>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</si>
  <si>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</si>
  <si>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</si>
  <si>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</si>
  <si>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</si>
  <si>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</si>
  <si>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</si>
  <si>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</si>
  <si>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</si>
  <si>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</si>
  <si>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</si>
  <si>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</si>
  <si>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</si>
  <si>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</si>
  <si>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</si>
  <si>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</si>
  <si>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</si>
  <si>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</si>
  <si>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</si>
  <si>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</si>
  <si>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</si>
  <si>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</si>
  <si>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</si>
  <si>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</si>
  <si>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</si>
  <si>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</si>
  <si>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</si>
  <si>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</si>
  <si>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</si>
  <si>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</si>
  <si>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</si>
  <si>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</si>
  <si>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</si>
  <si>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</si>
  <si>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</si>
  <si>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</si>
  <si>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</si>
  <si>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</si>
  <si>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</si>
  <si>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</si>
  <si>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</si>
  <si>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</si>
  <si>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</si>
  <si>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</si>
  <si>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</si>
  <si>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</si>
  <si>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</si>
  <si>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</si>
  <si>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</si>
  <si>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</si>
  <si>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</si>
  <si>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</si>
  <si>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</si>
  <si>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</si>
  <si>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</si>
  <si>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</si>
  <si>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</si>
  <si>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</si>
  <si>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</si>
  <si>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</si>
  <si>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</si>
  <si>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</si>
  <si>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</si>
  <si>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</si>
  <si>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</si>
  <si>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</si>
  <si>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</si>
  <si>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</si>
  <si>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</si>
  <si>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</si>
  <si>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</si>
  <si>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</si>
  <si>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</si>
  <si>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</si>
  <si>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</si>
  <si>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</si>
  <si>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</si>
  <si>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</si>
  <si>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</si>
  <si>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</si>
  <si>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</si>
  <si>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</si>
  <si>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</si>
  <si>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</si>
  <si>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</si>
  <si>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</si>
  <si>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</si>
  <si>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</si>
  <si>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</si>
  <si>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</si>
  <si>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</si>
  <si>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</si>
  <si>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</si>
  <si>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</si>
  <si>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</si>
  <si>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</si>
  <si>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</si>
  <si>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</si>
  <si>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</si>
  <si>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</si>
  <si>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</si>
  <si>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</si>
  <si>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</si>
  <si>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</si>
  <si>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</si>
  <si>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</si>
  <si>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</si>
  <si>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</si>
  <si>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</si>
  <si>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</si>
  <si>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</si>
  <si>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</si>
  <si>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</si>
  <si>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</si>
  <si>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</si>
  <si>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</si>
  <si>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</si>
  <si>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</si>
  <si>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</si>
  <si>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</si>
  <si>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</si>
  <si>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</si>
  <si>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</si>
  <si>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</si>
  <si>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</si>
  <si>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</si>
  <si>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</si>
  <si>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</si>
  <si>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</si>
  <si>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</si>
  <si>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</si>
  <si>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</si>
  <si>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</si>
  <si>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</si>
  <si>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</si>
  <si>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</si>
  <si>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</si>
  <si>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</si>
  <si>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</si>
  <si>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</si>
  <si>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</si>
  <si>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</si>
  <si>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</si>
  <si>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</si>
  <si>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</si>
  <si>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</si>
  <si>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</si>
  <si>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</si>
  <si>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</si>
  <si>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</si>
  <si>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</si>
  <si>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</si>
  <si>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</si>
  <si>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Rice County</t>
  </si>
  <si>
    <t>the Rice County Clerk's Office</t>
  </si>
  <si>
    <t>Geneseo Community</t>
  </si>
  <si>
    <t>Tax from other County</t>
  </si>
  <si>
    <t>Operations</t>
  </si>
  <si>
    <t>Mowing</t>
  </si>
  <si>
    <t>Supplies</t>
  </si>
  <si>
    <t>Memorial</t>
  </si>
  <si>
    <t>none</t>
  </si>
  <si>
    <t xml:space="preserve">Notice of Vote Publication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</si>
</sst>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788</v>
      </c>
    </row>
    <row r="44" ht="39" customHeight="1">
      <c r="A44" s="287" t="s">
        <v>749</v>
      </c>
    </row>
    <row r="45" ht="15.75">
      <c r="A45" s="287"/>
    </row>
    <row r="46" ht="71.25" customHeight="1">
      <c r="A46" s="287" t="s">
        <v>756</v>
      </c>
    </row>
    <row r="47" ht="131.25" customHeight="1">
      <c r="A47" s="287" t="s">
        <v>789</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1" sqref="B1"/>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Geneseo Community</v>
      </c>
      <c r="C1" s="3"/>
      <c r="D1" s="3"/>
      <c r="E1" s="3"/>
      <c r="F1" s="3"/>
      <c r="G1" s="3"/>
      <c r="H1" s="3"/>
      <c r="I1" s="3"/>
      <c r="J1" s="3"/>
      <c r="K1" s="3"/>
      <c r="L1" s="154">
        <f>inputPrYr!D6</f>
        <v>2015</v>
      </c>
    </row>
    <row r="2" spans="2:12" ht="15.75">
      <c r="B2" s="3" t="str">
        <f>inputPrYr!$D$4</f>
        <v>Rice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801</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t="s">
        <v>801</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t="s">
        <v>801</v>
      </c>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801</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600" verticalDpi="60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5">
      <selection activeCell="D38" sqref="D38"/>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Geneseo Community</v>
      </c>
      <c r="C1" s="194"/>
      <c r="D1" s="3"/>
      <c r="E1" s="154">
        <f>inputPrYr!$D$6</f>
        <v>2015</v>
      </c>
    </row>
    <row r="2" spans="2:5" ht="15.75">
      <c r="B2" s="3" t="str">
        <f>inputPrYr!D4</f>
        <v>Rice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10801</v>
      </c>
      <c r="D7" s="342">
        <f>C62</f>
        <v>5913.45</v>
      </c>
      <c r="E7" s="30">
        <f>D62</f>
        <v>1198.4499999999998</v>
      </c>
    </row>
    <row r="8" spans="2:5" ht="15.75">
      <c r="B8" s="198" t="s">
        <v>118</v>
      </c>
      <c r="C8" s="199"/>
      <c r="D8" s="199"/>
      <c r="E8" s="104"/>
    </row>
    <row r="9" spans="2:5" ht="15.75">
      <c r="B9" s="100" t="s">
        <v>33</v>
      </c>
      <c r="C9" s="335">
        <v>214</v>
      </c>
      <c r="D9" s="342">
        <f>IF(inputPrYr!H18&gt;0,inputPrYr!G19,inputPrYr!E19)</f>
        <v>228</v>
      </c>
      <c r="E9" s="109" t="s">
        <v>28</v>
      </c>
    </row>
    <row r="10" spans="2:5" ht="15.75">
      <c r="B10" s="100" t="s">
        <v>34</v>
      </c>
      <c r="C10" s="335">
        <v>63</v>
      </c>
      <c r="D10" s="335"/>
      <c r="E10" s="170"/>
    </row>
    <row r="11" spans="2:5" ht="15.75">
      <c r="B11" s="100" t="s">
        <v>35</v>
      </c>
      <c r="C11" s="335">
        <v>129</v>
      </c>
      <c r="D11" s="335">
        <v>11</v>
      </c>
      <c r="E11" s="30">
        <f>mvalloc!D11</f>
        <v>9</v>
      </c>
    </row>
    <row r="12" spans="2:5" ht="15.75">
      <c r="B12" s="100" t="s">
        <v>36</v>
      </c>
      <c r="C12" s="335">
        <v>2</v>
      </c>
      <c r="D12" s="335">
        <v>0</v>
      </c>
      <c r="E12" s="30">
        <f>mvalloc!E11</f>
        <v>0</v>
      </c>
    </row>
    <row r="13" spans="2:5" ht="15.75">
      <c r="B13" s="199" t="s">
        <v>109</v>
      </c>
      <c r="C13" s="335">
        <v>44</v>
      </c>
      <c r="D13" s="335">
        <v>11</v>
      </c>
      <c r="E13" s="30">
        <f>mvalloc!F11</f>
        <v>1</v>
      </c>
    </row>
    <row r="14" spans="2:5" ht="15.75">
      <c r="B14" s="199" t="s">
        <v>141</v>
      </c>
      <c r="C14" s="335">
        <v>0</v>
      </c>
      <c r="D14" s="335">
        <v>0</v>
      </c>
      <c r="E14" s="30">
        <f>inputOth!E30</f>
        <v>0</v>
      </c>
    </row>
    <row r="15" spans="2:5" ht="15.75">
      <c r="B15" s="200" t="s">
        <v>37</v>
      </c>
      <c r="C15" s="335"/>
      <c r="D15" s="335"/>
      <c r="E15" s="170"/>
    </row>
    <row r="16" spans="2:5" ht="15.75">
      <c r="B16" s="200" t="s">
        <v>796</v>
      </c>
      <c r="C16" s="335">
        <v>135</v>
      </c>
      <c r="D16" s="335">
        <v>135</v>
      </c>
      <c r="E16" s="170">
        <v>140</v>
      </c>
    </row>
    <row r="17" spans="2:5" ht="15.75">
      <c r="B17" s="200" t="s">
        <v>800</v>
      </c>
      <c r="C17" s="335">
        <v>0</v>
      </c>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60</v>
      </c>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647</v>
      </c>
      <c r="D33" s="337">
        <f>SUM(D9:D31)</f>
        <v>385</v>
      </c>
      <c r="E33" s="206">
        <f>SUM(E9:E31)</f>
        <v>150</v>
      </c>
    </row>
    <row r="34" spans="2:5" ht="15.75">
      <c r="B34" s="205" t="s">
        <v>40</v>
      </c>
      <c r="C34" s="337">
        <f>C7+C33</f>
        <v>11448</v>
      </c>
      <c r="D34" s="337">
        <f>D7+D33</f>
        <v>6298.45</v>
      </c>
      <c r="E34" s="206">
        <f>E7+E33</f>
        <v>1348.4499999999998</v>
      </c>
    </row>
    <row r="35" spans="2:5" ht="15.75">
      <c r="B35" s="100" t="s">
        <v>41</v>
      </c>
      <c r="C35" s="102"/>
      <c r="D35" s="102"/>
      <c r="E35" s="21"/>
    </row>
    <row r="36" spans="2:5" ht="15.75">
      <c r="B36" s="200" t="s">
        <v>797</v>
      </c>
      <c r="C36" s="335">
        <v>200</v>
      </c>
      <c r="D36" s="335">
        <v>500</v>
      </c>
      <c r="E36" s="170">
        <v>500</v>
      </c>
    </row>
    <row r="37" spans="2:5" ht="15.75">
      <c r="B37" s="200" t="s">
        <v>798</v>
      </c>
      <c r="C37" s="335">
        <v>3100</v>
      </c>
      <c r="D37" s="335">
        <v>3500</v>
      </c>
      <c r="E37" s="170">
        <v>4500</v>
      </c>
    </row>
    <row r="38" spans="2:5" ht="15.75">
      <c r="B38" s="200" t="s">
        <v>799</v>
      </c>
      <c r="C38" s="335">
        <v>89.55</v>
      </c>
      <c r="D38" s="335">
        <v>100</v>
      </c>
      <c r="E38" s="170">
        <v>100</v>
      </c>
    </row>
    <row r="39" spans="2:5" ht="15.75">
      <c r="B39" s="200" t="s">
        <v>196</v>
      </c>
      <c r="C39" s="335">
        <v>0</v>
      </c>
      <c r="D39" s="335">
        <v>1000</v>
      </c>
      <c r="E39" s="170">
        <v>1000</v>
      </c>
    </row>
    <row r="40" spans="2:5" ht="15.75">
      <c r="B40" s="200" t="s">
        <v>72</v>
      </c>
      <c r="C40" s="335">
        <v>2145</v>
      </c>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5534.55</v>
      </c>
      <c r="D61" s="337">
        <f>SUM(D36:D59)</f>
        <v>5100</v>
      </c>
      <c r="E61" s="206">
        <f>SUM(E36:E59)</f>
        <v>6100</v>
      </c>
      <c r="F61" s="1"/>
      <c r="G61" s="456">
        <f>D62</f>
        <v>1198.4499999999998</v>
      </c>
      <c r="H61" s="455" t="str">
        <f>CONCATENATE("",E1-1," Ending Cash Balance (est.)")</f>
        <v>2014 Ending Cash Balance (est.)</v>
      </c>
      <c r="I61" s="548"/>
      <c r="J61" s="450"/>
      <c r="K61" s="1"/>
    </row>
    <row r="62" spans="2:11" ht="15.75">
      <c r="B62" s="100" t="s">
        <v>117</v>
      </c>
      <c r="C62" s="338">
        <f>C34-C61</f>
        <v>5913.45</v>
      </c>
      <c r="D62" s="338">
        <f>D34-D61</f>
        <v>1198.4499999999998</v>
      </c>
      <c r="E62" s="109" t="s">
        <v>28</v>
      </c>
      <c r="F62" s="1"/>
      <c r="G62" s="456">
        <f>E33</f>
        <v>150</v>
      </c>
      <c r="H62" s="449" t="str">
        <f>CONCATENATE("",E1," Non-AV Receipts (est.)")</f>
        <v>2015 Non-AV Receipts (est.)</v>
      </c>
      <c r="I62" s="548"/>
      <c r="J62" s="450"/>
      <c r="K62" s="1"/>
    </row>
    <row r="63" spans="2:11" ht="15.75">
      <c r="B63" s="2" t="str">
        <f>CONCATENATE("",E1-2,"/",E1-1,"/",E1," Budget Authority Amount:")</f>
        <v>2013/2014/2015 Budget Authority Amount:</v>
      </c>
      <c r="C63" s="215">
        <f>inputOth!B41</f>
        <v>5600</v>
      </c>
      <c r="D63" s="524">
        <f>inputPrYr!D19</f>
        <v>14500</v>
      </c>
      <c r="E63" s="30">
        <f>E61</f>
        <v>6100</v>
      </c>
      <c r="F63" s="223"/>
      <c r="G63" s="448">
        <f>IF(E67&gt;0,E66,E68)</f>
        <v>4751.55</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6100</v>
      </c>
      <c r="H64" s="449" t="str">
        <f>CONCATENATE("Total ",E1," Resources Available")</f>
        <v>Total 2015 Resources Available</v>
      </c>
      <c r="I64" s="548"/>
      <c r="J64" s="450"/>
      <c r="K64" s="1"/>
    </row>
    <row r="65" spans="2:11" ht="15.75">
      <c r="B65" s="354" t="str">
        <f>CONCATENATE(C81,"     ",D81)</f>
        <v>     </v>
      </c>
      <c r="C65" s="715" t="s">
        <v>630</v>
      </c>
      <c r="D65" s="716"/>
      <c r="E65" s="30">
        <f>E61+E64</f>
        <v>6100</v>
      </c>
      <c r="F65" s="1"/>
      <c r="G65" s="447"/>
      <c r="H65" s="449"/>
      <c r="I65" s="449"/>
      <c r="J65" s="450"/>
      <c r="K65" s="1"/>
    </row>
    <row r="66" spans="2:11" ht="15.75">
      <c r="B66" s="354" t="str">
        <f>CONCATENATE(C82,"     ",D82)</f>
        <v>     </v>
      </c>
      <c r="C66" s="460"/>
      <c r="D66" s="459" t="s">
        <v>631</v>
      </c>
      <c r="E66" s="27">
        <f>IF(E65-E34&gt;0,E65-E34,0)</f>
        <v>4751.55</v>
      </c>
      <c r="F66" s="1"/>
      <c r="G66" s="448">
        <f>ROUND(C61*0.05+C61,0)</f>
        <v>5811</v>
      </c>
      <c r="H66" s="449" t="str">
        <f>CONCATENATE("Less ",E1-2," Expenditures + 5%")</f>
        <v>Less 2013 Expenditures + 5%</v>
      </c>
      <c r="I66" s="548"/>
      <c r="J66" s="450"/>
      <c r="K66" s="1"/>
    </row>
    <row r="67" spans="2:11" ht="15.75">
      <c r="B67" s="127"/>
      <c r="C67" s="458" t="s">
        <v>632</v>
      </c>
      <c r="D67" s="560">
        <f>inputOth!$E$35</f>
        <v>0.014</v>
      </c>
      <c r="E67" s="30">
        <f>ROUND(IF(D67&gt;0,(E66*D67),0),0)</f>
        <v>67</v>
      </c>
      <c r="F67" s="1"/>
      <c r="G67" s="446">
        <f>G64-G66</f>
        <v>289</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4818.55</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0.536</v>
      </c>
      <c r="H71" s="455" t="str">
        <f>CONCATENATE("",E1," Fund Mill Rate")</f>
        <v>2015 Fund Mill Rate</v>
      </c>
      <c r="I71" s="534"/>
      <c r="J71" s="553"/>
      <c r="K71" s="1"/>
    </row>
    <row r="72" spans="2:11" ht="15.75">
      <c r="B72" s="3"/>
      <c r="C72" s="3"/>
      <c r="D72" s="3"/>
      <c r="E72" s="3"/>
      <c r="F72" s="555"/>
      <c r="G72" s="556">
        <f>summ!E16</f>
        <v>0.026</v>
      </c>
      <c r="H72" s="455" t="str">
        <f>CONCATENATE("",E1-1," Fund Mill Rate")</f>
        <v>2014 Fund Mill Rate</v>
      </c>
      <c r="I72" s="534"/>
      <c r="J72" s="553"/>
      <c r="K72" s="1"/>
    </row>
    <row r="73" spans="2:11" ht="15.75">
      <c r="B73" s="3"/>
      <c r="C73" s="194"/>
      <c r="D73" s="194"/>
      <c r="E73" s="194"/>
      <c r="F73" s="539"/>
      <c r="G73" s="557">
        <f>summ!H23</f>
        <v>0.536</v>
      </c>
      <c r="H73" s="455" t="str">
        <f>CONCATENATE("Total ",E1," Mill Rate")</f>
        <v>Total 2015 Mill Rate</v>
      </c>
      <c r="I73" s="534"/>
      <c r="J73" s="553"/>
      <c r="K73" s="1"/>
    </row>
    <row r="74" spans="2:11" ht="15.75">
      <c r="B74" s="115"/>
      <c r="C74" s="3" t="s">
        <v>205</v>
      </c>
      <c r="D74" s="3"/>
      <c r="E74" s="3"/>
      <c r="F74" s="539"/>
      <c r="G74" s="556">
        <f>summ!E23</f>
        <v>0.026</v>
      </c>
      <c r="H74" s="558" t="str">
        <f>CONCATENATE("Total ",E1-1," Mill Rate")</f>
        <v>Total 2014 Mill Rate</v>
      </c>
      <c r="I74" s="559"/>
      <c r="J74" s="59"/>
      <c r="K74" s="1"/>
    </row>
    <row r="76" spans="2:9" ht="15.75">
      <c r="B76" s="46"/>
      <c r="G76" s="634" t="s">
        <v>769</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Geneseo Community</v>
      </c>
      <c r="C1" s="3"/>
      <c r="D1" s="3"/>
      <c r="E1" s="208">
        <f>inputPrYr!$D$6</f>
        <v>2015</v>
      </c>
    </row>
    <row r="2" spans="2:5" ht="15.75">
      <c r="B2" s="128" t="str">
        <f>inputPrYr!D4</f>
        <v>Rice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0.014</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0.536</v>
      </c>
      <c r="H65" s="455" t="str">
        <f>CONCATENATE("Total ",E1," Mill Rate")</f>
        <v>Total 2015 Mill Rate</v>
      </c>
      <c r="I65" s="534"/>
      <c r="J65" s="553"/>
      <c r="K65" s="561"/>
    </row>
    <row r="66" spans="6:11" ht="15.75">
      <c r="F66"/>
      <c r="G66" s="556">
        <f>summ!E23</f>
        <v>0.026</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Geneseo Community</v>
      </c>
      <c r="C1" s="3"/>
      <c r="D1" s="3"/>
      <c r="E1" s="154">
        <f>inputPrYr!D6</f>
        <v>2015</v>
      </c>
    </row>
    <row r="2" spans="2:5" ht="15.75">
      <c r="B2" s="3" t="str">
        <f>inputPrYr!D4</f>
        <v>Rice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0.014</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0.536</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0.026</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0.014</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0.536</v>
      </c>
      <c r="H86" s="455" t="str">
        <f>CONCATENATE("Total ",E3," Mill Rate")</f>
        <v>Total  Mill Rate</v>
      </c>
      <c r="I86" s="534"/>
      <c r="J86" s="553"/>
      <c r="K86" s="1"/>
    </row>
    <row r="87" spans="3:11" ht="15.75" customHeight="1">
      <c r="C87" s="76">
        <f>IF(C33&gt;C35,"See Tab A","")</f>
      </c>
      <c r="D87" s="76">
        <f>IF(D33&gt;D35,"See Tab C","")</f>
      </c>
      <c r="F87" s="1"/>
      <c r="G87" s="556">
        <f>summ!E23</f>
        <v>0.026</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Geneseo Community</v>
      </c>
      <c r="C1" s="194"/>
      <c r="D1" s="3"/>
      <c r="E1" s="154">
        <f>inputPrYr!D6</f>
        <v>2015</v>
      </c>
    </row>
    <row r="2" spans="2:5" ht="15.75">
      <c r="B2" s="3" t="str">
        <f>inputPrYr!D4</f>
        <v>Rice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Geneseo Community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7">
      <selection activeCell="E41" sqref="E41"/>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5"/>
    </row>
    <row r="2" spans="1:8" ht="15.75">
      <c r="A2" s="3"/>
      <c r="B2" s="3"/>
      <c r="C2" s="3"/>
      <c r="D2" s="3"/>
      <c r="E2" s="3"/>
      <c r="F2" s="3"/>
      <c r="G2" s="3"/>
      <c r="H2" s="3"/>
    </row>
    <row r="3" spans="1:9" ht="15.75">
      <c r="A3" s="738" t="s">
        <v>110</v>
      </c>
      <c r="B3" s="738"/>
      <c r="C3" s="738"/>
      <c r="D3" s="738"/>
      <c r="E3" s="738"/>
      <c r="F3" s="738"/>
      <c r="G3" s="738"/>
      <c r="H3" s="738"/>
      <c r="I3" s="37">
        <f>inputPrYr!D6</f>
        <v>2015</v>
      </c>
    </row>
    <row r="4" spans="1:8" ht="15.75">
      <c r="A4" s="668" t="str">
        <f>inputPrYr!D3</f>
        <v>Geneseo Community</v>
      </c>
      <c r="B4" s="668"/>
      <c r="C4" s="668"/>
      <c r="D4" s="668"/>
      <c r="E4" s="668"/>
      <c r="F4" s="668"/>
      <c r="G4" s="668"/>
      <c r="H4" s="668"/>
    </row>
    <row r="5" spans="1:8" ht="15.75">
      <c r="A5" s="739" t="str">
        <f>inputPrYr!D4</f>
        <v>Rice County</v>
      </c>
      <c r="B5" s="739"/>
      <c r="C5" s="739"/>
      <c r="D5" s="739"/>
      <c r="E5" s="739"/>
      <c r="F5" s="739"/>
      <c r="G5" s="739"/>
      <c r="H5" s="739"/>
    </row>
    <row r="6" spans="1:8" ht="15.75">
      <c r="A6" s="688" t="str">
        <f>CONCATENATE("will meet on ",inputBudSum!B7," at ",inputBudSum!B9," at ",inputBudSum!B11," for the purpose of hearing and")</f>
        <v>will meet on  at  at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the Rice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7" t="str">
        <f>CONCATENATE("Estimated Value Of One Mill For ",I3,"")</f>
        <v>Estimated Value Of One Mill For 2015</v>
      </c>
      <c r="K12" s="728"/>
      <c r="L12" s="728"/>
      <c r="M12" s="729"/>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6" t="str">
        <f>CONCATENATE("Amount of ",I3-1," Ad Valorem Tax")</f>
        <v>Amount of 2014 Ad Valorem Tax</v>
      </c>
      <c r="H14" s="265" t="s">
        <v>536</v>
      </c>
      <c r="J14" s="467" t="s">
        <v>637</v>
      </c>
      <c r="K14" s="468"/>
      <c r="L14" s="468"/>
      <c r="M14" s="469">
        <f>ROUND(F27/1000,0)</f>
        <v>8995</v>
      </c>
    </row>
    <row r="15" spans="1:13" ht="15.75">
      <c r="A15" s="141" t="s">
        <v>52</v>
      </c>
      <c r="B15" s="95" t="s">
        <v>53</v>
      </c>
      <c r="C15" s="266" t="s">
        <v>177</v>
      </c>
      <c r="D15" s="95" t="s">
        <v>53</v>
      </c>
      <c r="E15" s="266" t="s">
        <v>177</v>
      </c>
      <c r="F15" s="95" t="s">
        <v>531</v>
      </c>
      <c r="G15" s="737"/>
      <c r="H15" s="266" t="s">
        <v>177</v>
      </c>
      <c r="J15" s="1"/>
      <c r="K15" s="1"/>
      <c r="L15" s="1"/>
      <c r="M15" s="1"/>
    </row>
    <row r="16" spans="1:13" ht="15.75">
      <c r="A16" s="21" t="str">
        <f>inputPrYr!B19</f>
        <v>General</v>
      </c>
      <c r="B16" s="104">
        <f>IF(gen!$C$61&lt;&gt;0,gen!$C$61,"  ")</f>
        <v>5534.55</v>
      </c>
      <c r="C16" s="585">
        <f>IF(inputPrYr!D38&gt;0,inputPrYr!D38,"  ")</f>
        <v>0.037</v>
      </c>
      <c r="D16" s="524">
        <f>IF(gen!$D$61&lt;&gt;0,gen!$D$61,"  ")</f>
        <v>5100</v>
      </c>
      <c r="E16" s="588">
        <f>IF(inputOth!D16&gt;0,inputOth!D16,"  ")</f>
        <v>0.026</v>
      </c>
      <c r="F16" s="524">
        <f>IF(gen!$E$61&lt;&gt;0,gen!$E$61,"  ")</f>
        <v>6100</v>
      </c>
      <c r="G16" s="215">
        <f>IF(gen!$E$68&lt;&gt;0,gen!$E$68,"  ")</f>
        <v>4818.55</v>
      </c>
      <c r="H16" s="585">
        <f>IF(gen!E68&gt;0,ROUND(G16/$F$27*1000,3)," ")</f>
        <v>0.536</v>
      </c>
      <c r="J16" s="727" t="str">
        <f>CONCATENATE("Want The Mill Rate The Same As For ",I3-1,"?")</f>
        <v>Want The Mill Rate The Same As For 2014?</v>
      </c>
      <c r="K16" s="730"/>
      <c r="L16" s="730"/>
      <c r="M16" s="731"/>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0.026</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-4584.55</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5534.55</v>
      </c>
      <c r="C23" s="587">
        <f aca="true" t="shared" si="0" ref="C23:H23">SUM(C16:C21)</f>
        <v>0.037</v>
      </c>
      <c r="D23" s="582">
        <f t="shared" si="0"/>
        <v>5100</v>
      </c>
      <c r="E23" s="590">
        <f t="shared" si="0"/>
        <v>0.026</v>
      </c>
      <c r="F23" s="582">
        <f t="shared" si="0"/>
        <v>6100</v>
      </c>
      <c r="G23" s="582">
        <f t="shared" si="0"/>
        <v>4818.55</v>
      </c>
      <c r="H23" s="590">
        <f t="shared" si="0"/>
        <v>0.536</v>
      </c>
      <c r="J23" s="727" t="str">
        <f>CONCATENATE("Impact On Keeping The Same Mill Rate As For ",I3-1,"")</f>
        <v>Impact On Keeping The Same Mill Rate As For 2014</v>
      </c>
      <c r="K23" s="732"/>
      <c r="L23" s="732"/>
      <c r="M23" s="733"/>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5534.55</v>
      </c>
      <c r="C25" s="268"/>
      <c r="D25" s="110">
        <f>SUM(D23-D24)</f>
        <v>5100</v>
      </c>
      <c r="E25" s="268"/>
      <c r="F25" s="451">
        <f>SUM(F23-F24)</f>
        <v>6100</v>
      </c>
      <c r="G25" s="210"/>
      <c r="H25" s="267"/>
      <c r="J25" s="470" t="str">
        <f>CONCATENATE("",I3," Ad Valorem Tax Revenue:")</f>
        <v>2015 Ad Valorem Tax Revenue:</v>
      </c>
      <c r="K25" s="465"/>
      <c r="L25" s="465"/>
      <c r="M25" s="466">
        <f>G23</f>
        <v>4818.55</v>
      </c>
    </row>
    <row r="26" spans="1:13" ht="16.5" thickTop="1">
      <c r="A26" s="18" t="s">
        <v>54</v>
      </c>
      <c r="B26" s="582">
        <f>inputPrYr!E44</f>
        <v>290</v>
      </c>
      <c r="C26" s="187"/>
      <c r="D26" s="582">
        <f>inputPrYr!E24</f>
        <v>228</v>
      </c>
      <c r="E26" s="187"/>
      <c r="F26" s="64" t="s">
        <v>156</v>
      </c>
      <c r="G26" s="3"/>
      <c r="H26" s="3"/>
      <c r="J26" s="470" t="str">
        <f>CONCATENATE("",I3-1," Ad Valorem Tax Revenue:")</f>
        <v>2014 Ad Valorem Tax Revenue:</v>
      </c>
      <c r="K26" s="465"/>
      <c r="L26" s="465"/>
      <c r="M26" s="479">
        <f>ROUND(F27*M18/1000,0)</f>
        <v>234</v>
      </c>
    </row>
    <row r="27" spans="1:13" ht="15.75">
      <c r="A27" s="18" t="s">
        <v>152</v>
      </c>
      <c r="B27" s="27">
        <f>inputPrYr!E45</f>
        <v>5992065</v>
      </c>
      <c r="C27" s="187"/>
      <c r="D27" s="27">
        <f>inputOth!E24</f>
        <v>8909573</v>
      </c>
      <c r="E27" s="187"/>
      <c r="F27" s="27">
        <f>inputOth!E7</f>
        <v>8995257</v>
      </c>
      <c r="G27" s="3"/>
      <c r="H27" s="3"/>
      <c r="J27" s="480" t="s">
        <v>638</v>
      </c>
      <c r="K27" s="481"/>
      <c r="L27" s="481"/>
      <c r="M27" s="469">
        <f>M25-M26</f>
        <v>4584.55</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7" t="s">
        <v>639</v>
      </c>
      <c r="K29" s="730"/>
      <c r="L29" s="730"/>
      <c r="M29" s="731"/>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0.536</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4"/>
      <c r="B40" s="696"/>
      <c r="C40" s="80"/>
      <c r="D40" s="3"/>
      <c r="E40" s="3"/>
      <c r="F40" s="3"/>
      <c r="G40" s="3"/>
      <c r="H40" s="37"/>
    </row>
    <row r="41" spans="1:8" ht="15.75">
      <c r="A41" s="725"/>
      <c r="B41" s="726"/>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Geneseo Community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8995257</v>
      </c>
      <c r="E16" s="3"/>
      <c r="F16" s="37"/>
    </row>
    <row r="17" spans="1:6" ht="15.75">
      <c r="A17" s="3"/>
      <c r="B17" s="3"/>
      <c r="C17" s="3"/>
      <c r="D17" s="3"/>
      <c r="E17" s="3"/>
      <c r="F17" s="37"/>
    </row>
    <row r="18" spans="1:6" ht="15.75">
      <c r="A18" s="3"/>
      <c r="B18" s="743" t="s">
        <v>295</v>
      </c>
      <c r="C18" s="743"/>
      <c r="D18" s="281">
        <f>IF(D16&gt;0,(D16*0.001),"")</f>
        <v>8995.257</v>
      </c>
      <c r="E18" s="3"/>
      <c r="F18" s="37"/>
    </row>
    <row r="19" spans="1:6" ht="15.75">
      <c r="A19" s="3"/>
      <c r="B19" s="115"/>
      <c r="C19" s="115"/>
      <c r="D19" s="282"/>
      <c r="E19" s="3"/>
      <c r="F19" s="37"/>
    </row>
    <row r="20" spans="1:6" ht="15.75">
      <c r="A20" s="740" t="s">
        <v>293</v>
      </c>
      <c r="B20" s="735"/>
      <c r="C20" s="735"/>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C8" sqref="C8"/>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802</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Geneseo Community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5   members voted in favor of the budget and   0   members voted against the budget.")</f>
        <v>In adopting the 2015 budget the governing body voted to increase property taxes in an amount greater than the amount levied for the 2014 budget, adjusted by the 2013 CPI for all urban consumers.    5   members voted in favor of the budget and   0   members voted against the budget.</v>
      </c>
      <c r="D7" s="745"/>
      <c r="E7" s="745"/>
      <c r="F7" s="745"/>
      <c r="G7" s="745"/>
      <c r="H7" s="745"/>
      <c r="I7" s="746"/>
    </row>
  </sheetData>
  <sheetProtection/>
  <mergeCells count="3">
    <mergeCell ref="C7:I7"/>
    <mergeCell ref="C4:I4"/>
    <mergeCell ref="C6:I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795</v>
      </c>
      <c r="E3" s="5"/>
    </row>
    <row r="4" spans="1:5" ht="15.75">
      <c r="A4" s="4" t="s">
        <v>204</v>
      </c>
      <c r="B4" s="3"/>
      <c r="C4" s="3"/>
      <c r="D4" s="602" t="s">
        <v>793</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c r="D19" s="20">
        <v>14500</v>
      </c>
      <c r="E19" s="20">
        <v>228</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228</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14500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0.037</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0.037</v>
      </c>
      <c r="E42" s="22"/>
    </row>
    <row r="43" spans="1:5" ht="16.5" thickTop="1">
      <c r="A43" s="3"/>
      <c r="B43" s="3"/>
      <c r="C43" s="3"/>
      <c r="D43" s="3"/>
      <c r="E43" s="22"/>
    </row>
    <row r="44" spans="1:5" ht="15.75">
      <c r="A44" s="34" t="str">
        <f>CONCATENATE("Total Tax Levied (",D6-2," budget column)")</f>
        <v>Total Tax Levied (2013 budget column)</v>
      </c>
      <c r="B44" s="12"/>
      <c r="C44" s="3"/>
      <c r="D44" s="3"/>
      <c r="E44" s="35">
        <v>290</v>
      </c>
    </row>
    <row r="45" spans="1:5" ht="15.75">
      <c r="A45" s="34" t="str">
        <f>CONCATENATE("Assessed Valuation (",D6-2," budget column)")</f>
        <v>Assessed Valuation (2013 budget column)</v>
      </c>
      <c r="B45" s="12"/>
      <c r="C45" s="3"/>
      <c r="D45" s="3"/>
      <c r="E45" s="36">
        <v>5992065</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0</v>
      </c>
      <c r="E48" s="41">
        <v>0</v>
      </c>
    </row>
    <row r="49" spans="1:5" ht="15.75">
      <c r="A49" s="42" t="s">
        <v>135</v>
      </c>
      <c r="B49" s="42"/>
      <c r="C49" s="43"/>
      <c r="D49" s="41">
        <v>0</v>
      </c>
      <c r="E49" s="41">
        <v>0</v>
      </c>
    </row>
    <row r="50" spans="1:5" ht="15.75">
      <c r="A50" s="42" t="s">
        <v>634</v>
      </c>
      <c r="B50" s="42"/>
      <c r="C50" s="43"/>
      <c r="D50" s="41">
        <v>0</v>
      </c>
      <c r="E50" s="41">
        <v>0</v>
      </c>
    </row>
    <row r="51" spans="1:5" ht="15.75">
      <c r="A51" s="42" t="s">
        <v>136</v>
      </c>
      <c r="B51" s="42"/>
      <c r="C51" s="43"/>
      <c r="D51" s="41">
        <v>0</v>
      </c>
      <c r="E51" s="41">
        <v>0</v>
      </c>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770</v>
      </c>
      <c r="D4" s="754"/>
      <c r="E4" s="754"/>
      <c r="F4" s="754"/>
      <c r="G4" s="754"/>
      <c r="H4" s="755"/>
    </row>
    <row r="5" spans="3:8" ht="16.5" thickBot="1">
      <c r="C5" s="643"/>
      <c r="D5" s="643"/>
      <c r="E5" s="643"/>
      <c r="F5" s="643"/>
      <c r="G5" s="643"/>
      <c r="H5" s="643"/>
    </row>
    <row r="6" spans="3:8" ht="15.75">
      <c r="C6" s="750" t="str">
        <f>CONCATENATE("Notice of Vote - ",inputPrYr!D3)</f>
        <v>Notice of Vote - Geneseo Community</v>
      </c>
      <c r="D6" s="751"/>
      <c r="E6" s="751"/>
      <c r="F6" s="751"/>
      <c r="G6" s="751"/>
      <c r="H6" s="752"/>
    </row>
    <row r="7" spans="3:8" ht="15.75">
      <c r="C7" s="756" t="s">
        <v>771</v>
      </c>
      <c r="D7" s="757"/>
      <c r="E7" s="757"/>
      <c r="F7" s="757"/>
      <c r="G7" s="757"/>
      <c r="H7" s="758"/>
    </row>
    <row r="8" spans="3:8" ht="15.75">
      <c r="C8" s="756" t="s">
        <v>772</v>
      </c>
      <c r="D8" s="757"/>
      <c r="E8" s="757"/>
      <c r="F8" s="757"/>
      <c r="G8" s="757"/>
      <c r="H8" s="758"/>
    </row>
    <row r="9" spans="3:8" ht="15.75">
      <c r="C9" s="646" t="str">
        <f>CONCATENATE(H2-1," Budget")</f>
        <v>2014 Budget</v>
      </c>
      <c r="D9" s="650" t="s">
        <v>93</v>
      </c>
      <c r="E9" s="652">
        <f>inputPrYr!E24</f>
        <v>228</v>
      </c>
      <c r="F9" s="644"/>
      <c r="G9" s="644"/>
      <c r="H9" s="645"/>
    </row>
    <row r="10" spans="3:8" ht="15.75">
      <c r="C10" s="646" t="str">
        <f>CONCATENATE(H2," Budget")</f>
        <v>2015 Budget</v>
      </c>
      <c r="D10" s="650" t="s">
        <v>93</v>
      </c>
      <c r="E10" s="653">
        <f>cert!F30</f>
        <v>4818.55</v>
      </c>
      <c r="F10" s="644"/>
      <c r="G10" s="644"/>
      <c r="H10" s="645"/>
    </row>
    <row r="11" spans="3:8" ht="15.75">
      <c r="C11" s="646"/>
      <c r="D11" s="644"/>
      <c r="E11" s="644" t="s">
        <v>773</v>
      </c>
      <c r="F11" s="654"/>
      <c r="G11" s="649" t="s">
        <v>774</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4.25">
      <c r="A8" s="360"/>
      <c r="B8" s="785" t="s">
        <v>539</v>
      </c>
      <c r="C8" s="785"/>
      <c r="D8" s="785"/>
      <c r="E8" s="785"/>
      <c r="F8" s="785"/>
      <c r="G8" s="785"/>
      <c r="H8" s="785"/>
      <c r="I8" s="785"/>
      <c r="J8" s="785"/>
      <c r="K8" s="785"/>
      <c r="L8" s="360"/>
    </row>
    <row r="9" spans="1:12" ht="14.25">
      <c r="A9" s="360"/>
      <c r="L9" s="360"/>
    </row>
    <row r="10" spans="1:12" ht="14.25">
      <c r="A10" s="360"/>
      <c r="B10" s="785" t="s">
        <v>540</v>
      </c>
      <c r="C10" s="785"/>
      <c r="D10" s="785"/>
      <c r="E10" s="785"/>
      <c r="F10" s="785"/>
      <c r="G10" s="785"/>
      <c r="H10" s="785"/>
      <c r="I10" s="785"/>
      <c r="J10" s="785"/>
      <c r="K10" s="785"/>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1">
        <v>312000000</v>
      </c>
      <c r="G23" s="771"/>
      <c r="L23" s="360"/>
    </row>
    <row r="24" spans="1:12" ht="14.25">
      <c r="A24" s="360"/>
      <c r="L24" s="360"/>
    </row>
    <row r="25" spans="1:12" ht="14.25">
      <c r="A25" s="360"/>
      <c r="C25" s="786">
        <f>F23</f>
        <v>312000000</v>
      </c>
      <c r="D25" s="78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4.25">
      <c r="A31" s="360"/>
      <c r="B31" s="785" t="s">
        <v>550</v>
      </c>
      <c r="C31" s="785"/>
      <c r="D31" s="785"/>
      <c r="E31" s="785"/>
      <c r="F31" s="785"/>
      <c r="G31" s="785"/>
      <c r="H31" s="785"/>
      <c r="I31" s="785"/>
      <c r="J31" s="785"/>
      <c r="K31" s="785"/>
      <c r="L31" s="360"/>
    </row>
    <row r="32" spans="1:12" ht="14.25">
      <c r="A32" s="360"/>
      <c r="L32" s="360"/>
    </row>
    <row r="33" spans="1:12" ht="14.25">
      <c r="A33" s="360"/>
      <c r="B33" s="785" t="s">
        <v>551</v>
      </c>
      <c r="C33" s="785"/>
      <c r="D33" s="785"/>
      <c r="E33" s="785"/>
      <c r="F33" s="785"/>
      <c r="G33" s="785"/>
      <c r="H33" s="785"/>
      <c r="I33" s="785"/>
      <c r="J33" s="785"/>
      <c r="K33" s="785"/>
      <c r="L33" s="360"/>
    </row>
    <row r="34" spans="1:12" ht="14.25">
      <c r="A34" s="360"/>
      <c r="L34" s="360"/>
    </row>
    <row r="35" spans="1:12" ht="89.25" customHeight="1">
      <c r="A35" s="360"/>
      <c r="B35" s="769" t="s">
        <v>552</v>
      </c>
      <c r="C35" s="779"/>
      <c r="D35" s="779"/>
      <c r="E35" s="779"/>
      <c r="F35" s="779"/>
      <c r="G35" s="779"/>
      <c r="H35" s="779"/>
      <c r="I35" s="779"/>
      <c r="J35" s="779"/>
      <c r="K35" s="779"/>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7">
        <v>312000000</v>
      </c>
      <c r="D41" s="78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0">
        <v>312000000</v>
      </c>
      <c r="C48" s="771"/>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1" t="s">
        <v>560</v>
      </c>
      <c r="H50" s="782"/>
      <c r="I50" s="493" t="s">
        <v>546</v>
      </c>
      <c r="J50" s="380">
        <f>B50/F50</f>
        <v>0.16025641025641027</v>
      </c>
      <c r="K50" s="372"/>
      <c r="L50" s="360"/>
    </row>
    <row r="51" spans="1:15" ht="1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4.25">
      <c r="A53" s="360"/>
      <c r="B53" s="785" t="s">
        <v>562</v>
      </c>
      <c r="C53" s="785"/>
      <c r="D53" s="785"/>
      <c r="E53" s="785"/>
      <c r="F53" s="785"/>
      <c r="G53" s="785"/>
      <c r="H53" s="785"/>
      <c r="I53" s="785"/>
      <c r="J53" s="785"/>
      <c r="K53" s="785"/>
      <c r="L53" s="360"/>
    </row>
    <row r="54" spans="1:12" ht="14.25">
      <c r="A54" s="360"/>
      <c r="B54" s="497"/>
      <c r="C54" s="497"/>
      <c r="D54" s="497"/>
      <c r="E54" s="497"/>
      <c r="F54" s="497"/>
      <c r="G54" s="497"/>
      <c r="H54" s="497"/>
      <c r="I54" s="497"/>
      <c r="J54" s="497"/>
      <c r="K54" s="497"/>
      <c r="L54" s="360"/>
    </row>
    <row r="55" spans="1:12" ht="14.2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1">
        <v>312000000</v>
      </c>
      <c r="D74" s="771"/>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1">
        <v>50000</v>
      </c>
      <c r="D77" s="771"/>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1">
        <v>100000</v>
      </c>
      <c r="D80" s="771"/>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4.25">
      <c r="A86" s="360"/>
      <c r="B86" s="768" t="s">
        <v>580</v>
      </c>
      <c r="C86" s="768"/>
      <c r="D86" s="768"/>
      <c r="E86" s="768"/>
      <c r="F86" s="768"/>
      <c r="G86" s="768"/>
      <c r="H86" s="768"/>
      <c r="I86" s="768"/>
      <c r="J86" s="768"/>
      <c r="K86" s="768"/>
      <c r="L86" s="360"/>
    </row>
    <row r="87" spans="1:12" ht="14.25">
      <c r="A87" s="360"/>
      <c r="B87" s="394"/>
      <c r="C87" s="394"/>
      <c r="D87" s="394"/>
      <c r="E87" s="394"/>
      <c r="F87" s="394"/>
      <c r="G87" s="394"/>
      <c r="H87" s="394"/>
      <c r="I87" s="394"/>
      <c r="J87" s="394"/>
      <c r="K87" s="394"/>
      <c r="L87" s="360"/>
    </row>
    <row r="88" spans="1:12" ht="14.25">
      <c r="A88" s="360"/>
      <c r="B88" s="768" t="s">
        <v>581</v>
      </c>
      <c r="C88" s="768"/>
      <c r="D88" s="768"/>
      <c r="E88" s="768"/>
      <c r="F88" s="768"/>
      <c r="G88" s="768"/>
      <c r="H88" s="768"/>
      <c r="I88" s="768"/>
      <c r="J88" s="768"/>
      <c r="K88" s="768"/>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1">
        <v>312000000</v>
      </c>
      <c r="D114" s="771"/>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1">
        <v>2500000</v>
      </c>
      <c r="D120" s="771"/>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4.25">
      <c r="A126" s="360"/>
      <c r="B126" s="768" t="s">
        <v>587</v>
      </c>
      <c r="C126" s="768"/>
      <c r="D126" s="768"/>
      <c r="E126" s="768"/>
      <c r="F126" s="768"/>
      <c r="G126" s="768"/>
      <c r="H126" s="768"/>
      <c r="I126" s="768"/>
      <c r="J126" s="768"/>
      <c r="K126" s="768"/>
      <c r="L126" s="406"/>
    </row>
    <row r="127" spans="1:12" ht="14.25">
      <c r="A127" s="360"/>
      <c r="B127" s="497"/>
      <c r="C127" s="497"/>
      <c r="D127" s="497"/>
      <c r="E127" s="497"/>
      <c r="F127" s="497"/>
      <c r="G127" s="497"/>
      <c r="H127" s="497"/>
      <c r="I127" s="497"/>
      <c r="J127" s="497"/>
      <c r="K127" s="497"/>
      <c r="L127" s="406"/>
    </row>
    <row r="128" spans="1:12" ht="14.25">
      <c r="A128" s="360"/>
      <c r="B128" s="768" t="s">
        <v>588</v>
      </c>
      <c r="C128" s="768"/>
      <c r="D128" s="768"/>
      <c r="E128" s="768"/>
      <c r="F128" s="768"/>
      <c r="G128" s="768"/>
      <c r="H128" s="768"/>
      <c r="I128" s="768"/>
      <c r="J128" s="768"/>
      <c r="K128" s="768"/>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0" t="s">
        <v>590</v>
      </c>
      <c r="D133" s="770"/>
      <c r="E133" s="370"/>
      <c r="F133" s="493" t="s">
        <v>591</v>
      </c>
      <c r="G133" s="370"/>
      <c r="H133" s="770" t="s">
        <v>576</v>
      </c>
      <c r="I133" s="770"/>
      <c r="J133" s="370"/>
      <c r="K133" s="372"/>
      <c r="L133" s="360"/>
    </row>
    <row r="134" spans="1:12" ht="14.25">
      <c r="A134" s="360"/>
      <c r="B134" s="378" t="s">
        <v>569</v>
      </c>
      <c r="C134" s="771">
        <v>100000</v>
      </c>
      <c r="D134" s="771"/>
      <c r="E134" s="493" t="s">
        <v>28</v>
      </c>
      <c r="F134" s="493">
        <v>0.115</v>
      </c>
      <c r="G134" s="493" t="s">
        <v>546</v>
      </c>
      <c r="H134" s="760">
        <f>C134*F134</f>
        <v>11500</v>
      </c>
      <c r="I134" s="76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9" t="s">
        <v>576</v>
      </c>
      <c r="D136" s="759"/>
      <c r="E136" s="388"/>
      <c r="F136" s="489" t="s">
        <v>592</v>
      </c>
      <c r="G136" s="489"/>
      <c r="H136" s="388"/>
      <c r="I136" s="388"/>
      <c r="J136" s="388" t="s">
        <v>593</v>
      </c>
      <c r="K136" s="389"/>
      <c r="L136" s="360"/>
    </row>
    <row r="137" spans="1:12" ht="14.2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0" t="s">
        <v>597</v>
      </c>
      <c r="D147" s="760"/>
      <c r="E147" s="493"/>
      <c r="F147" s="424" t="s">
        <v>598</v>
      </c>
      <c r="G147" s="493"/>
      <c r="H147" s="493"/>
      <c r="I147" s="493"/>
      <c r="J147" s="764" t="s">
        <v>599</v>
      </c>
      <c r="K147" s="765"/>
      <c r="L147" s="360"/>
    </row>
    <row r="148" spans="1:12" ht="14.25">
      <c r="A148" s="360"/>
      <c r="B148" s="378"/>
      <c r="C148" s="766">
        <v>52.869</v>
      </c>
      <c r="D148" s="766"/>
      <c r="E148" s="493" t="s">
        <v>28</v>
      </c>
      <c r="F148" s="494">
        <v>312000000</v>
      </c>
      <c r="G148" s="429" t="s">
        <v>547</v>
      </c>
      <c r="H148" s="493">
        <v>1000</v>
      </c>
      <c r="I148" s="493" t="s">
        <v>546</v>
      </c>
      <c r="J148" s="764">
        <f>C148*(F148/1000)</f>
        <v>16495128</v>
      </c>
      <c r="K148" s="76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776</v>
      </c>
    </row>
    <row r="2" ht="15.75">
      <c r="A2" s="600" t="s">
        <v>775</v>
      </c>
    </row>
    <row r="4" ht="15.75">
      <c r="A4" s="321" t="s">
        <v>777</v>
      </c>
    </row>
    <row r="5" ht="15.75">
      <c r="A5" s="614" t="s">
        <v>755</v>
      </c>
    </row>
    <row r="7" ht="15.75">
      <c r="A7" s="321" t="s">
        <v>779</v>
      </c>
    </row>
    <row r="8" ht="15.75">
      <c r="A8" s="76" t="s">
        <v>754</v>
      </c>
    </row>
    <row r="10" ht="15.75">
      <c r="A10" s="321" t="s">
        <v>780</v>
      </c>
    </row>
    <row r="11" ht="15.75">
      <c r="A11" s="600" t="s">
        <v>752</v>
      </c>
    </row>
    <row r="13" ht="15.75">
      <c r="A13" s="321" t="s">
        <v>778</v>
      </c>
    </row>
    <row r="14" ht="15.75">
      <c r="A14" s="577" t="s">
        <v>751</v>
      </c>
    </row>
    <row r="16" ht="15.75">
      <c r="A16" s="321" t="s">
        <v>781</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782</v>
      </c>
    </row>
    <row r="41" ht="15.75">
      <c r="A41" s="485" t="s">
        <v>666</v>
      </c>
    </row>
    <row r="42" ht="15.75">
      <c r="A42" s="485" t="s">
        <v>667</v>
      </c>
    </row>
    <row r="44" ht="15.75">
      <c r="A44" s="321" t="s">
        <v>783</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784</v>
      </c>
    </row>
    <row r="70" ht="15.75">
      <c r="A70" s="76" t="s">
        <v>530</v>
      </c>
    </row>
    <row r="71" ht="15.75">
      <c r="A71" s="76" t="s">
        <v>528</v>
      </c>
    </row>
    <row r="72" ht="15.75">
      <c r="A72" s="76" t="s">
        <v>529</v>
      </c>
    </row>
    <row r="74" ht="15.75">
      <c r="A74" s="332" t="s">
        <v>785</v>
      </c>
    </row>
    <row r="75" ht="15.75">
      <c r="A75" s="76" t="s">
        <v>527</v>
      </c>
    </row>
    <row r="77" ht="15.75">
      <c r="A77" s="321" t="s">
        <v>786</v>
      </c>
    </row>
    <row r="78" ht="15.75">
      <c r="A78" s="322" t="s">
        <v>307</v>
      </c>
    </row>
    <row r="79" ht="15.75">
      <c r="A79" s="322" t="s">
        <v>308</v>
      </c>
    </row>
    <row r="80" ht="15.75">
      <c r="A80" s="322" t="s">
        <v>309</v>
      </c>
    </row>
    <row r="81" ht="15.75">
      <c r="A81" s="76" t="s">
        <v>310</v>
      </c>
    </row>
    <row r="83" ht="15.75">
      <c r="A83" s="286" t="s">
        <v>787</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C23" sqref="C23"/>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Geneseo Community</v>
      </c>
      <c r="B1" s="45"/>
      <c r="C1" s="45"/>
      <c r="D1" s="45"/>
      <c r="E1" s="45">
        <f>inputPrYr!D6</f>
        <v>2015</v>
      </c>
    </row>
    <row r="2" spans="1:5" ht="15.75">
      <c r="A2" s="45" t="str">
        <f>inputPrYr!D4</f>
        <v>Rice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8995257</v>
      </c>
    </row>
    <row r="8" spans="1:5" ht="15.75">
      <c r="A8" s="51" t="str">
        <f>CONCATENATE("New Improvements for ",inputPrYr!D6-1,"")</f>
        <v>New Improvements for 2014</v>
      </c>
      <c r="B8" s="52"/>
      <c r="C8" s="52"/>
      <c r="D8" s="52"/>
      <c r="E8" s="603">
        <v>19949</v>
      </c>
    </row>
    <row r="9" spans="1:5" ht="15.75">
      <c r="A9" s="51" t="str">
        <f>CONCATENATE("Personal Property excluding oil, gas, and mobile homes- ",inputPrYr!D6-1,"")</f>
        <v>Personal Property excluding oil, gas, and mobile homes- 2014</v>
      </c>
      <c r="B9" s="52"/>
      <c r="C9" s="52"/>
      <c r="D9" s="52"/>
      <c r="E9" s="603">
        <v>105580</v>
      </c>
    </row>
    <row r="10" spans="1:5" ht="15.75">
      <c r="A10" s="51" t="str">
        <f>CONCATENATE("Property that has changed in use for ",inputPrYr!D6-1,"")</f>
        <v>Property that has changed in use for 2014</v>
      </c>
      <c r="B10" s="52"/>
      <c r="C10" s="52"/>
      <c r="D10" s="52"/>
      <c r="E10" s="603">
        <v>16985</v>
      </c>
    </row>
    <row r="11" spans="1:5" ht="15.75">
      <c r="A11" s="50" t="str">
        <f>CONCATENATE("Personal Property excluding oil, gas, and mobile homes- ",inputPrYr!D6-2,"")</f>
        <v>Personal Property excluding oil, gas, and mobile homes- 2013</v>
      </c>
      <c r="B11" s="25"/>
      <c r="C11" s="25"/>
      <c r="D11" s="25"/>
      <c r="E11" s="603">
        <v>138187</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0.026</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0.026</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8909573</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9</v>
      </c>
    </row>
    <row r="28" spans="1:5" ht="15.75">
      <c r="A28" s="51" t="s">
        <v>15</v>
      </c>
      <c r="B28" s="52"/>
      <c r="C28" s="52"/>
      <c r="D28" s="65"/>
      <c r="E28" s="20">
        <v>0</v>
      </c>
    </row>
    <row r="29" spans="1:5" ht="15.75">
      <c r="A29" s="51" t="s">
        <v>153</v>
      </c>
      <c r="B29" s="52"/>
      <c r="C29" s="52"/>
      <c r="D29" s="65"/>
      <c r="E29" s="20">
        <v>1</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0.0103</v>
      </c>
    </row>
    <row r="35" spans="1:5" ht="15.75">
      <c r="A35" s="51" t="s">
        <v>676</v>
      </c>
      <c r="B35" s="67"/>
      <c r="C35" s="53"/>
      <c r="D35" s="53"/>
      <c r="E35" s="501">
        <v>0.014</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5600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c r="C3" s="606"/>
      <c r="J3" s="503" t="s">
        <v>682</v>
      </c>
    </row>
    <row r="4" spans="1:10" ht="15.75">
      <c r="A4" s="311"/>
      <c r="B4" s="311"/>
      <c r="C4" s="311"/>
      <c r="D4" s="312"/>
      <c r="E4" s="311"/>
      <c r="F4" s="311"/>
      <c r="J4" s="503" t="s">
        <v>683</v>
      </c>
    </row>
    <row r="5" spans="1:10" ht="15.75">
      <c r="A5" s="502" t="s">
        <v>679</v>
      </c>
      <c r="B5" s="607"/>
      <c r="C5" s="311"/>
      <c r="D5" s="312"/>
      <c r="E5" s="311"/>
      <c r="F5" s="311"/>
      <c r="J5" s="503" t="s">
        <v>684</v>
      </c>
    </row>
    <row r="6" spans="1:10" ht="15.75">
      <c r="A6" s="311"/>
      <c r="B6" s="311"/>
      <c r="C6" s="311"/>
      <c r="D6" s="312"/>
      <c r="E6" s="311"/>
      <c r="F6" s="311"/>
      <c r="J6" s="503" t="s">
        <v>685</v>
      </c>
    </row>
    <row r="7" spans="1:10" ht="15.75">
      <c r="A7" s="313" t="s">
        <v>297</v>
      </c>
      <c r="B7" s="608"/>
      <c r="C7" s="314"/>
      <c r="D7" s="313" t="s">
        <v>677</v>
      </c>
      <c r="E7" s="311"/>
      <c r="F7" s="311"/>
      <c r="J7" s="503" t="s">
        <v>686</v>
      </c>
    </row>
    <row r="8" spans="1:10" ht="15.75">
      <c r="A8" s="313"/>
      <c r="B8" s="315"/>
      <c r="C8" s="316"/>
      <c r="D8" s="504">
        <f>IF(B7="","",CONCATENATE("Latest date for notice to be published in your newspaper: ",G18," ",G22,", ",G23))</f>
      </c>
      <c r="E8" s="311"/>
      <c r="F8" s="311"/>
      <c r="J8" s="503" t="s">
        <v>687</v>
      </c>
    </row>
    <row r="9" spans="1:10" ht="15.75">
      <c r="A9" s="313" t="s">
        <v>298</v>
      </c>
      <c r="B9" s="608"/>
      <c r="C9" s="317"/>
      <c r="D9" s="313"/>
      <c r="E9" s="311"/>
      <c r="F9" s="311"/>
      <c r="J9" s="503" t="s">
        <v>688</v>
      </c>
    </row>
    <row r="10" spans="1:10" ht="15.75">
      <c r="A10" s="313"/>
      <c r="B10" s="313"/>
      <c r="C10" s="313"/>
      <c r="D10" s="313"/>
      <c r="E10" s="311"/>
      <c r="F10" s="311"/>
      <c r="J10" s="503" t="s">
        <v>689</v>
      </c>
    </row>
    <row r="11" spans="1:10" ht="15.75">
      <c r="A11" s="313" t="s">
        <v>299</v>
      </c>
      <c r="B11" s="609"/>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794</v>
      </c>
      <c r="C14" s="610"/>
      <c r="D14" s="610"/>
      <c r="E14" s="611"/>
      <c r="F14" s="311"/>
    </row>
    <row r="17" spans="1:6" ht="15.75">
      <c r="A17" s="683" t="s">
        <v>301</v>
      </c>
      <c r="B17" s="683"/>
      <c r="C17" s="313"/>
      <c r="D17" s="313"/>
      <c r="E17" s="313"/>
      <c r="F17" s="311"/>
    </row>
    <row r="18" spans="1:7" ht="15.75">
      <c r="A18" s="313"/>
      <c r="B18" s="313"/>
      <c r="C18" s="313"/>
      <c r="D18" s="313"/>
      <c r="E18" s="313"/>
      <c r="F18" s="311"/>
      <c r="G18" s="503">
        <f ca="1">IF(B7="","",INDIRECT(G19))</f>
      </c>
    </row>
    <row r="19" spans="1:7" ht="15.75">
      <c r="A19" s="313" t="s">
        <v>297</v>
      </c>
      <c r="B19" s="315" t="s">
        <v>302</v>
      </c>
      <c r="C19" s="313"/>
      <c r="D19" s="313"/>
      <c r="E19" s="313"/>
      <c r="G19" s="505">
        <f>IF(B7="","",CONCATENATE("J",G21))</f>
      </c>
    </row>
    <row r="20" spans="1:7" ht="15.75">
      <c r="A20" s="313"/>
      <c r="B20" s="313"/>
      <c r="C20" s="313"/>
      <c r="D20" s="313"/>
      <c r="E20" s="313"/>
      <c r="G20" s="506">
        <f>B7-10</f>
        <v>-10</v>
      </c>
    </row>
    <row r="21" spans="1:7" ht="15.75">
      <c r="A21" s="313" t="s">
        <v>298</v>
      </c>
      <c r="B21" s="313" t="s">
        <v>303</v>
      </c>
      <c r="C21" s="313"/>
      <c r="D21" s="313"/>
      <c r="E21" s="313"/>
      <c r="G21" s="507">
        <f>IF(B7="","",MONTH(G20))</f>
      </c>
    </row>
    <row r="22" spans="1:7" ht="15.75">
      <c r="A22" s="313"/>
      <c r="B22" s="313"/>
      <c r="C22" s="313"/>
      <c r="D22" s="313"/>
      <c r="E22" s="313"/>
      <c r="G22" s="508">
        <f>IF(B7="","",DAY(G20))</f>
      </c>
    </row>
    <row r="23" spans="1:7" ht="15.75">
      <c r="A23" s="313" t="s">
        <v>299</v>
      </c>
      <c r="B23" s="313" t="s">
        <v>305</v>
      </c>
      <c r="C23" s="313"/>
      <c r="D23" s="313"/>
      <c r="E23" s="313"/>
      <c r="G23" s="509">
        <f>IF(B7="","",YEAR(G20))</f>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T90" sqref="T90"/>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Rice County, State of Kansas</v>
      </c>
      <c r="B4" s="688"/>
      <c r="C4" s="688"/>
      <c r="D4" s="688"/>
      <c r="E4" s="688"/>
      <c r="F4" s="688"/>
      <c r="G4" s="688"/>
    </row>
    <row r="5" spans="1:7" ht="15.75">
      <c r="A5" s="78" t="s">
        <v>138</v>
      </c>
      <c r="B5" s="9"/>
      <c r="C5" s="9"/>
      <c r="D5" s="9"/>
      <c r="E5" s="9"/>
      <c r="F5" s="9"/>
      <c r="G5" s="9"/>
    </row>
    <row r="6" spans="1:7" ht="15.75">
      <c r="A6" s="668" t="str">
        <f>inputPrYr!D3</f>
        <v>Geneseo Community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6100</v>
      </c>
      <c r="F23" s="522">
        <f>IF(gen!$E$68&lt;&gt;0,gen!$E$68,"  ")</f>
        <v>4818.55</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6100</v>
      </c>
      <c r="F30" s="529">
        <f>SUM(F23:F28)</f>
        <v>4818.55</v>
      </c>
      <c r="G30" s="530">
        <f>IF(SUM(G23:G28)=0,"",SUM(G23:G28))</f>
      </c>
    </row>
    <row r="31" spans="1:7" ht="15.75">
      <c r="A31" s="100" t="s">
        <v>182</v>
      </c>
      <c r="B31" s="52"/>
      <c r="C31" s="97"/>
      <c r="D31" s="112">
        <f>summ!E41</f>
        <v>7</v>
      </c>
      <c r="E31" s="633" t="s">
        <v>769</v>
      </c>
      <c r="F31" s="352" t="str">
        <f>IF(F30&gt;1000,IF(F30&gt;computation!J41,"Yes","No"),"No")</f>
        <v>Yes</v>
      </c>
      <c r="G31" s="353" t="s">
        <v>127</v>
      </c>
    </row>
    <row r="32" spans="1:7" ht="15.75">
      <c r="A32" s="660" t="s">
        <v>197</v>
      </c>
      <c r="B32" s="659"/>
      <c r="C32" s="658"/>
      <c r="D32" s="657">
        <f>IF(Nhood!C35=0,"",Nhood!C35)</f>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6" sqref="X96"/>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Geneseo Community</v>
      </c>
      <c r="D1" s="3"/>
      <c r="E1" s="3"/>
      <c r="F1" s="3"/>
      <c r="G1" s="3"/>
      <c r="H1" s="3"/>
      <c r="I1" s="3"/>
      <c r="J1" s="3">
        <f>inputPrYr!D6</f>
        <v>2015</v>
      </c>
    </row>
    <row r="2" spans="1:10" ht="15.75" customHeight="1">
      <c r="A2" s="3"/>
      <c r="B2" s="3"/>
      <c r="C2" s="3" t="str">
        <f>inputPrYr!D4</f>
        <v>Rice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228</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228</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19949</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105580</v>
      </c>
      <c r="F14" s="123"/>
      <c r="G14" s="22"/>
      <c r="H14" s="22"/>
      <c r="I14" s="617"/>
      <c r="J14" s="22"/>
    </row>
    <row r="15" spans="1:10" ht="15.75">
      <c r="A15" s="122"/>
      <c r="B15" s="3" t="s">
        <v>99</v>
      </c>
      <c r="C15" s="3" t="str">
        <f>CONCATENATE("Personal property ",J1-2,"")</f>
        <v>Personal property 2013</v>
      </c>
      <c r="D15" s="122" t="s">
        <v>95</v>
      </c>
      <c r="E15" s="26">
        <f>inputOth!E11</f>
        <v>138187</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16985</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36934</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8995257</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8958323</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0.004122869871961527</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1</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229</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229</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790</v>
      </c>
      <c r="C38" s="626"/>
      <c r="D38" s="626"/>
      <c r="E38" s="626"/>
      <c r="F38" s="626"/>
      <c r="G38" s="626"/>
      <c r="H38" s="626"/>
      <c r="I38" s="625" t="s">
        <v>93</v>
      </c>
      <c r="J38" s="623">
        <f>J7*J36</f>
        <v>3.42</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791</v>
      </c>
      <c r="C41" s="615"/>
      <c r="D41" s="615"/>
      <c r="E41" s="615"/>
      <c r="F41" s="615"/>
      <c r="G41" s="615"/>
      <c r="H41" s="615"/>
      <c r="I41" s="625" t="s">
        <v>93</v>
      </c>
      <c r="J41" s="628">
        <f>J34+J38</f>
        <v>232.42</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792</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Geneseo Community</v>
      </c>
      <c r="C1" s="3"/>
      <c r="D1" s="3"/>
      <c r="E1" s="3"/>
      <c r="F1" s="3"/>
      <c r="G1" s="3"/>
      <c r="H1" s="3"/>
      <c r="I1" s="127"/>
      <c r="J1" s="3"/>
    </row>
    <row r="2" spans="1:10" ht="15.75">
      <c r="A2" s="3"/>
      <c r="B2" s="3" t="str">
        <f>inputPrYr!D4</f>
        <v>Rice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228</v>
      </c>
      <c r="D11" s="104">
        <f>IF(E17=0,0,E17-D12-D13-D14)</f>
        <v>9</v>
      </c>
      <c r="E11" s="104">
        <f>IF(E19=0,0,E19-E12-E13-E14)</f>
        <v>0</v>
      </c>
      <c r="F11" s="104">
        <f>IF(E21=0,0,E21-F12-F13-F14)</f>
        <v>1</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228</v>
      </c>
      <c r="D15" s="111">
        <f>SUM(D11:D14)</f>
        <v>9</v>
      </c>
      <c r="E15" s="111">
        <f>SUM(E11:E14)</f>
        <v>0</v>
      </c>
      <c r="F15" s="175">
        <f>SUM(F11:F14)</f>
        <v>1</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9</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0</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1</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0.039473684210526314</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0.0043859649122807015</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Geneseo Community</v>
      </c>
      <c r="B2" s="137"/>
      <c r="C2" s="3"/>
      <c r="D2" s="3"/>
      <c r="E2" s="127"/>
      <c r="F2" s="3"/>
    </row>
    <row r="3" spans="1:6" ht="15.75">
      <c r="A3" s="137" t="str">
        <f>inputPrYr!D4</f>
        <v>Rice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2014-07-17T15:47:33Z</cp:lastPrinted>
  <dcterms:created xsi:type="dcterms:W3CDTF">1999-08-06T13:59:57Z</dcterms:created>
  <dcterms:modified xsi:type="dcterms:W3CDTF">2014-07-17T15:52:02Z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