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summ" sheetId="13" r:id="rId13"/>
    <sheet name="levypage8" sheetId="14" r:id="rId14"/>
    <sheet name="nolevypage9" sheetId="15" r:id="rId15"/>
    <sheet name="NonBud" sheetId="16" r:id="rId16"/>
    <sheet name="NonBudFunds"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2">'summ'!$A$1:$I$41</definedName>
  </definedNames>
  <calcPr fullCalcOnLoad="1"/>
</workbook>
</file>

<file path=xl/sharedStrings.xml><?xml version="1.0" encoding="utf-8"?>
<sst xmlns="http://schemas.openxmlformats.org/spreadsheetml/2006/main" count="1184" uniqueCount="807">
  <si>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</si>
  <si>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</si>
  <si>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</si>
  <si>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</si>
  <si>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</si>
  <si>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</si>
  <si>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</si>
  <si>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</si>
  <si>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</si>
  <si>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</si>
  <si>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</si>
  <si>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</si>
  <si>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</si>
  <si>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</si>
  <si>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</si>
  <si>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</si>
  <si>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</si>
  <si>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</si>
  <si>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</si>
  <si>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</si>
  <si>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</si>
  <si>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</si>
  <si>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</si>
  <si>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</si>
  <si>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</si>
  <si>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</si>
  <si>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</si>
  <si>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</si>
  <si>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</si>
  <si>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</si>
  <si>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</si>
  <si>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</si>
  <si>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</si>
  <si>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</si>
  <si>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</si>
  <si>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</si>
  <si>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</si>
  <si>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</si>
  <si>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</si>
  <si>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</si>
  <si>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</si>
  <si>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</si>
  <si>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</si>
  <si>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</si>
  <si>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</si>
  <si>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</si>
  <si>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</si>
  <si>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</si>
  <si>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</si>
  <si>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</si>
  <si>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</si>
  <si>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</si>
  <si>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</si>
  <si>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</si>
  <si>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</si>
  <si>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</si>
  <si>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</si>
  <si>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</si>
  <si>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</si>
  <si>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</si>
  <si>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</si>
  <si>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</si>
  <si>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</si>
  <si>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</si>
  <si>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</si>
  <si>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</si>
  <si>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</si>
  <si>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</si>
  <si>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</si>
  <si>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</si>
  <si>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</si>
  <si>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</si>
  <si>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</si>
  <si>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</si>
  <si>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</si>
  <si>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</si>
  <si>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</si>
  <si>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</si>
  <si>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</si>
  <si>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</si>
  <si>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</si>
  <si>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</si>
  <si>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</si>
  <si>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</si>
  <si>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</si>
  <si>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</si>
  <si>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</si>
  <si>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</si>
  <si>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</si>
  <si>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</si>
  <si>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</si>
  <si>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</si>
  <si>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</si>
  <si>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</si>
  <si>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</si>
  <si>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</si>
  <si>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</si>
  <si>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</si>
  <si>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</si>
  <si>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</si>
  <si>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</si>
  <si>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</si>
  <si>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</si>
  <si>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</si>
  <si>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</si>
  <si>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</si>
  <si>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</si>
  <si>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</si>
  <si>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</si>
  <si>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</si>
  <si>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</si>
  <si>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</si>
  <si>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</si>
  <si>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</si>
  <si>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</si>
  <si>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</si>
  <si>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</si>
  <si>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</si>
  <si>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</si>
  <si>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</si>
  <si>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</si>
  <si>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</si>
  <si>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</si>
  <si>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</si>
  <si>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</si>
  <si>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</si>
  <si>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</si>
  <si>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</si>
  <si>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</si>
  <si>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</si>
  <si>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</si>
  <si>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</si>
  <si>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</si>
  <si>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</si>
  <si>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</si>
  <si>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</si>
  <si>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</si>
  <si>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</si>
  <si>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</si>
  <si>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</si>
  <si>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</si>
  <si>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</si>
  <si>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</si>
  <si>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</si>
  <si>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</si>
  <si>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</si>
  <si>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</si>
  <si>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</si>
  <si>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</si>
  <si>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</si>
  <si>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</si>
  <si>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</si>
  <si>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</si>
  <si>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</si>
  <si>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</si>
  <si>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</si>
  <si>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</si>
  <si>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</si>
  <si>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</si>
  <si>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</si>
  <si>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</si>
  <si>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</si>
  <si>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</si>
  <si>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</si>
  <si>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</si>
  <si>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</si>
  <si>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</si>
  <si>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</si>
  <si>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</si>
  <si>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</si>
  <si>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</si>
  <si>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</si>
  <si>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</si>
  <si>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</si>
  <si>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</si>
  <si>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</si>
  <si>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</si>
  <si>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</si>
  <si>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</si>
  <si>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</si>
  <si>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</si>
  <si>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</si>
  <si>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</si>
  <si>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</si>
  <si>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</si>
  <si>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</si>
  <si>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</si>
  <si>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</si>
  <si>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</si>
  <si>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</si>
  <si>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</si>
  <si>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</si>
  <si>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</si>
  <si>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</si>
  <si>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</si>
  <si>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</si>
  <si>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</si>
  <si>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</si>
  <si>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</si>
  <si>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</si>
  <si>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</si>
  <si>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</si>
  <si>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</si>
  <si>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</si>
  <si>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</si>
  <si>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</si>
  <si>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</si>
  <si>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</si>
  <si>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</si>
  <si>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</si>
  <si>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</si>
  <si>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</si>
  <si>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</si>
  <si>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</si>
  <si>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</si>
  <si>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</si>
  <si>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</si>
  <si>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</si>
  <si>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</si>
  <si>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</si>
  <si>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</si>
  <si>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</si>
  <si>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</si>
  <si>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</si>
  <si>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</si>
  <si>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</si>
  <si>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</si>
  <si>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</si>
  <si>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</si>
  <si>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</si>
  <si>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</si>
  <si>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</si>
  <si>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</si>
  <si>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</si>
  <si>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</si>
  <si>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</si>
  <si>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</si>
  <si>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</si>
  <si>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</si>
  <si>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</si>
  <si>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</si>
  <si>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</si>
  <si>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</si>
  <si>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</si>
  <si>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</si>
  <si>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</si>
  <si>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</si>
  <si>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</si>
  <si>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</si>
  <si>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</si>
  <si>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</si>
  <si>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</si>
  <si>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</si>
  <si>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</si>
  <si>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</si>
  <si>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</si>
  <si>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</si>
  <si>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</si>
  <si>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</si>
  <si>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</si>
  <si>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</si>
  <si>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</si>
  <si>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</si>
  <si>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</si>
  <si>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</si>
  <si>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</si>
  <si>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</si>
  <si>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</si>
  <si>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</si>
  <si>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</si>
  <si>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</si>
  <si>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</si>
  <si>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</si>
  <si>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</si>
  <si>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</si>
  <si>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</si>
  <si>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</si>
  <si>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</si>
  <si>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</si>
  <si>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</si>
  <si>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</si>
  <si>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</si>
  <si>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</si>
  <si>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</si>
  <si>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</si>
  <si>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</si>
  <si>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</si>
  <si>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</si>
  <si>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</si>
  <si>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</si>
  <si>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</si>
  <si>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</si>
  <si>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</si>
  <si>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</si>
  <si>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</si>
  <si>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</si>
  <si>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</si>
  <si>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</si>
  <si>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</si>
  <si>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</si>
  <si>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</si>
  <si>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</si>
  <si>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</si>
  <si>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</si>
  <si>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</si>
  <si>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</si>
  <si>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</si>
  <si>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</si>
  <si>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</si>
  <si>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</si>
  <si>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</si>
  <si>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</si>
  <si>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</si>
  <si>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</si>
  <si>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</si>
  <si>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</si>
  <si>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</si>
  <si>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</si>
  <si>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</si>
  <si>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</si>
  <si>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</si>
  <si>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</si>
  <si>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</si>
  <si>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</si>
  <si>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</si>
  <si>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</si>
  <si>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</si>
  <si>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</si>
  <si>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</si>
  <si>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</si>
  <si>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</si>
  <si>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</si>
  <si>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</si>
  <si>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</si>
  <si>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</si>
  <si>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</si>
  <si>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</si>
  <si>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</si>
  <si>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</si>
  <si>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</si>
  <si>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</si>
  <si>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</si>
  <si>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</si>
  <si>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</si>
  <si>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</si>
  <si>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</si>
  <si>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</si>
  <si>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</si>
  <si>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</si>
  <si>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</si>
  <si>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</si>
  <si>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</si>
  <si>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</si>
  <si>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</si>
  <si>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</si>
  <si>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</si>
  <si>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</si>
  <si>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</si>
  <si>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</si>
  <si>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</si>
  <si>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</si>
  <si>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</si>
  <si>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</si>
  <si>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</si>
  <si>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</si>
  <si>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</si>
  <si>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</si>
  <si>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</si>
  <si>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</si>
  <si>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</si>
  <si>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</si>
  <si>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</si>
  <si>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</si>
  <si>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</si>
  <si>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</si>
  <si>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</si>
  <si>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</si>
  <si>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</si>
  <si>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</si>
  <si>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</si>
  <si>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</si>
  <si>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</si>
  <si>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</si>
  <si>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</si>
  <si>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</si>
  <si>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</si>
  <si>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</si>
  <si>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</si>
  <si>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</si>
  <si>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</si>
  <si>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</si>
  <si>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</si>
  <si>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</si>
  <si>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</si>
  <si>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</si>
  <si>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</si>
  <si>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</si>
  <si>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</si>
  <si>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</si>
  <si>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</si>
  <si>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</si>
  <si>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</si>
  <si>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</si>
  <si>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</si>
  <si>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</si>
  <si>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</si>
  <si>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</si>
  <si>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</si>
  <si>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</si>
  <si>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</si>
  <si>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</si>
  <si>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</si>
  <si>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</si>
  <si>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</si>
  <si>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</si>
  <si>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</si>
  <si>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</si>
  <si>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</si>
  <si>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</si>
  <si>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</si>
  <si>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</si>
  <si>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</si>
  <si>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</si>
  <si>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</si>
  <si>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</si>
  <si>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</si>
  <si>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</si>
  <si>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</si>
  <si>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</si>
  <si>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</si>
  <si>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</si>
  <si>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</si>
  <si>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</si>
  <si>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</si>
  <si>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</si>
  <si>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</si>
  <si>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</si>
  <si>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</si>
  <si>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</si>
  <si>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</si>
  <si>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</si>
  <si>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</si>
  <si>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</si>
  <si>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</si>
  <si>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</si>
  <si>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</si>
  <si>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</si>
  <si>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</si>
  <si>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</si>
  <si>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</si>
  <si>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</si>
  <si>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</si>
  <si>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</si>
  <si>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</si>
  <si>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</si>
  <si>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</si>
  <si>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</si>
  <si>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</si>
  <si>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</si>
  <si>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</si>
  <si>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</si>
  <si>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</si>
  <si>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</si>
  <si>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</si>
  <si>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</si>
  <si>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</si>
  <si>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</si>
  <si>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</si>
  <si>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</si>
  <si>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</si>
  <si>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</si>
  <si>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</si>
  <si>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</si>
  <si>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</si>
  <si>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</si>
  <si>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</si>
  <si>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</si>
  <si>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</si>
  <si>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</si>
  <si>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</si>
  <si>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</si>
  <si>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</si>
  <si>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</si>
  <si>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</si>
  <si>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</si>
  <si>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</si>
  <si>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</si>
  <si>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</si>
  <si>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</si>
  <si>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</si>
  <si>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</si>
  <si>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</si>
  <si>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</si>
  <si>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</si>
  <si>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</si>
  <si>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</si>
  <si>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</si>
  <si>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</si>
  <si>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</si>
  <si>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</si>
  <si>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</si>
  <si>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</si>
  <si>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</si>
  <si>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</si>
  <si>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</si>
  <si>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</si>
  <si>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</si>
  <si>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</si>
  <si>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</si>
  <si>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</si>
  <si>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</si>
  <si>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</si>
  <si>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</si>
  <si>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</si>
  <si>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</si>
  <si>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</si>
  <si>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</si>
  <si>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</si>
  <si>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</si>
  <si>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</si>
  <si>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</si>
  <si>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</si>
  <si>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</si>
  <si>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</si>
  <si>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</si>
  <si>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</si>
  <si>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</si>
  <si>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</si>
  <si>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</si>
  <si>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</si>
  <si>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</si>
  <si>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</si>
  <si>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</si>
  <si>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</si>
  <si>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</si>
  <si>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</si>
  <si>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</si>
  <si>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</si>
  <si>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</si>
  <si>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</si>
  <si>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</si>
  <si>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</si>
  <si>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</si>
  <si>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</si>
  <si>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</si>
  <si>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</si>
  <si>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</si>
  <si>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</si>
  <si>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</si>
  <si>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</si>
  <si>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</si>
  <si>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</si>
  <si>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</si>
  <si>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</si>
  <si>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</si>
  <si>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</si>
  <si>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</si>
  <si>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</si>
  <si>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</si>
  <si>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</si>
  <si>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</si>
  <si>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</si>
  <si>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</si>
  <si>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</si>
  <si>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</si>
  <si>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</si>
  <si>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</si>
  <si>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</si>
  <si>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</si>
  <si>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</si>
  <si>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</si>
  <si>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</si>
  <si>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</si>
  <si>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</si>
  <si>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</si>
  <si>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</si>
  <si>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</si>
  <si>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</si>
  <si>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</si>
  <si>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</si>
  <si>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</si>
  <si>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</si>
  <si>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</si>
  <si>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</si>
  <si>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</si>
  <si>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</si>
  <si>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</si>
  <si>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</si>
  <si>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</si>
  <si>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</si>
  <si>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</si>
  <si>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</si>
  <si>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</si>
  <si>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</si>
  <si>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</si>
  <si>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</si>
  <si>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</si>
  <si>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</si>
  <si>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</si>
  <si>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</si>
  <si>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</si>
  <si>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</si>
  <si>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</si>
  <si>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</si>
  <si>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</si>
  <si>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</si>
  <si>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</si>
  <si>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</si>
  <si>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</si>
  <si>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</si>
  <si>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</si>
  <si>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</si>
  <si>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</si>
  <si>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</si>
  <si>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</si>
  <si>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</si>
  <si>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</si>
  <si>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</si>
  <si>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</si>
  <si>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</si>
  <si>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</si>
  <si>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</si>
  <si>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</si>
  <si>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</si>
  <si>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</si>
  <si>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</si>
  <si>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</si>
  <si>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</si>
  <si>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</si>
  <si>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</si>
  <si>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</si>
  <si>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</si>
  <si>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</si>
  <si>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</si>
  <si>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</si>
  <si>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</si>
  <si>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</si>
  <si>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</si>
  <si>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</si>
  <si>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</si>
  <si>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</si>
  <si>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</si>
  <si>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</si>
  <si>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</si>
  <si>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</si>
  <si>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</si>
  <si>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</si>
  <si>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</si>
  <si>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</si>
  <si>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</si>
  <si>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</si>
  <si>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</si>
  <si>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</si>
  <si>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</si>
  <si>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</si>
  <si>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</si>
  <si>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</si>
  <si>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</si>
  <si>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</si>
  <si>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</si>
  <si>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</si>
  <si>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</si>
  <si>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</si>
  <si>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</si>
  <si>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</si>
  <si>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</si>
  <si>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</si>
  <si>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</si>
  <si>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</si>
  <si>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</si>
  <si>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</si>
  <si>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</si>
  <si>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</si>
  <si>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</si>
  <si>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</si>
  <si>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</si>
  <si>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</si>
  <si>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</si>
  <si>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</si>
  <si>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</si>
  <si>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</si>
  <si>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</si>
  <si>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</si>
  <si>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</si>
  <si>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</si>
  <si>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</si>
  <si>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</si>
  <si>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</si>
  <si>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</si>
  <si>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</si>
  <si>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</si>
  <si>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</si>
  <si>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</si>
  <si>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</si>
  <si>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</si>
  <si>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</si>
  <si>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</si>
  <si>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</si>
  <si>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</si>
  <si>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</si>
  <si>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</si>
  <si>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</si>
  <si>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</si>
  <si>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</si>
  <si>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</si>
  <si>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</si>
  <si>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</si>
  <si>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</si>
  <si>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</si>
  <si>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</si>
  <si>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</si>
  <si>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</si>
  <si>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</si>
  <si>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</si>
  <si>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</si>
  <si>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</si>
  <si>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</si>
  <si>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</si>
  <si>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</si>
  <si>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</si>
  <si>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</si>
  <si>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</si>
  <si>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</si>
  <si>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</si>
  <si>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</si>
  <si>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</si>
  <si>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</si>
  <si>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</si>
  <si>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</si>
  <si>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</si>
  <si>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</si>
  <si>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</si>
  <si>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</si>
  <si>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</si>
  <si>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</si>
  <si>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</si>
  <si>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</si>
  <si>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</si>
  <si>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</si>
  <si>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</si>
  <si>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</si>
  <si>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</si>
  <si>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</si>
  <si>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</si>
  <si>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</si>
  <si>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</si>
  <si>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</si>
  <si>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</si>
  <si>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</si>
  <si>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</si>
  <si>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</si>
  <si>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</si>
  <si>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</si>
  <si>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</si>
  <si>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</si>
  <si>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</si>
  <si>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</si>
  <si>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</si>
  <si>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</si>
  <si>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</si>
  <si>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</si>
  <si>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</si>
  <si>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</si>
  <si>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</si>
  <si>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</si>
  <si>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</si>
  <si>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</si>
  <si>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</si>
  <si>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</si>
  <si>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</si>
  <si>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</si>
  <si>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</si>
  <si>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</si>
  <si>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</si>
  <si>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</si>
  <si>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</si>
  <si>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</si>
  <si>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</si>
  <si>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</si>
  <si>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</si>
  <si>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</si>
  <si>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</si>
  <si>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</si>
  <si>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</si>
  <si>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</si>
  <si>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</si>
  <si>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</si>
  <si>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</si>
  <si>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</si>
  <si>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</si>
  <si>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</si>
  <si>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</si>
  <si>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</si>
  <si>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</si>
  <si>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Crestview Country Club Imp District</t>
  </si>
  <si>
    <t>Sedgwick County</t>
  </si>
  <si>
    <t>Public Safety</t>
  </si>
  <si>
    <t>Insurance</t>
  </si>
  <si>
    <t>Office</t>
  </si>
  <si>
    <t>Legal Engineering</t>
  </si>
  <si>
    <t>Watercraft Tax</t>
  </si>
  <si>
    <t>Gary Schmitt</t>
  </si>
  <si>
    <t>Treasurer</t>
  </si>
  <si>
    <t>September 22, 2014</t>
  </si>
  <si>
    <t>5:30 PM</t>
  </si>
  <si>
    <t>9800 N 143rd Street East, Wichita KS</t>
  </si>
  <si>
    <t>Sedgwick County Clerk, 525 N Main, Room 211, Wichita, KS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</si>
</sst>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34" sqref="F34"/>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Crestview Country Club Imp District</v>
      </c>
      <c r="C1" s="3"/>
      <c r="D1" s="3"/>
      <c r="E1" s="3"/>
      <c r="F1" s="3"/>
      <c r="G1" s="3"/>
      <c r="H1" s="3"/>
      <c r="I1" s="3"/>
      <c r="J1" s="3"/>
      <c r="K1" s="3"/>
      <c r="L1" s="154">
        <f>inputPrYr!D6</f>
        <v>2015</v>
      </c>
    </row>
    <row r="2" spans="2:12" ht="15.75">
      <c r="B2" s="3" t="str">
        <f>inputPrYr!$D$4</f>
        <v>Sedgwick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F34" sqref="F34"/>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Crestview Country Club Imp District</v>
      </c>
      <c r="C1" s="194"/>
      <c r="D1" s="3"/>
      <c r="E1" s="154">
        <f>inputPrYr!$D$6</f>
        <v>2015</v>
      </c>
    </row>
    <row r="2" spans="2:5" ht="15.75">
      <c r="B2" s="3" t="str">
        <f>inputPrYr!D4</f>
        <v>Sedgwick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26349</v>
      </c>
      <c r="D7" s="342">
        <f>C62</f>
        <v>33249.34</v>
      </c>
      <c r="E7" s="30">
        <f>D62</f>
        <v>27676.339999999997</v>
      </c>
    </row>
    <row r="8" spans="2:5" ht="15.75">
      <c r="B8" s="198" t="s">
        <v>118</v>
      </c>
      <c r="C8" s="199"/>
      <c r="D8" s="199"/>
      <c r="E8" s="104"/>
    </row>
    <row r="9" spans="2:5" ht="15.75">
      <c r="B9" s="100" t="s">
        <v>33</v>
      </c>
      <c r="C9" s="335">
        <f>590.72+102122.33+1403.29</f>
        <v>104116.34</v>
      </c>
      <c r="D9" s="342">
        <f>IF(inputPrYr!H18&gt;0,inputPrYr!G19,inputPrYr!E19)</f>
        <v>105656</v>
      </c>
      <c r="E9" s="109" t="s">
        <v>28</v>
      </c>
    </row>
    <row r="10" spans="2:5" ht="15.75">
      <c r="B10" s="100" t="s">
        <v>34</v>
      </c>
      <c r="C10" s="335">
        <v>987</v>
      </c>
      <c r="D10" s="335"/>
      <c r="E10" s="170"/>
    </row>
    <row r="11" spans="2:5" ht="15.75">
      <c r="B11" s="100" t="s">
        <v>35</v>
      </c>
      <c r="C11" s="335">
        <v>13821</v>
      </c>
      <c r="D11" s="335">
        <v>13872</v>
      </c>
      <c r="E11" s="30">
        <f>mvalloc!D11</f>
        <v>14678</v>
      </c>
    </row>
    <row r="12" spans="2:5" ht="15.75">
      <c r="B12" s="100" t="s">
        <v>36</v>
      </c>
      <c r="C12" s="335">
        <v>51</v>
      </c>
      <c r="D12" s="335">
        <v>19</v>
      </c>
      <c r="E12" s="30">
        <f>mvalloc!E11</f>
        <v>59</v>
      </c>
    </row>
    <row r="13" spans="2:5" ht="15.75">
      <c r="B13" s="199" t="s">
        <v>109</v>
      </c>
      <c r="C13" s="335"/>
      <c r="D13" s="335"/>
      <c r="E13" s="30">
        <f>mvalloc!F11</f>
        <v>0</v>
      </c>
    </row>
    <row r="14" spans="2:5" ht="15.75">
      <c r="B14" s="199" t="s">
        <v>141</v>
      </c>
      <c r="C14" s="335"/>
      <c r="D14" s="335"/>
      <c r="E14" s="30">
        <f>inputOth!E30</f>
        <v>0</v>
      </c>
    </row>
    <row r="15" spans="2:5" ht="15.75">
      <c r="B15" s="200" t="s">
        <v>37</v>
      </c>
      <c r="C15" s="335"/>
      <c r="D15" s="335"/>
      <c r="E15" s="170"/>
    </row>
    <row r="16" spans="2:5" ht="15.75">
      <c r="B16" s="200" t="s">
        <v>800</v>
      </c>
      <c r="C16" s="335"/>
      <c r="D16" s="335"/>
      <c r="E16" s="170">
        <v>99</v>
      </c>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v>204</v>
      </c>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119179.34</v>
      </c>
      <c r="D33" s="337">
        <f>SUM(D9:D31)</f>
        <v>119547</v>
      </c>
      <c r="E33" s="206">
        <f>SUM(E9:E31)</f>
        <v>14836</v>
      </c>
    </row>
    <row r="34" spans="2:5" ht="15.75">
      <c r="B34" s="205" t="s">
        <v>40</v>
      </c>
      <c r="C34" s="337">
        <f>C7+C33</f>
        <v>145528.34</v>
      </c>
      <c r="D34" s="337">
        <f>D7+D33</f>
        <v>152796.34</v>
      </c>
      <c r="E34" s="206">
        <f>E7+E33</f>
        <v>42512.34</v>
      </c>
    </row>
    <row r="35" spans="2:5" ht="15.75">
      <c r="B35" s="100" t="s">
        <v>41</v>
      </c>
      <c r="C35" s="102"/>
      <c r="D35" s="102"/>
      <c r="E35" s="21"/>
    </row>
    <row r="36" spans="2:5" ht="15.75">
      <c r="B36" s="200"/>
      <c r="C36" s="335"/>
      <c r="D36" s="335"/>
      <c r="E36" s="170"/>
    </row>
    <row r="37" spans="2:5" ht="15.75">
      <c r="B37" s="200" t="s">
        <v>796</v>
      </c>
      <c r="C37" s="335">
        <f>99213+10883</f>
        <v>110096</v>
      </c>
      <c r="D37" s="335">
        <f>123000</f>
        <v>123000</v>
      </c>
      <c r="E37" s="170">
        <v>145000</v>
      </c>
    </row>
    <row r="38" spans="2:5" ht="15.75">
      <c r="B38" s="200" t="s">
        <v>797</v>
      </c>
      <c r="C38" s="335">
        <v>919</v>
      </c>
      <c r="D38" s="335">
        <v>1000</v>
      </c>
      <c r="E38" s="170">
        <v>1000</v>
      </c>
    </row>
    <row r="39" spans="2:5" ht="15.75">
      <c r="B39" s="200" t="s">
        <v>798</v>
      </c>
      <c r="C39" s="335">
        <v>1264</v>
      </c>
      <c r="D39" s="335">
        <v>1120</v>
      </c>
      <c r="E39" s="170">
        <v>3788</v>
      </c>
    </row>
    <row r="40" spans="2:5" ht="15.75">
      <c r="B40" s="200" t="s">
        <v>799</v>
      </c>
      <c r="C40" s="335"/>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112279</v>
      </c>
      <c r="D61" s="337">
        <f>SUM(D36:D59)</f>
        <v>125120</v>
      </c>
      <c r="E61" s="206">
        <f>SUM(E36:E59)</f>
        <v>149788</v>
      </c>
      <c r="F61" s="1"/>
      <c r="G61" s="456">
        <f>D62</f>
        <v>27676.339999999997</v>
      </c>
      <c r="H61" s="455" t="str">
        <f>CONCATENATE("",E1-1," Ending Cash Balance (est.)")</f>
        <v>2014 Ending Cash Balance (est.)</v>
      </c>
      <c r="I61" s="548"/>
      <c r="J61" s="450"/>
      <c r="K61" s="1"/>
    </row>
    <row r="62" spans="2:11" ht="15.75">
      <c r="B62" s="100" t="s">
        <v>117</v>
      </c>
      <c r="C62" s="338">
        <f>C34-C61</f>
        <v>33249.34</v>
      </c>
      <c r="D62" s="338">
        <f>D34-D61</f>
        <v>27676.339999999997</v>
      </c>
      <c r="E62" s="109" t="s">
        <v>28</v>
      </c>
      <c r="F62" s="1"/>
      <c r="G62" s="456">
        <f>E33</f>
        <v>14836</v>
      </c>
      <c r="H62" s="449" t="str">
        <f>CONCATENATE("",E1," Non-AV Receipts (est.)")</f>
        <v>2015 Non-AV Receipts (est.)</v>
      </c>
      <c r="I62" s="548"/>
      <c r="J62" s="450"/>
      <c r="K62" s="1"/>
    </row>
    <row r="63" spans="2:11" ht="15.75">
      <c r="B63" s="2" t="str">
        <f>CONCATENATE("",E1-2,"/",E1-1,"/",E1," Budget Authority Amount:")</f>
        <v>2013/2014/2015 Budget Authority Amount:</v>
      </c>
      <c r="C63" s="215">
        <f>inputOth!B41</f>
        <v>124607</v>
      </c>
      <c r="D63" s="524">
        <f>inputPrYr!D19</f>
        <v>142813</v>
      </c>
      <c r="E63" s="30">
        <f>E61</f>
        <v>149788</v>
      </c>
      <c r="F63" s="223"/>
      <c r="G63" s="448">
        <f>IF(E67&gt;0,E66,E68)</f>
        <v>107275.66</v>
      </c>
      <c r="H63" s="449" t="str">
        <f>CONCATENATE("",E1," Ad Valorem Tax (est.)")</f>
        <v>2015 Ad Valorem Tax (est.)</v>
      </c>
      <c r="I63" s="449"/>
      <c r="J63" s="450"/>
      <c r="K63" s="549">
        <f>IF(G63=E68,"","Note: Does not include Delinquent Taxes")</f>
      </c>
    </row>
    <row r="64" spans="2:11" ht="15.75">
      <c r="B64" s="115"/>
      <c r="C64" s="713" t="s">
        <v>629</v>
      </c>
      <c r="D64" s="714"/>
      <c r="E64" s="20"/>
      <c r="F64" s="550">
        <f>IF(E61/0.95-E61&lt;E64,"Exceeds 5%","")</f>
      </c>
      <c r="G64" s="456">
        <f>SUM(G61:G63)</f>
        <v>149788</v>
      </c>
      <c r="H64" s="449" t="str">
        <f>CONCATENATE("Total ",E1," Resources Available")</f>
        <v>Total 2015 Resources Available</v>
      </c>
      <c r="I64" s="548"/>
      <c r="J64" s="450"/>
      <c r="K64" s="1"/>
    </row>
    <row r="65" spans="2:11" ht="15.75">
      <c r="B65" s="354" t="str">
        <f>CONCATENATE(C81,"     ",D81)</f>
        <v>     </v>
      </c>
      <c r="C65" s="715" t="s">
        <v>630</v>
      </c>
      <c r="D65" s="716"/>
      <c r="E65" s="30">
        <f>E61+E64</f>
        <v>149788</v>
      </c>
      <c r="F65" s="1"/>
      <c r="G65" s="447"/>
      <c r="H65" s="449"/>
      <c r="I65" s="449"/>
      <c r="J65" s="450"/>
      <c r="K65" s="1"/>
    </row>
    <row r="66" spans="2:11" ht="15.75">
      <c r="B66" s="354" t="str">
        <f>CONCATENATE(C82,"     ",D82)</f>
        <v>     </v>
      </c>
      <c r="C66" s="460"/>
      <c r="D66" s="459" t="s">
        <v>631</v>
      </c>
      <c r="E66" s="27">
        <f>IF(E65-E34&gt;0,E65-E34,0)</f>
        <v>107275.66</v>
      </c>
      <c r="F66" s="1"/>
      <c r="G66" s="448">
        <f>ROUND(C61*0.05+C61,0)</f>
        <v>117893</v>
      </c>
      <c r="H66" s="449" t="str">
        <f>CONCATENATE("Less ",E1-2," Expenditures + 5%")</f>
        <v>Less 2013 Expenditures + 5%</v>
      </c>
      <c r="I66" s="548"/>
      <c r="J66" s="450"/>
      <c r="K66" s="1"/>
    </row>
    <row r="67" spans="2:11" ht="15.75">
      <c r="B67" s="127"/>
      <c r="C67" s="458" t="s">
        <v>632</v>
      </c>
      <c r="D67" s="560">
        <f>inputOth!$E$35</f>
        <v>0</v>
      </c>
      <c r="E67" s="30">
        <f>ROUND(IF(D67&gt;0,(E66*D67),0),0)</f>
        <v>0</v>
      </c>
      <c r="F67" s="1"/>
      <c r="G67" s="446">
        <f>G64-G66</f>
        <v>31895</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107275.66</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3.687</v>
      </c>
      <c r="H71" s="455" t="str">
        <f>CONCATENATE("",E1," Fund Mill Rate")</f>
        <v>2015 Fund Mill Rate</v>
      </c>
      <c r="I71" s="534"/>
      <c r="J71" s="553"/>
      <c r="K71" s="1"/>
    </row>
    <row r="72" spans="2:11" ht="15.75">
      <c r="B72" s="3"/>
      <c r="C72" s="3"/>
      <c r="D72" s="3"/>
      <c r="E72" s="3"/>
      <c r="F72" s="555"/>
      <c r="G72" s="556">
        <f>summ!E16</f>
        <v>3.644</v>
      </c>
      <c r="H72" s="455" t="str">
        <f>CONCATENATE("",E1-1," Fund Mill Rate")</f>
        <v>2014 Fund Mill Rate</v>
      </c>
      <c r="I72" s="534"/>
      <c r="J72" s="553"/>
      <c r="K72" s="1"/>
    </row>
    <row r="73" spans="2:11" ht="15.75">
      <c r="B73" s="3"/>
      <c r="C73" s="194"/>
      <c r="D73" s="194"/>
      <c r="E73" s="194"/>
      <c r="F73" s="539"/>
      <c r="G73" s="557">
        <f>summ!H23</f>
        <v>3.687</v>
      </c>
      <c r="H73" s="455" t="str">
        <f>CONCATENATE("Total ",E1," Mill Rate")</f>
        <v>Total 2015 Mill Rate</v>
      </c>
      <c r="I73" s="534"/>
      <c r="J73" s="553"/>
      <c r="K73" s="1"/>
    </row>
    <row r="74" spans="2:11" ht="15.75">
      <c r="B74" s="115"/>
      <c r="C74" s="3" t="s">
        <v>205</v>
      </c>
      <c r="D74" s="3"/>
      <c r="E74" s="3"/>
      <c r="F74" s="539"/>
      <c r="G74" s="556">
        <f>summ!E23</f>
        <v>3.644</v>
      </c>
      <c r="H74" s="558" t="str">
        <f>CONCATENATE("Total ",E1-1," Mill Rate")</f>
        <v>Total 2014 Mill Rate</v>
      </c>
      <c r="I74" s="559"/>
      <c r="J74" s="59"/>
      <c r="K74" s="1"/>
    </row>
    <row r="76" spans="2:9" ht="15.75">
      <c r="B76" s="46"/>
      <c r="G76" s="634" t="s">
        <v>769</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Crestview Country Club Imp District</v>
      </c>
      <c r="C1" s="3"/>
      <c r="D1" s="3"/>
      <c r="E1" s="208">
        <f>inputPrYr!$D$6</f>
        <v>2015</v>
      </c>
    </row>
    <row r="2" spans="2:5" ht="15.75">
      <c r="B2" s="128" t="str">
        <f>inputPrYr!D4</f>
        <v>Sedgwick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5" t="s">
        <v>630</v>
      </c>
      <c r="D57" s="716"/>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0</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3.687</v>
      </c>
      <c r="H65" s="455" t="str">
        <f>CONCATENATE("Total ",E1," Mill Rate")</f>
        <v>Total 2015 Mill Rate</v>
      </c>
      <c r="I65" s="534"/>
      <c r="J65" s="553"/>
      <c r="K65" s="561"/>
    </row>
    <row r="66" spans="6:11" ht="15.75">
      <c r="F66"/>
      <c r="G66" s="556">
        <f>summ!E23</f>
        <v>3.644</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9">
      <selection activeCell="F34" sqref="F34"/>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33"/>
    </row>
    <row r="2" spans="1:8" ht="15.75">
      <c r="A2" s="3"/>
      <c r="B2" s="3"/>
      <c r="C2" s="3"/>
      <c r="D2" s="3"/>
      <c r="E2" s="3"/>
      <c r="F2" s="3"/>
      <c r="G2" s="3"/>
      <c r="H2" s="3"/>
    </row>
    <row r="3" spans="1:9" ht="15.75">
      <c r="A3" s="736" t="s">
        <v>110</v>
      </c>
      <c r="B3" s="736"/>
      <c r="C3" s="736"/>
      <c r="D3" s="736"/>
      <c r="E3" s="736"/>
      <c r="F3" s="736"/>
      <c r="G3" s="736"/>
      <c r="H3" s="736"/>
      <c r="I3" s="37">
        <f>inputPrYr!D6</f>
        <v>2015</v>
      </c>
    </row>
    <row r="4" spans="1:8" ht="15.75">
      <c r="A4" s="668" t="str">
        <f>inputPrYr!D3</f>
        <v>Crestview Country Club Imp District</v>
      </c>
      <c r="B4" s="668"/>
      <c r="C4" s="668"/>
      <c r="D4" s="668"/>
      <c r="E4" s="668"/>
      <c r="F4" s="668"/>
      <c r="G4" s="668"/>
      <c r="H4" s="668"/>
    </row>
    <row r="5" spans="1:8" ht="15.75">
      <c r="A5" s="737" t="str">
        <f>inputPrYr!D4</f>
        <v>Sedgwick County</v>
      </c>
      <c r="B5" s="737"/>
      <c r="C5" s="737"/>
      <c r="D5" s="737"/>
      <c r="E5" s="737"/>
      <c r="F5" s="737"/>
      <c r="G5" s="737"/>
      <c r="H5" s="737"/>
    </row>
    <row r="6" spans="1:8" ht="15.75">
      <c r="A6" s="688" t="str">
        <f>CONCATENATE("will meet on ",inputBudSum!B7," at ",inputBudSum!B9," at ",inputBudSum!B11," for the purpose of hearing and")</f>
        <v>will meet on September 22, 2014 at 5:30 PM at 9800 N 143rd Street East, Wichita KS for the purpose of hearing and</v>
      </c>
      <c r="B6" s="688"/>
      <c r="C6" s="688"/>
      <c r="D6" s="688"/>
      <c r="E6" s="688"/>
      <c r="F6" s="688"/>
      <c r="G6" s="688"/>
      <c r="H6" s="688"/>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Sedgwick County Clerk, 525 N Main, Room 211, Wichita, KS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5" t="str">
        <f>CONCATENATE("Estimated Value Of One Mill For ",I3,"")</f>
        <v>Estimated Value Of One Mill For 2015</v>
      </c>
      <c r="K12" s="726"/>
      <c r="L12" s="726"/>
      <c r="M12" s="727"/>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4" t="str">
        <f>CONCATENATE("Amount of ",I3-1," Ad Valorem Tax")</f>
        <v>Amount of 2014 Ad Valorem Tax</v>
      </c>
      <c r="H14" s="265" t="s">
        <v>536</v>
      </c>
      <c r="J14" s="467" t="s">
        <v>637</v>
      </c>
      <c r="K14" s="468"/>
      <c r="L14" s="468"/>
      <c r="M14" s="469">
        <f>ROUND(F27/1000,0)</f>
        <v>29098</v>
      </c>
    </row>
    <row r="15" spans="1:13" ht="15.75">
      <c r="A15" s="141" t="s">
        <v>52</v>
      </c>
      <c r="B15" s="95" t="s">
        <v>53</v>
      </c>
      <c r="C15" s="266" t="s">
        <v>177</v>
      </c>
      <c r="D15" s="95" t="s">
        <v>53</v>
      </c>
      <c r="E15" s="266" t="s">
        <v>177</v>
      </c>
      <c r="F15" s="95" t="s">
        <v>531</v>
      </c>
      <c r="G15" s="735"/>
      <c r="H15" s="266" t="s">
        <v>177</v>
      </c>
      <c r="J15" s="1"/>
      <c r="K15" s="1"/>
      <c r="L15" s="1"/>
      <c r="M15" s="1"/>
    </row>
    <row r="16" spans="1:13" ht="15.75">
      <c r="A16" s="21" t="str">
        <f>inputPrYr!B19</f>
        <v>General</v>
      </c>
      <c r="B16" s="104">
        <f>IF(gen!$C$61&lt;&gt;0,gen!$C$61,"  ")</f>
        <v>112279</v>
      </c>
      <c r="C16" s="585">
        <f>IF(inputPrYr!D38&gt;0,inputPrYr!D38,"  ")</f>
        <v>3.615</v>
      </c>
      <c r="D16" s="524">
        <f>IF(gen!$D$61&lt;&gt;0,gen!$D$61,"  ")</f>
        <v>125120</v>
      </c>
      <c r="E16" s="588">
        <f>IF(inputOth!D16&gt;0,inputOth!D16,"  ")</f>
        <v>3.644</v>
      </c>
      <c r="F16" s="524">
        <f>IF(gen!$E$61&lt;&gt;0,gen!$E$61,"  ")</f>
        <v>149788</v>
      </c>
      <c r="G16" s="215">
        <f>IF(gen!$E$68&lt;&gt;0,gen!$E$68,"  ")</f>
        <v>107275.66</v>
      </c>
      <c r="H16" s="585">
        <f>IF(gen!E68&gt;0,ROUND(G16/$F$27*1000,3)," ")</f>
        <v>3.687</v>
      </c>
      <c r="J16" s="725" t="str">
        <f>CONCATENATE("Want The Mill Rate The Same As For ",I3-1,"?")</f>
        <v>Want The Mill Rate The Same As For 2014?</v>
      </c>
      <c r="K16" s="728"/>
      <c r="L16" s="728"/>
      <c r="M16" s="729"/>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3.644</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-1243.6600000000035</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112279</v>
      </c>
      <c r="C23" s="587">
        <f aca="true" t="shared" si="0" ref="C23:H23">SUM(C16:C21)</f>
        <v>3.615</v>
      </c>
      <c r="D23" s="582">
        <f t="shared" si="0"/>
        <v>125120</v>
      </c>
      <c r="E23" s="590">
        <f t="shared" si="0"/>
        <v>3.644</v>
      </c>
      <c r="F23" s="582">
        <f t="shared" si="0"/>
        <v>149788</v>
      </c>
      <c r="G23" s="582">
        <f t="shared" si="0"/>
        <v>107275.66</v>
      </c>
      <c r="H23" s="590">
        <f t="shared" si="0"/>
        <v>3.687</v>
      </c>
      <c r="J23" s="725" t="str">
        <f>CONCATENATE("Impact On Keeping The Same Mill Rate As For ",I3-1,"")</f>
        <v>Impact On Keeping The Same Mill Rate As For 2014</v>
      </c>
      <c r="K23" s="730"/>
      <c r="L23" s="730"/>
      <c r="M23" s="731"/>
    </row>
    <row r="24" spans="1:13" ht="15.75">
      <c r="A24" s="18" t="s">
        <v>150</v>
      </c>
      <c r="B24" s="27">
        <f>transfers!C26</f>
        <v>0</v>
      </c>
      <c r="C24" s="107"/>
      <c r="D24" s="27">
        <f>transfers!D26</f>
        <v>0</v>
      </c>
      <c r="E24" s="107"/>
      <c r="F24" s="583">
        <f>transfers!E26</f>
        <v>0</v>
      </c>
      <c r="G24" s="210"/>
      <c r="H24" s="267"/>
      <c r="J24" s="470"/>
      <c r="K24" s="465"/>
      <c r="L24" s="465"/>
      <c r="M24" s="471"/>
    </row>
    <row r="25" spans="1:13" ht="16.5" thickBot="1">
      <c r="A25" s="18" t="s">
        <v>151</v>
      </c>
      <c r="B25" s="110">
        <f>SUM(B23-B24)</f>
        <v>112279</v>
      </c>
      <c r="C25" s="268"/>
      <c r="D25" s="110">
        <f>SUM(D23-D24)</f>
        <v>125120</v>
      </c>
      <c r="E25" s="268"/>
      <c r="F25" s="451">
        <f>SUM(F23-F24)</f>
        <v>149788</v>
      </c>
      <c r="G25" s="210"/>
      <c r="H25" s="267"/>
      <c r="J25" s="470" t="str">
        <f>CONCATENATE("",I3," Ad Valorem Tax Revenue:")</f>
        <v>2015 Ad Valorem Tax Revenue:</v>
      </c>
      <c r="K25" s="465"/>
      <c r="L25" s="465"/>
      <c r="M25" s="466">
        <f>G23</f>
        <v>107275.66</v>
      </c>
    </row>
    <row r="26" spans="1:13" ht="16.5" thickTop="1">
      <c r="A26" s="18" t="s">
        <v>54</v>
      </c>
      <c r="B26" s="582">
        <f>inputPrYr!E44</f>
        <v>105040</v>
      </c>
      <c r="C26" s="187"/>
      <c r="D26" s="582">
        <f>inputPrYr!E24</f>
        <v>105656</v>
      </c>
      <c r="E26" s="187"/>
      <c r="F26" s="64" t="s">
        <v>156</v>
      </c>
      <c r="G26" s="3"/>
      <c r="H26" s="3"/>
      <c r="J26" s="470" t="str">
        <f>CONCATENATE("",I3-1," Ad Valorem Tax Revenue:")</f>
        <v>2014 Ad Valorem Tax Revenue:</v>
      </c>
      <c r="K26" s="465"/>
      <c r="L26" s="465"/>
      <c r="M26" s="479">
        <f>ROUND(F27*M18/1000,0)</f>
        <v>106032</v>
      </c>
    </row>
    <row r="27" spans="1:13" ht="15.75">
      <c r="A27" s="18" t="s">
        <v>152</v>
      </c>
      <c r="B27" s="27">
        <f>inputPrYr!E45</f>
        <v>29056012</v>
      </c>
      <c r="C27" s="187"/>
      <c r="D27" s="27">
        <f>inputOth!E24</f>
        <v>28993813</v>
      </c>
      <c r="E27" s="187"/>
      <c r="F27" s="27">
        <f>inputOth!E7</f>
        <v>29097690</v>
      </c>
      <c r="G27" s="3"/>
      <c r="H27" s="3"/>
      <c r="J27" s="480" t="s">
        <v>638</v>
      </c>
      <c r="K27" s="481"/>
      <c r="L27" s="481"/>
      <c r="M27" s="469">
        <f>M25-M26</f>
        <v>1243.6600000000035</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25" t="s">
        <v>639</v>
      </c>
      <c r="K29" s="728"/>
      <c r="L29" s="728"/>
      <c r="M29" s="729"/>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3.687</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2" t="str">
        <f>inputBudSum!B3</f>
        <v>Gary Schmitt</v>
      </c>
      <c r="B40" s="696"/>
      <c r="C40" s="80"/>
      <c r="D40" s="3"/>
      <c r="E40" s="3"/>
      <c r="F40" s="3"/>
      <c r="G40" s="3"/>
      <c r="H40" s="37"/>
    </row>
    <row r="41" spans="1:8" ht="15.75">
      <c r="A41" s="738" t="str">
        <f>inputBudSum!B5</f>
        <v>Treasurer</v>
      </c>
      <c r="B41" s="739"/>
      <c r="C41" s="3"/>
      <c r="D41" s="115" t="s">
        <v>44</v>
      </c>
      <c r="E41" s="453"/>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Crestview Country Club Imp District</v>
      </c>
      <c r="C1" s="3"/>
      <c r="D1" s="3"/>
      <c r="E1" s="154">
        <f>inputPrYr!D6</f>
        <v>2015</v>
      </c>
    </row>
    <row r="2" spans="2:5" ht="15.75">
      <c r="B2" s="3" t="str">
        <f>inputPrYr!D4</f>
        <v>Sedgwick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3.687</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3.644</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22"/>
      <c r="I72" s="722"/>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3.687</v>
      </c>
      <c r="H86" s="455" t="str">
        <f>CONCATENATE("Total ",E3," Mill Rate")</f>
        <v>Total  Mill Rate</v>
      </c>
      <c r="I86" s="534"/>
      <c r="J86" s="553"/>
      <c r="K86" s="1"/>
    </row>
    <row r="87" spans="3:11" ht="15.75" customHeight="1">
      <c r="C87" s="76">
        <f>IF(C33&gt;C35,"See Tab A","")</f>
      </c>
      <c r="D87" s="76">
        <f>IF(D33&gt;D35,"See Tab C","")</f>
      </c>
      <c r="F87" s="1"/>
      <c r="G87" s="556">
        <f>summ!E23</f>
        <v>3.644</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Crestview Country Club Imp District</v>
      </c>
      <c r="C1" s="194"/>
      <c r="D1" s="3"/>
      <c r="E1" s="154">
        <f>inputPrYr!D6</f>
        <v>2015</v>
      </c>
    </row>
    <row r="2" spans="2:5" ht="15.75">
      <c r="B2" s="3" t="str">
        <f>inputPrYr!D4</f>
        <v>Sedgwick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Crestview Country Club Imp District</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3">
        <f>inputPrYr!B30</f>
        <v>0</v>
      </c>
      <c r="B5" s="724"/>
      <c r="C5" s="723">
        <f>inputPrYr!B31</f>
        <v>0</v>
      </c>
      <c r="D5" s="724"/>
      <c r="E5" s="723">
        <f>inputPrYr!B32</f>
        <v>0</v>
      </c>
      <c r="F5" s="724"/>
      <c r="G5" s="723">
        <f>inputPrYr!B33</f>
        <v>0</v>
      </c>
      <c r="H5" s="724"/>
      <c r="I5" s="723">
        <f>inputPrYr!B34</f>
        <v>0</v>
      </c>
      <c r="J5" s="724"/>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Crestview Country Club Imp District</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7" t="str">
        <f>CONCATENATE("",F1," Neighborhood Revitalization Rebate")</f>
        <v>2015 Neighborhood Revitalization Rebate</v>
      </c>
      <c r="C4" s="742"/>
      <c r="D4" s="742"/>
      <c r="E4" s="733"/>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29097690</v>
      </c>
      <c r="E16" s="3"/>
      <c r="F16" s="37"/>
    </row>
    <row r="17" spans="1:6" ht="15.75">
      <c r="A17" s="3"/>
      <c r="B17" s="3"/>
      <c r="C17" s="3"/>
      <c r="D17" s="3"/>
      <c r="E17" s="3"/>
      <c r="F17" s="37"/>
    </row>
    <row r="18" spans="1:6" ht="15.75">
      <c r="A18" s="3"/>
      <c r="B18" s="743" t="s">
        <v>295</v>
      </c>
      <c r="C18" s="743"/>
      <c r="D18" s="281">
        <f>IF(D16&gt;0,(D16*0.001),"")</f>
        <v>29097.690000000002</v>
      </c>
      <c r="E18" s="3"/>
      <c r="F18" s="37"/>
    </row>
    <row r="19" spans="1:6" ht="15.75">
      <c r="A19" s="3"/>
      <c r="B19" s="115"/>
      <c r="C19" s="115"/>
      <c r="D19" s="282"/>
      <c r="E19" s="3"/>
      <c r="F19" s="37"/>
    </row>
    <row r="20" spans="1:6" ht="15.75">
      <c r="A20" s="740" t="s">
        <v>293</v>
      </c>
      <c r="B20" s="733"/>
      <c r="C20" s="733"/>
      <c r="D20" s="283">
        <f>inputOth!E12</f>
        <v>0</v>
      </c>
      <c r="E20" s="47"/>
      <c r="F20" s="47"/>
    </row>
    <row r="21" spans="1:6" ht="15">
      <c r="A21" s="47"/>
      <c r="B21" s="47"/>
      <c r="C21" s="47"/>
      <c r="D21" s="284"/>
      <c r="E21" s="47"/>
      <c r="F21" s="47"/>
    </row>
    <row r="22" spans="1:6" ht="15.7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770</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Crestview Country Club Imp District</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794</v>
      </c>
      <c r="E3" s="5"/>
    </row>
    <row r="4" spans="1:5" ht="15.75">
      <c r="A4" s="4" t="s">
        <v>204</v>
      </c>
      <c r="B4" s="3"/>
      <c r="C4" s="3"/>
      <c r="D4" s="602" t="s">
        <v>795</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c r="D19" s="20">
        <v>142813</v>
      </c>
      <c r="E19" s="20">
        <v>105656</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105656</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142813</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3.615</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3.615</v>
      </c>
      <c r="E42" s="22"/>
    </row>
    <row r="43" spans="1:5" ht="16.5" thickTop="1">
      <c r="A43" s="3"/>
      <c r="B43" s="3"/>
      <c r="C43" s="3"/>
      <c r="D43" s="3"/>
      <c r="E43" s="22"/>
    </row>
    <row r="44" spans="1:5" ht="15.75">
      <c r="A44" s="34" t="str">
        <f>CONCATENATE("Total Tax Levied (",D6-2," budget column)")</f>
        <v>Total Tax Levied (2013 budget column)</v>
      </c>
      <c r="B44" s="12"/>
      <c r="C44" s="3"/>
      <c r="D44" s="3"/>
      <c r="E44" s="35">
        <v>105040</v>
      </c>
    </row>
    <row r="45" spans="1:5" ht="15.75">
      <c r="A45" s="34" t="str">
        <f>CONCATENATE("Assessed Valuation (",D6-2," budget column)")</f>
        <v>Assessed Valuation (2013 budget column)</v>
      </c>
      <c r="B45" s="12"/>
      <c r="C45" s="3"/>
      <c r="D45" s="3"/>
      <c r="E45" s="36">
        <v>29056012</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c r="E48" s="41"/>
    </row>
    <row r="49" spans="1:5" ht="15.75">
      <c r="A49" s="42" t="s">
        <v>135</v>
      </c>
      <c r="B49" s="42"/>
      <c r="C49" s="43"/>
      <c r="D49" s="41"/>
      <c r="E49" s="41"/>
    </row>
    <row r="50" spans="1:5" ht="15.75">
      <c r="A50" s="42" t="s">
        <v>634</v>
      </c>
      <c r="B50" s="42"/>
      <c r="C50" s="43"/>
      <c r="D50" s="41"/>
      <c r="E50" s="41"/>
    </row>
    <row r="51" spans="1:5" ht="15.75">
      <c r="A51" s="42" t="s">
        <v>136</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3" t="s">
        <v>771</v>
      </c>
      <c r="D4" s="754"/>
      <c r="E4" s="754"/>
      <c r="F4" s="754"/>
      <c r="G4" s="754"/>
      <c r="H4" s="755"/>
    </row>
    <row r="5" spans="3:8" ht="16.5" thickBot="1">
      <c r="C5" s="643"/>
      <c r="D5" s="643"/>
      <c r="E5" s="643"/>
      <c r="F5" s="643"/>
      <c r="G5" s="643"/>
      <c r="H5" s="643"/>
    </row>
    <row r="6" spans="3:8" ht="15.75">
      <c r="C6" s="750" t="str">
        <f>CONCATENATE("Notice of Vote - ",inputPrYr!D3)</f>
        <v>Notice of Vote - Crestview Country Club Imp District</v>
      </c>
      <c r="D6" s="751"/>
      <c r="E6" s="751"/>
      <c r="F6" s="751"/>
      <c r="G6" s="751"/>
      <c r="H6" s="752"/>
    </row>
    <row r="7" spans="3:8" ht="15.75">
      <c r="C7" s="756" t="s">
        <v>772</v>
      </c>
      <c r="D7" s="757"/>
      <c r="E7" s="757"/>
      <c r="F7" s="757"/>
      <c r="G7" s="757"/>
      <c r="H7" s="758"/>
    </row>
    <row r="8" spans="3:8" ht="15.75">
      <c r="C8" s="756" t="s">
        <v>773</v>
      </c>
      <c r="D8" s="757"/>
      <c r="E8" s="757"/>
      <c r="F8" s="757"/>
      <c r="G8" s="757"/>
      <c r="H8" s="758"/>
    </row>
    <row r="9" spans="3:8" ht="15.75">
      <c r="C9" s="646" t="str">
        <f>CONCATENATE(H2-1," Budget")</f>
        <v>2014 Budget</v>
      </c>
      <c r="D9" s="650" t="s">
        <v>93</v>
      </c>
      <c r="E9" s="652">
        <f>inputPrYr!E24</f>
        <v>105656</v>
      </c>
      <c r="F9" s="644"/>
      <c r="G9" s="644"/>
      <c r="H9" s="645"/>
    </row>
    <row r="10" spans="3:8" ht="15.75">
      <c r="C10" s="646" t="str">
        <f>CONCATENATE(H2," Budget")</f>
        <v>2015 Budget</v>
      </c>
      <c r="D10" s="650" t="s">
        <v>93</v>
      </c>
      <c r="E10" s="653">
        <f>cert!F30</f>
        <v>107275.66</v>
      </c>
      <c r="F10" s="644"/>
      <c r="G10" s="644"/>
      <c r="H10" s="645"/>
    </row>
    <row r="11" spans="3:8" ht="15.75">
      <c r="C11" s="646"/>
      <c r="D11" s="644"/>
      <c r="E11" s="644" t="s">
        <v>774</v>
      </c>
      <c r="F11" s="654"/>
      <c r="G11" s="649" t="s">
        <v>775</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68" t="s">
        <v>537</v>
      </c>
      <c r="C6" s="776"/>
      <c r="D6" s="776"/>
      <c r="E6" s="776"/>
      <c r="F6" s="776"/>
      <c r="G6" s="776"/>
      <c r="H6" s="776"/>
      <c r="I6" s="776"/>
      <c r="J6" s="776"/>
      <c r="K6" s="776"/>
      <c r="L6" s="363"/>
    </row>
    <row r="7" spans="1:12" ht="40.5" customHeight="1">
      <c r="A7" s="360"/>
      <c r="B7" s="788" t="s">
        <v>538</v>
      </c>
      <c r="C7" s="789"/>
      <c r="D7" s="789"/>
      <c r="E7" s="789"/>
      <c r="F7" s="789"/>
      <c r="G7" s="789"/>
      <c r="H7" s="789"/>
      <c r="I7" s="789"/>
      <c r="J7" s="789"/>
      <c r="K7" s="789"/>
      <c r="L7" s="360"/>
    </row>
    <row r="8" spans="1:12" ht="14.25">
      <c r="A8" s="360"/>
      <c r="B8" s="785" t="s">
        <v>539</v>
      </c>
      <c r="C8" s="785"/>
      <c r="D8" s="785"/>
      <c r="E8" s="785"/>
      <c r="F8" s="785"/>
      <c r="G8" s="785"/>
      <c r="H8" s="785"/>
      <c r="I8" s="785"/>
      <c r="J8" s="785"/>
      <c r="K8" s="785"/>
      <c r="L8" s="360"/>
    </row>
    <row r="9" spans="1:12" ht="14.25">
      <c r="A9" s="360"/>
      <c r="L9" s="360"/>
    </row>
    <row r="10" spans="1:12" ht="14.25">
      <c r="A10" s="360"/>
      <c r="B10" s="785" t="s">
        <v>540</v>
      </c>
      <c r="C10" s="785"/>
      <c r="D10" s="785"/>
      <c r="E10" s="785"/>
      <c r="F10" s="785"/>
      <c r="G10" s="785"/>
      <c r="H10" s="785"/>
      <c r="I10" s="785"/>
      <c r="J10" s="785"/>
      <c r="K10" s="785"/>
      <c r="L10" s="360"/>
    </row>
    <row r="11" spans="1:12" ht="14.25">
      <c r="A11" s="360"/>
      <c r="B11" s="497"/>
      <c r="C11" s="497"/>
      <c r="D11" s="497"/>
      <c r="E11" s="497"/>
      <c r="F11" s="497"/>
      <c r="G11" s="497"/>
      <c r="H11" s="497"/>
      <c r="I11" s="497"/>
      <c r="J11" s="497"/>
      <c r="K11" s="497"/>
      <c r="L11" s="360"/>
    </row>
    <row r="12" spans="1:12" ht="32.25" customHeight="1">
      <c r="A12" s="360"/>
      <c r="B12" s="769" t="s">
        <v>541</v>
      </c>
      <c r="C12" s="769"/>
      <c r="D12" s="769"/>
      <c r="E12" s="769"/>
      <c r="F12" s="769"/>
      <c r="G12" s="769"/>
      <c r="H12" s="769"/>
      <c r="I12" s="769"/>
      <c r="J12" s="769"/>
      <c r="K12" s="769"/>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71">
        <v>312000000</v>
      </c>
      <c r="G23" s="771"/>
      <c r="L23" s="360"/>
    </row>
    <row r="24" spans="1:12" ht="14.25">
      <c r="A24" s="360"/>
      <c r="L24" s="360"/>
    </row>
    <row r="25" spans="1:12" ht="14.25">
      <c r="A25" s="360"/>
      <c r="C25" s="786">
        <f>F23</f>
        <v>312000000</v>
      </c>
      <c r="D25" s="786"/>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73" t="s">
        <v>538</v>
      </c>
      <c r="C30" s="773"/>
      <c r="D30" s="773"/>
      <c r="E30" s="773"/>
      <c r="F30" s="773"/>
      <c r="G30" s="773"/>
      <c r="H30" s="773"/>
      <c r="I30" s="773"/>
      <c r="J30" s="773"/>
      <c r="K30" s="773"/>
      <c r="L30" s="360"/>
    </row>
    <row r="31" spans="1:12" ht="14.25">
      <c r="A31" s="360"/>
      <c r="B31" s="785" t="s">
        <v>550</v>
      </c>
      <c r="C31" s="785"/>
      <c r="D31" s="785"/>
      <c r="E31" s="785"/>
      <c r="F31" s="785"/>
      <c r="G31" s="785"/>
      <c r="H31" s="785"/>
      <c r="I31" s="785"/>
      <c r="J31" s="785"/>
      <c r="K31" s="785"/>
      <c r="L31" s="360"/>
    </row>
    <row r="32" spans="1:12" ht="14.25">
      <c r="A32" s="360"/>
      <c r="L32" s="360"/>
    </row>
    <row r="33" spans="1:12" ht="14.25">
      <c r="A33" s="360"/>
      <c r="B33" s="785" t="s">
        <v>551</v>
      </c>
      <c r="C33" s="785"/>
      <c r="D33" s="785"/>
      <c r="E33" s="785"/>
      <c r="F33" s="785"/>
      <c r="G33" s="785"/>
      <c r="H33" s="785"/>
      <c r="I33" s="785"/>
      <c r="J33" s="785"/>
      <c r="K33" s="785"/>
      <c r="L33" s="360"/>
    </row>
    <row r="34" spans="1:12" ht="14.25">
      <c r="A34" s="360"/>
      <c r="L34" s="360"/>
    </row>
    <row r="35" spans="1:12" ht="89.25" customHeight="1">
      <c r="A35" s="360"/>
      <c r="B35" s="769" t="s">
        <v>552</v>
      </c>
      <c r="C35" s="779"/>
      <c r="D35" s="779"/>
      <c r="E35" s="779"/>
      <c r="F35" s="779"/>
      <c r="G35" s="779"/>
      <c r="H35" s="779"/>
      <c r="I35" s="779"/>
      <c r="J35" s="779"/>
      <c r="K35" s="779"/>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87">
        <v>312000000</v>
      </c>
      <c r="D41" s="787"/>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80">
        <v>312000000</v>
      </c>
      <c r="C48" s="771"/>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81" t="s">
        <v>560</v>
      </c>
      <c r="H50" s="782"/>
      <c r="I50" s="493" t="s">
        <v>546</v>
      </c>
      <c r="J50" s="380">
        <f>B50/F50</f>
        <v>0.16025641025641027</v>
      </c>
      <c r="K50" s="372"/>
      <c r="L50" s="360"/>
    </row>
    <row r="51" spans="1:15" ht="15" thickBot="1">
      <c r="A51" s="360"/>
      <c r="B51" s="373"/>
      <c r="C51" s="374"/>
      <c r="D51" s="374"/>
      <c r="E51" s="374"/>
      <c r="F51" s="374"/>
      <c r="G51" s="374"/>
      <c r="H51" s="374"/>
      <c r="I51" s="783" t="s">
        <v>561</v>
      </c>
      <c r="J51" s="783"/>
      <c r="K51" s="784"/>
      <c r="L51" s="360"/>
      <c r="O51" s="381"/>
    </row>
    <row r="52" spans="1:12" ht="40.5" customHeight="1">
      <c r="A52" s="360"/>
      <c r="B52" s="773" t="s">
        <v>538</v>
      </c>
      <c r="C52" s="773"/>
      <c r="D52" s="773"/>
      <c r="E52" s="773"/>
      <c r="F52" s="773"/>
      <c r="G52" s="773"/>
      <c r="H52" s="773"/>
      <c r="I52" s="773"/>
      <c r="J52" s="773"/>
      <c r="K52" s="773"/>
      <c r="L52" s="360"/>
    </row>
    <row r="53" spans="1:12" ht="14.25">
      <c r="A53" s="360"/>
      <c r="B53" s="785" t="s">
        <v>562</v>
      </c>
      <c r="C53" s="785"/>
      <c r="D53" s="785"/>
      <c r="E53" s="785"/>
      <c r="F53" s="785"/>
      <c r="G53" s="785"/>
      <c r="H53" s="785"/>
      <c r="I53" s="785"/>
      <c r="J53" s="785"/>
      <c r="K53" s="785"/>
      <c r="L53" s="360"/>
    </row>
    <row r="54" spans="1:12" ht="14.25">
      <c r="A54" s="360"/>
      <c r="B54" s="497"/>
      <c r="C54" s="497"/>
      <c r="D54" s="497"/>
      <c r="E54" s="497"/>
      <c r="F54" s="497"/>
      <c r="G54" s="497"/>
      <c r="H54" s="497"/>
      <c r="I54" s="497"/>
      <c r="J54" s="497"/>
      <c r="K54" s="497"/>
      <c r="L54" s="360"/>
    </row>
    <row r="55" spans="1:12" ht="14.25">
      <c r="A55" s="360"/>
      <c r="B55" s="768" t="s">
        <v>563</v>
      </c>
      <c r="C55" s="768"/>
      <c r="D55" s="768"/>
      <c r="E55" s="768"/>
      <c r="F55" s="768"/>
      <c r="G55" s="768"/>
      <c r="H55" s="768"/>
      <c r="I55" s="768"/>
      <c r="J55" s="768"/>
      <c r="K55" s="768"/>
      <c r="L55" s="360"/>
    </row>
    <row r="56" spans="1:12" ht="15" customHeight="1">
      <c r="A56" s="360"/>
      <c r="L56" s="360"/>
    </row>
    <row r="57" spans="1:24" ht="74.25" customHeight="1">
      <c r="A57" s="360"/>
      <c r="B57" s="769" t="s">
        <v>564</v>
      </c>
      <c r="C57" s="779"/>
      <c r="D57" s="779"/>
      <c r="E57" s="779"/>
      <c r="F57" s="779"/>
      <c r="G57" s="779"/>
      <c r="H57" s="779"/>
      <c r="I57" s="779"/>
      <c r="J57" s="779"/>
      <c r="K57" s="779"/>
      <c r="L57" s="360"/>
      <c r="M57" s="382"/>
      <c r="N57" s="383"/>
      <c r="O57" s="383"/>
      <c r="P57" s="383"/>
      <c r="Q57" s="383"/>
      <c r="R57" s="383"/>
      <c r="S57" s="383"/>
      <c r="T57" s="383"/>
      <c r="U57" s="383"/>
      <c r="V57" s="383"/>
      <c r="W57" s="383"/>
      <c r="X57" s="383"/>
    </row>
    <row r="58" spans="1:24" ht="15" customHeight="1">
      <c r="A58" s="360"/>
      <c r="B58" s="769"/>
      <c r="C58" s="779"/>
      <c r="D58" s="779"/>
      <c r="E58" s="779"/>
      <c r="F58" s="779"/>
      <c r="G58" s="779"/>
      <c r="H58" s="779"/>
      <c r="I58" s="779"/>
      <c r="J58" s="779"/>
      <c r="K58" s="779"/>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71">
        <v>312000000</v>
      </c>
      <c r="D74" s="771"/>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71">
        <v>50000</v>
      </c>
      <c r="D77" s="771"/>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71">
        <v>100000</v>
      </c>
      <c r="D80" s="771"/>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2">
        <f>H80</f>
        <v>11500</v>
      </c>
      <c r="D83" s="772"/>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73" t="s">
        <v>538</v>
      </c>
      <c r="C85" s="773"/>
      <c r="D85" s="773"/>
      <c r="E85" s="773"/>
      <c r="F85" s="773"/>
      <c r="G85" s="773"/>
      <c r="H85" s="773"/>
      <c r="I85" s="773"/>
      <c r="J85" s="773"/>
      <c r="K85" s="773"/>
      <c r="L85" s="360"/>
    </row>
    <row r="86" spans="1:12" ht="14.25">
      <c r="A86" s="360"/>
      <c r="B86" s="768" t="s">
        <v>580</v>
      </c>
      <c r="C86" s="768"/>
      <c r="D86" s="768"/>
      <c r="E86" s="768"/>
      <c r="F86" s="768"/>
      <c r="G86" s="768"/>
      <c r="H86" s="768"/>
      <c r="I86" s="768"/>
      <c r="J86" s="768"/>
      <c r="K86" s="768"/>
      <c r="L86" s="360"/>
    </row>
    <row r="87" spans="1:12" ht="14.25">
      <c r="A87" s="360"/>
      <c r="B87" s="394"/>
      <c r="C87" s="394"/>
      <c r="D87" s="394"/>
      <c r="E87" s="394"/>
      <c r="F87" s="394"/>
      <c r="G87" s="394"/>
      <c r="H87" s="394"/>
      <c r="I87" s="394"/>
      <c r="J87" s="394"/>
      <c r="K87" s="394"/>
      <c r="L87" s="360"/>
    </row>
    <row r="88" spans="1:12" ht="14.25">
      <c r="A88" s="360"/>
      <c r="B88" s="768" t="s">
        <v>581</v>
      </c>
      <c r="C88" s="768"/>
      <c r="D88" s="768"/>
      <c r="E88" s="768"/>
      <c r="F88" s="768"/>
      <c r="G88" s="768"/>
      <c r="H88" s="768"/>
      <c r="I88" s="768"/>
      <c r="J88" s="768"/>
      <c r="K88" s="768"/>
      <c r="L88" s="360"/>
    </row>
    <row r="89" spans="1:12" ht="14.25">
      <c r="A89" s="360"/>
      <c r="B89" s="492"/>
      <c r="C89" s="492"/>
      <c r="D89" s="492"/>
      <c r="E89" s="492"/>
      <c r="F89" s="492"/>
      <c r="G89" s="492"/>
      <c r="H89" s="492"/>
      <c r="I89" s="492"/>
      <c r="J89" s="492"/>
      <c r="K89" s="492"/>
      <c r="L89" s="360"/>
    </row>
    <row r="90" spans="1:12" ht="45" customHeight="1">
      <c r="A90" s="360"/>
      <c r="B90" s="769" t="s">
        <v>582</v>
      </c>
      <c r="C90" s="769"/>
      <c r="D90" s="769"/>
      <c r="E90" s="769"/>
      <c r="F90" s="769"/>
      <c r="G90" s="769"/>
      <c r="H90" s="769"/>
      <c r="I90" s="769"/>
      <c r="J90" s="769"/>
      <c r="K90" s="769"/>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71">
        <v>312000000</v>
      </c>
      <c r="D94" s="771"/>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71">
        <v>50000</v>
      </c>
      <c r="D97" s="771"/>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71">
        <v>2500000</v>
      </c>
      <c r="D100" s="771"/>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2">
        <f>H100</f>
        <v>750000</v>
      </c>
      <c r="D103" s="772"/>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3" t="s">
        <v>538</v>
      </c>
      <c r="C105" s="774"/>
      <c r="D105" s="774"/>
      <c r="E105" s="774"/>
      <c r="F105" s="774"/>
      <c r="G105" s="774"/>
      <c r="H105" s="774"/>
      <c r="I105" s="774"/>
      <c r="J105" s="774"/>
      <c r="K105" s="774"/>
      <c r="L105" s="360"/>
    </row>
    <row r="106" spans="1:12" ht="15" customHeight="1">
      <c r="A106" s="360"/>
      <c r="B106" s="775" t="s">
        <v>584</v>
      </c>
      <c r="C106" s="776"/>
      <c r="D106" s="776"/>
      <c r="E106" s="776"/>
      <c r="F106" s="776"/>
      <c r="G106" s="776"/>
      <c r="H106" s="776"/>
      <c r="I106" s="776"/>
      <c r="J106" s="776"/>
      <c r="K106" s="776"/>
      <c r="L106" s="360"/>
    </row>
    <row r="107" spans="1:12" ht="15" customHeight="1">
      <c r="A107" s="360"/>
      <c r="B107" s="495"/>
      <c r="C107" s="405"/>
      <c r="D107" s="405"/>
      <c r="E107" s="493"/>
      <c r="F107" s="380"/>
      <c r="G107" s="493"/>
      <c r="H107" s="493"/>
      <c r="I107" s="493"/>
      <c r="J107" s="491"/>
      <c r="K107" s="495"/>
      <c r="L107" s="360"/>
    </row>
    <row r="108" spans="1:12" ht="15" customHeight="1">
      <c r="A108" s="360"/>
      <c r="B108" s="775" t="s">
        <v>585</v>
      </c>
      <c r="C108" s="777"/>
      <c r="D108" s="777"/>
      <c r="E108" s="777"/>
      <c r="F108" s="777"/>
      <c r="G108" s="777"/>
      <c r="H108" s="777"/>
      <c r="I108" s="777"/>
      <c r="J108" s="777"/>
      <c r="K108" s="777"/>
      <c r="L108" s="360"/>
    </row>
    <row r="109" spans="1:12" ht="15" customHeight="1">
      <c r="A109" s="360"/>
      <c r="B109" s="495"/>
      <c r="C109" s="405"/>
      <c r="D109" s="405"/>
      <c r="E109" s="493"/>
      <c r="F109" s="380"/>
      <c r="G109" s="493"/>
      <c r="H109" s="493"/>
      <c r="I109" s="493"/>
      <c r="J109" s="491"/>
      <c r="K109" s="495"/>
      <c r="L109" s="360"/>
    </row>
    <row r="110" spans="1:12" ht="59.25" customHeight="1">
      <c r="A110" s="360"/>
      <c r="B110" s="778" t="s">
        <v>586</v>
      </c>
      <c r="C110" s="779"/>
      <c r="D110" s="779"/>
      <c r="E110" s="779"/>
      <c r="F110" s="779"/>
      <c r="G110" s="779"/>
      <c r="H110" s="779"/>
      <c r="I110" s="779"/>
      <c r="J110" s="779"/>
      <c r="K110" s="779"/>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71">
        <v>312000000</v>
      </c>
      <c r="D114" s="771"/>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71">
        <v>50000</v>
      </c>
      <c r="D117" s="771"/>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71">
        <v>2500000</v>
      </c>
      <c r="D120" s="771"/>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2">
        <f>H120</f>
        <v>625000</v>
      </c>
      <c r="D123" s="772"/>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73" t="s">
        <v>538</v>
      </c>
      <c r="C125" s="773"/>
      <c r="D125" s="773"/>
      <c r="E125" s="773"/>
      <c r="F125" s="773"/>
      <c r="G125" s="773"/>
      <c r="H125" s="773"/>
      <c r="I125" s="773"/>
      <c r="J125" s="773"/>
      <c r="K125" s="773"/>
      <c r="L125" s="406"/>
    </row>
    <row r="126" spans="1:12" ht="14.25">
      <c r="A126" s="360"/>
      <c r="B126" s="768" t="s">
        <v>587</v>
      </c>
      <c r="C126" s="768"/>
      <c r="D126" s="768"/>
      <c r="E126" s="768"/>
      <c r="F126" s="768"/>
      <c r="G126" s="768"/>
      <c r="H126" s="768"/>
      <c r="I126" s="768"/>
      <c r="J126" s="768"/>
      <c r="K126" s="768"/>
      <c r="L126" s="406"/>
    </row>
    <row r="127" spans="1:12" ht="14.25">
      <c r="A127" s="360"/>
      <c r="B127" s="497"/>
      <c r="C127" s="497"/>
      <c r="D127" s="497"/>
      <c r="E127" s="497"/>
      <c r="F127" s="497"/>
      <c r="G127" s="497"/>
      <c r="H127" s="497"/>
      <c r="I127" s="497"/>
      <c r="J127" s="497"/>
      <c r="K127" s="497"/>
      <c r="L127" s="406"/>
    </row>
    <row r="128" spans="1:12" ht="14.25">
      <c r="A128" s="360"/>
      <c r="B128" s="768" t="s">
        <v>588</v>
      </c>
      <c r="C128" s="768"/>
      <c r="D128" s="768"/>
      <c r="E128" s="768"/>
      <c r="F128" s="768"/>
      <c r="G128" s="768"/>
      <c r="H128" s="768"/>
      <c r="I128" s="768"/>
      <c r="J128" s="768"/>
      <c r="K128" s="768"/>
      <c r="L128" s="406"/>
    </row>
    <row r="129" spans="1:12" ht="14.25">
      <c r="A129" s="360"/>
      <c r="B129" s="492"/>
      <c r="C129" s="492"/>
      <c r="D129" s="492"/>
      <c r="E129" s="492"/>
      <c r="F129" s="492"/>
      <c r="G129" s="492"/>
      <c r="H129" s="492"/>
      <c r="I129" s="492"/>
      <c r="J129" s="492"/>
      <c r="K129" s="492"/>
      <c r="L129" s="406"/>
    </row>
    <row r="130" spans="1:12" ht="74.25" customHeight="1">
      <c r="A130" s="360"/>
      <c r="B130" s="769" t="s">
        <v>589</v>
      </c>
      <c r="C130" s="769"/>
      <c r="D130" s="769"/>
      <c r="E130" s="769"/>
      <c r="F130" s="769"/>
      <c r="G130" s="769"/>
      <c r="H130" s="769"/>
      <c r="I130" s="769"/>
      <c r="J130" s="769"/>
      <c r="K130" s="769"/>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70" t="s">
        <v>590</v>
      </c>
      <c r="D133" s="770"/>
      <c r="E133" s="370"/>
      <c r="F133" s="493" t="s">
        <v>591</v>
      </c>
      <c r="G133" s="370"/>
      <c r="H133" s="770" t="s">
        <v>576</v>
      </c>
      <c r="I133" s="770"/>
      <c r="J133" s="370"/>
      <c r="K133" s="372"/>
      <c r="L133" s="360"/>
    </row>
    <row r="134" spans="1:12" ht="14.25">
      <c r="A134" s="360"/>
      <c r="B134" s="378" t="s">
        <v>569</v>
      </c>
      <c r="C134" s="771">
        <v>100000</v>
      </c>
      <c r="D134" s="771"/>
      <c r="E134" s="493" t="s">
        <v>28</v>
      </c>
      <c r="F134" s="493">
        <v>0.115</v>
      </c>
      <c r="G134" s="493" t="s">
        <v>546</v>
      </c>
      <c r="H134" s="760">
        <f>C134*F134</f>
        <v>11500</v>
      </c>
      <c r="I134" s="760"/>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59" t="s">
        <v>576</v>
      </c>
      <c r="D136" s="759"/>
      <c r="E136" s="388"/>
      <c r="F136" s="489" t="s">
        <v>592</v>
      </c>
      <c r="G136" s="489"/>
      <c r="H136" s="388"/>
      <c r="I136" s="388"/>
      <c r="J136" s="388" t="s">
        <v>593</v>
      </c>
      <c r="K136" s="389"/>
      <c r="L136" s="360"/>
    </row>
    <row r="137" spans="1:12" ht="14.25">
      <c r="A137" s="360"/>
      <c r="B137" s="378" t="s">
        <v>572</v>
      </c>
      <c r="C137" s="760">
        <f>H134</f>
        <v>11500</v>
      </c>
      <c r="D137" s="760"/>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61" t="s">
        <v>596</v>
      </c>
      <c r="C144" s="762"/>
      <c r="D144" s="762"/>
      <c r="E144" s="762"/>
      <c r="F144" s="762"/>
      <c r="G144" s="762"/>
      <c r="H144" s="762"/>
      <c r="I144" s="762"/>
      <c r="J144" s="762"/>
      <c r="K144" s="763"/>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60" t="s">
        <v>597</v>
      </c>
      <c r="D147" s="760"/>
      <c r="E147" s="493"/>
      <c r="F147" s="424" t="s">
        <v>598</v>
      </c>
      <c r="G147" s="493"/>
      <c r="H147" s="493"/>
      <c r="I147" s="493"/>
      <c r="J147" s="764" t="s">
        <v>599</v>
      </c>
      <c r="K147" s="765"/>
      <c r="L147" s="360"/>
    </row>
    <row r="148" spans="1:12" ht="14.25">
      <c r="A148" s="360"/>
      <c r="B148" s="378"/>
      <c r="C148" s="766">
        <v>52.869</v>
      </c>
      <c r="D148" s="766"/>
      <c r="E148" s="493" t="s">
        <v>28</v>
      </c>
      <c r="F148" s="494">
        <v>312000000</v>
      </c>
      <c r="G148" s="429" t="s">
        <v>547</v>
      </c>
      <c r="H148" s="493">
        <v>1000</v>
      </c>
      <c r="I148" s="493" t="s">
        <v>546</v>
      </c>
      <c r="J148" s="764">
        <f>C148*(F148/1000)</f>
        <v>16495128</v>
      </c>
      <c r="K148" s="767"/>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321" t="s">
        <v>777</v>
      </c>
    </row>
    <row r="2" ht="15.75">
      <c r="A2" s="600" t="s">
        <v>776</v>
      </c>
    </row>
    <row r="4" ht="15.75">
      <c r="A4" s="321" t="s">
        <v>778</v>
      </c>
    </row>
    <row r="5" ht="15.75">
      <c r="A5" s="614" t="s">
        <v>755</v>
      </c>
    </row>
    <row r="7" ht="15.75">
      <c r="A7" s="321" t="s">
        <v>780</v>
      </c>
    </row>
    <row r="8" ht="15.75">
      <c r="A8" s="76" t="s">
        <v>754</v>
      </c>
    </row>
    <row r="10" ht="15.75">
      <c r="A10" s="321" t="s">
        <v>781</v>
      </c>
    </row>
    <row r="11" ht="15.75">
      <c r="A11" s="600" t="s">
        <v>752</v>
      </c>
    </row>
    <row r="13" ht="15.75">
      <c r="A13" s="321" t="s">
        <v>779</v>
      </c>
    </row>
    <row r="14" ht="15.75">
      <c r="A14" s="577" t="s">
        <v>751</v>
      </c>
    </row>
    <row r="16" ht="15.75">
      <c r="A16" s="321" t="s">
        <v>782</v>
      </c>
    </row>
    <row r="17" ht="15.75">
      <c r="A17" s="577" t="s">
        <v>703</v>
      </c>
    </row>
    <row r="18" ht="15.75">
      <c r="A18" s="577" t="s">
        <v>707</v>
      </c>
    </row>
    <row r="19" ht="15.75">
      <c r="A19" s="76" t="s">
        <v>710</v>
      </c>
    </row>
    <row r="20" ht="15.75">
      <c r="A20" s="76" t="s">
        <v>711</v>
      </c>
    </row>
    <row r="21" ht="15.75">
      <c r="A21" s="76" t="s">
        <v>713</v>
      </c>
    </row>
    <row r="22" ht="15.75">
      <c r="A22" s="76" t="s">
        <v>715</v>
      </c>
    </row>
    <row r="23" ht="15.75">
      <c r="A23" s="76" t="s">
        <v>732</v>
      </c>
    </row>
    <row r="24" ht="15.75">
      <c r="A24" s="76" t="s">
        <v>733</v>
      </c>
    </row>
    <row r="25" ht="15.75">
      <c r="A25" s="76" t="s">
        <v>734</v>
      </c>
    </row>
    <row r="26" ht="15.75">
      <c r="A26" s="76" t="s">
        <v>735</v>
      </c>
    </row>
    <row r="27" ht="47.25">
      <c r="A27" s="287" t="s">
        <v>736</v>
      </c>
    </row>
    <row r="28" ht="31.5">
      <c r="A28" s="287" t="s">
        <v>737</v>
      </c>
    </row>
    <row r="29" ht="15.75">
      <c r="A29" s="76" t="s">
        <v>738</v>
      </c>
    </row>
    <row r="30" ht="15.75">
      <c r="A30" s="76" t="s">
        <v>739</v>
      </c>
    </row>
    <row r="31" ht="15.75">
      <c r="A31" s="76" t="s">
        <v>740</v>
      </c>
    </row>
    <row r="32" ht="15.75">
      <c r="A32" s="76" t="s">
        <v>741</v>
      </c>
    </row>
    <row r="33" ht="15.75">
      <c r="A33" s="76" t="s">
        <v>742</v>
      </c>
    </row>
    <row r="34" ht="15.75">
      <c r="A34" s="76" t="s">
        <v>743</v>
      </c>
    </row>
    <row r="35" ht="15.75">
      <c r="A35" s="76" t="s">
        <v>744</v>
      </c>
    </row>
    <row r="36" ht="15.75">
      <c r="A36" s="76" t="s">
        <v>745</v>
      </c>
    </row>
    <row r="37" ht="15.75">
      <c r="A37" s="76" t="s">
        <v>746</v>
      </c>
    </row>
    <row r="38" ht="15.75">
      <c r="A38" s="76" t="s">
        <v>747</v>
      </c>
    </row>
    <row r="40" ht="15.75">
      <c r="A40" s="321" t="s">
        <v>783</v>
      </c>
    </row>
    <row r="41" ht="15.75">
      <c r="A41" s="485" t="s">
        <v>666</v>
      </c>
    </row>
    <row r="42" ht="15.75">
      <c r="A42" s="485" t="s">
        <v>667</v>
      </c>
    </row>
    <row r="44" ht="15.75">
      <c r="A44" s="321" t="s">
        <v>784</v>
      </c>
    </row>
    <row r="45" ht="15.75">
      <c r="A45" s="485" t="s">
        <v>640</v>
      </c>
    </row>
    <row r="46" ht="15.75">
      <c r="A46" s="485" t="s">
        <v>641</v>
      </c>
    </row>
    <row r="47" ht="31.5">
      <c r="A47" s="486" t="s">
        <v>664</v>
      </c>
    </row>
    <row r="48" ht="15.75">
      <c r="A48" s="485" t="s">
        <v>642</v>
      </c>
    </row>
    <row r="49" ht="15.75">
      <c r="A49" s="485" t="s">
        <v>643</v>
      </c>
    </row>
    <row r="50" ht="15.75">
      <c r="A50" s="485" t="s">
        <v>644</v>
      </c>
    </row>
    <row r="51" ht="15.75">
      <c r="A51" s="485" t="s">
        <v>645</v>
      </c>
    </row>
    <row r="52" ht="15.75">
      <c r="A52" s="485" t="s">
        <v>646</v>
      </c>
    </row>
    <row r="53" ht="15.75">
      <c r="A53" s="485" t="s">
        <v>647</v>
      </c>
    </row>
    <row r="54" ht="15.75">
      <c r="A54" s="485" t="s">
        <v>648</v>
      </c>
    </row>
    <row r="55" ht="15.75">
      <c r="A55" s="485" t="s">
        <v>649</v>
      </c>
    </row>
    <row r="56" ht="15.75">
      <c r="A56" s="485" t="s">
        <v>650</v>
      </c>
    </row>
    <row r="57" ht="15.75">
      <c r="A57" s="485" t="s">
        <v>651</v>
      </c>
    </row>
    <row r="58" ht="15.75">
      <c r="A58" s="485" t="s">
        <v>652</v>
      </c>
    </row>
    <row r="59" ht="15.75">
      <c r="A59" s="485" t="s">
        <v>653</v>
      </c>
    </row>
    <row r="60" ht="15.75">
      <c r="A60" s="485" t="s">
        <v>654</v>
      </c>
    </row>
    <row r="61" ht="15.75">
      <c r="A61" s="485" t="s">
        <v>655</v>
      </c>
    </row>
    <row r="62" ht="15.75">
      <c r="A62" s="485" t="s">
        <v>656</v>
      </c>
    </row>
    <row r="63" ht="15.75">
      <c r="A63" s="485" t="s">
        <v>657</v>
      </c>
    </row>
    <row r="64" ht="15.75">
      <c r="A64" s="485" t="s">
        <v>658</v>
      </c>
    </row>
    <row r="65" ht="15.75">
      <c r="A65" s="485" t="s">
        <v>659</v>
      </c>
    </row>
    <row r="66" ht="15.75">
      <c r="A66" s="485" t="s">
        <v>660</v>
      </c>
    </row>
    <row r="67" ht="15.75">
      <c r="A67" s="485" t="s">
        <v>665</v>
      </c>
    </row>
    <row r="69" ht="15.75">
      <c r="A69" s="321" t="s">
        <v>785</v>
      </c>
    </row>
    <row r="70" ht="15.75">
      <c r="A70" s="76" t="s">
        <v>530</v>
      </c>
    </row>
    <row r="71" ht="15.75">
      <c r="A71" s="76" t="s">
        <v>528</v>
      </c>
    </row>
    <row r="72" ht="15.75">
      <c r="A72" s="76" t="s">
        <v>529</v>
      </c>
    </row>
    <row r="74" ht="15.75">
      <c r="A74" s="332" t="s">
        <v>786</v>
      </c>
    </row>
    <row r="75" ht="15.75">
      <c r="A75" s="76" t="s">
        <v>527</v>
      </c>
    </row>
    <row r="77" ht="15.75">
      <c r="A77" s="321" t="s">
        <v>787</v>
      </c>
    </row>
    <row r="78" ht="15.75">
      <c r="A78" s="322" t="s">
        <v>307</v>
      </c>
    </row>
    <row r="79" ht="15.75">
      <c r="A79" s="322" t="s">
        <v>308</v>
      </c>
    </row>
    <row r="80" ht="15.75">
      <c r="A80" s="322" t="s">
        <v>309</v>
      </c>
    </row>
    <row r="81" ht="15.75">
      <c r="A81" s="76" t="s">
        <v>310</v>
      </c>
    </row>
    <row r="83" ht="15.75">
      <c r="A83" s="286" t="s">
        <v>788</v>
      </c>
    </row>
    <row r="84" ht="15.75">
      <c r="A84" s="76" t="s">
        <v>255</v>
      </c>
    </row>
    <row r="85" ht="15.75">
      <c r="A85" s="76" t="s">
        <v>256</v>
      </c>
    </row>
    <row r="86" ht="15.75">
      <c r="A86" s="76" t="s">
        <v>257</v>
      </c>
    </row>
    <row r="87" ht="15.75">
      <c r="A87" s="76" t="s">
        <v>258</v>
      </c>
    </row>
    <row r="88" ht="15.75">
      <c r="A88" s="76" t="s">
        <v>259</v>
      </c>
    </row>
    <row r="89" ht="15.75">
      <c r="A89" s="76" t="s">
        <v>260</v>
      </c>
    </row>
    <row r="90" ht="15.75">
      <c r="A90" s="76" t="s">
        <v>276</v>
      </c>
    </row>
    <row r="91" ht="15.75">
      <c r="A91" s="76" t="s">
        <v>277</v>
      </c>
    </row>
    <row r="92" ht="15.75">
      <c r="A92" s="76" t="s">
        <v>278</v>
      </c>
    </row>
    <row r="93" ht="15.75">
      <c r="A93" s="76" t="s">
        <v>279</v>
      </c>
    </row>
    <row r="94" ht="15.75">
      <c r="A94" s="76" t="s">
        <v>280</v>
      </c>
    </row>
    <row r="95" ht="15.75">
      <c r="A95" s="76" t="s">
        <v>281</v>
      </c>
    </row>
    <row r="97" ht="15.75">
      <c r="A97" s="286" t="s">
        <v>250</v>
      </c>
    </row>
    <row r="98" ht="15.75">
      <c r="A98" s="76" t="s">
        <v>261</v>
      </c>
    </row>
    <row r="99" ht="15.75">
      <c r="A99" s="76" t="s">
        <v>251</v>
      </c>
    </row>
    <row r="100" ht="15.75">
      <c r="A100" s="76" t="s">
        <v>252</v>
      </c>
    </row>
    <row r="102" ht="15.75">
      <c r="A102" s="286" t="s">
        <v>246</v>
      </c>
    </row>
    <row r="103" ht="15.75">
      <c r="A103" s="76" t="s">
        <v>247</v>
      </c>
    </row>
    <row r="104" ht="15.75">
      <c r="A104" s="76" t="s">
        <v>248</v>
      </c>
    </row>
    <row r="106" ht="15.75">
      <c r="A106" s="286" t="s">
        <v>227</v>
      </c>
    </row>
    <row r="107" ht="15.75">
      <c r="A107" s="76" t="s">
        <v>228</v>
      </c>
    </row>
    <row r="108" ht="36" customHeight="1">
      <c r="A108" s="287" t="s">
        <v>229</v>
      </c>
    </row>
    <row r="109" ht="15.75">
      <c r="A109" s="76" t="s">
        <v>230</v>
      </c>
    </row>
    <row r="110" ht="18.75" customHeight="1">
      <c r="A110" s="76" t="s">
        <v>231</v>
      </c>
    </row>
    <row r="111" ht="15.75">
      <c r="A111" s="76" t="s">
        <v>232</v>
      </c>
    </row>
    <row r="112" ht="24.75" customHeight="1">
      <c r="A112" s="76" t="s">
        <v>233</v>
      </c>
    </row>
    <row r="113" ht="39" customHeight="1">
      <c r="A113" s="287" t="s">
        <v>234</v>
      </c>
    </row>
    <row r="114" ht="38.25" customHeight="1">
      <c r="A114" s="287" t="s">
        <v>235</v>
      </c>
    </row>
    <row r="115" ht="37.5" customHeight="1">
      <c r="A115" s="287" t="s">
        <v>236</v>
      </c>
    </row>
    <row r="116" ht="21" customHeight="1">
      <c r="A116" s="287" t="s">
        <v>237</v>
      </c>
    </row>
    <row r="117" ht="35.25" customHeight="1">
      <c r="A117" s="287" t="s">
        <v>238</v>
      </c>
    </row>
    <row r="118" ht="15.75">
      <c r="A118" s="76" t="s">
        <v>239</v>
      </c>
    </row>
    <row r="119" ht="15.75">
      <c r="A119" s="76" t="s">
        <v>240</v>
      </c>
    </row>
    <row r="120" ht="15.75">
      <c r="A120" s="76" t="s">
        <v>241</v>
      </c>
    </row>
    <row r="121" ht="15.75">
      <c r="A121" s="76" t="s">
        <v>242</v>
      </c>
    </row>
    <row r="122" ht="15.75">
      <c r="A122" s="76" t="s">
        <v>243</v>
      </c>
    </row>
    <row r="125" ht="15.75">
      <c r="A125" s="286" t="s">
        <v>157</v>
      </c>
    </row>
    <row r="126" ht="15.75">
      <c r="A126" s="76" t="s">
        <v>165</v>
      </c>
    </row>
    <row r="127" ht="15.75">
      <c r="A127" s="76" t="s">
        <v>166</v>
      </c>
    </row>
    <row r="128" ht="15.75">
      <c r="A128" s="76" t="s">
        <v>167</v>
      </c>
    </row>
    <row r="129" ht="15.75">
      <c r="A129" s="76" t="s">
        <v>178</v>
      </c>
    </row>
    <row r="130" ht="15.75">
      <c r="A130" s="76" t="s">
        <v>168</v>
      </c>
    </row>
    <row r="131" ht="15.75">
      <c r="A131" s="76" t="s">
        <v>169</v>
      </c>
    </row>
    <row r="132" ht="15.75">
      <c r="A132" s="76" t="s">
        <v>170</v>
      </c>
    </row>
    <row r="133" ht="15.75">
      <c r="A133" s="76" t="s">
        <v>171</v>
      </c>
    </row>
    <row r="134" ht="15.75">
      <c r="A134" s="76" t="s">
        <v>179</v>
      </c>
    </row>
    <row r="135" ht="15.75">
      <c r="A135" s="76" t="s">
        <v>172</v>
      </c>
    </row>
    <row r="136" ht="15.75">
      <c r="A136" s="76" t="s">
        <v>173</v>
      </c>
    </row>
    <row r="137" ht="15.75">
      <c r="A137" s="76" t="s">
        <v>174</v>
      </c>
    </row>
    <row r="138" ht="15.75">
      <c r="A138" s="76" t="s">
        <v>180</v>
      </c>
    </row>
    <row r="139" ht="15.75">
      <c r="A139" s="76" t="s">
        <v>181</v>
      </c>
    </row>
    <row r="140" ht="15.75">
      <c r="A140" s="76" t="s">
        <v>187</v>
      </c>
    </row>
    <row r="141" ht="15.75">
      <c r="A141" s="76" t="s">
        <v>262</v>
      </c>
    </row>
    <row r="142" ht="15.75">
      <c r="A142" s="76" t="s">
        <v>0</v>
      </c>
    </row>
    <row r="143" ht="15.75">
      <c r="A143" s="76" t="s">
        <v>1</v>
      </c>
    </row>
    <row r="144" ht="15.75">
      <c r="A144" s="76" t="s">
        <v>2</v>
      </c>
    </row>
    <row r="145" ht="15.75">
      <c r="A145" s="76" t="s">
        <v>263</v>
      </c>
    </row>
    <row r="146" ht="15.75">
      <c r="A146" s="76" t="s">
        <v>193</v>
      </c>
    </row>
    <row r="147" ht="15.75">
      <c r="A147" s="76" t="s">
        <v>194</v>
      </c>
    </row>
    <row r="148" ht="15.75">
      <c r="A148" s="76" t="s">
        <v>3</v>
      </c>
    </row>
    <row r="149" ht="15.75">
      <c r="A149" s="76" t="s">
        <v>4</v>
      </c>
    </row>
    <row r="150" ht="15.75">
      <c r="A150" s="76" t="s">
        <v>202</v>
      </c>
    </row>
    <row r="151" ht="15.75">
      <c r="A151" s="76" t="s">
        <v>203</v>
      </c>
    </row>
    <row r="152" ht="15.75">
      <c r="A152"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36" sqref="E36"/>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Crestview Country Club Imp District</v>
      </c>
      <c r="B1" s="45"/>
      <c r="C1" s="45"/>
      <c r="D1" s="45"/>
      <c r="E1" s="45">
        <f>inputPrYr!D6</f>
        <v>2015</v>
      </c>
    </row>
    <row r="2" spans="1:5" ht="15.75">
      <c r="A2" s="45" t="str">
        <f>inputPrYr!D4</f>
        <v>Sedgwick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29097690</v>
      </c>
    </row>
    <row r="8" spans="1:5" ht="15.75">
      <c r="A8" s="51" t="str">
        <f>CONCATENATE("New Improvements for ",inputPrYr!D6-1,"")</f>
        <v>New Improvements for 2014</v>
      </c>
      <c r="B8" s="52"/>
      <c r="C8" s="52"/>
      <c r="D8" s="52"/>
      <c r="E8" s="603">
        <v>9743</v>
      </c>
    </row>
    <row r="9" spans="1:5" ht="15.75">
      <c r="A9" s="51" t="str">
        <f>CONCATENATE("Personal Property excluding oil, gas, and mobile homes- ",inputPrYr!D6-1,"")</f>
        <v>Personal Property excluding oil, gas, and mobile homes- 2014</v>
      </c>
      <c r="B9" s="52"/>
      <c r="C9" s="52"/>
      <c r="D9" s="52"/>
      <c r="E9" s="603">
        <v>46584</v>
      </c>
    </row>
    <row r="10" spans="1:5" ht="15.75">
      <c r="A10" s="51" t="str">
        <f>CONCATENATE("Property that has changed in use for ",inputPrYr!D6-1,"")</f>
        <v>Property that has changed in use for 2014</v>
      </c>
      <c r="B10" s="52"/>
      <c r="C10" s="52"/>
      <c r="D10" s="52"/>
      <c r="E10" s="603">
        <v>0</v>
      </c>
    </row>
    <row r="11" spans="1:5" ht="15.75">
      <c r="A11" s="50" t="str">
        <f>CONCATENATE("Personal Property excluding oil, gas, and mobile homes- ",inputPrYr!D6-2,"")</f>
        <v>Personal Property excluding oil, gas, and mobile homes- 2013</v>
      </c>
      <c r="B11" s="25"/>
      <c r="C11" s="25"/>
      <c r="D11" s="25"/>
      <c r="E11" s="603">
        <v>127466</v>
      </c>
    </row>
    <row r="12" spans="1:5" ht="15.75">
      <c r="A12" s="51" t="str">
        <f>CONCATENATE("Neighborhood Revitalization - ",E1,"")</f>
        <v>Neighborhood Revitalization - 2015</v>
      </c>
      <c r="B12" s="52"/>
      <c r="C12" s="52"/>
      <c r="D12" s="52"/>
      <c r="E12" s="603"/>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3.644</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3.644</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28993813</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14678</v>
      </c>
    </row>
    <row r="28" spans="1:5" ht="15.75">
      <c r="A28" s="51" t="s">
        <v>15</v>
      </c>
      <c r="B28" s="52"/>
      <c r="C28" s="52"/>
      <c r="D28" s="65"/>
      <c r="E28" s="20">
        <v>59</v>
      </c>
    </row>
    <row r="29" spans="1:5" ht="15.75">
      <c r="A29" s="51" t="s">
        <v>153</v>
      </c>
      <c r="B29" s="52"/>
      <c r="C29" s="52"/>
      <c r="D29" s="65"/>
      <c r="E29" s="20">
        <v>0</v>
      </c>
    </row>
    <row r="30" spans="1:5" ht="15.75">
      <c r="A30" s="51" t="s">
        <v>141</v>
      </c>
      <c r="B30" s="52"/>
      <c r="C30" s="52"/>
      <c r="D30" s="65"/>
      <c r="E30" s="20"/>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v>
      </c>
    </row>
    <row r="35" spans="1:5" ht="15.75">
      <c r="A35" s="51" t="s">
        <v>676</v>
      </c>
      <c r="B35" s="67"/>
      <c r="C35" s="53"/>
      <c r="D35" s="53"/>
      <c r="E35" s="501">
        <v>0</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124607</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t="s">
        <v>801</v>
      </c>
      <c r="C3" s="606"/>
      <c r="J3" s="503" t="s">
        <v>682</v>
      </c>
    </row>
    <row r="4" spans="1:10" ht="15.75">
      <c r="A4" s="311"/>
      <c r="B4" s="311"/>
      <c r="C4" s="311"/>
      <c r="D4" s="312"/>
      <c r="E4" s="311"/>
      <c r="F4" s="311"/>
      <c r="J4" s="503" t="s">
        <v>683</v>
      </c>
    </row>
    <row r="5" spans="1:10" ht="15.75">
      <c r="A5" s="502" t="s">
        <v>679</v>
      </c>
      <c r="B5" s="607" t="s">
        <v>802</v>
      </c>
      <c r="C5" s="311"/>
      <c r="D5" s="312"/>
      <c r="E5" s="311"/>
      <c r="F5" s="311"/>
      <c r="J5" s="503" t="s">
        <v>684</v>
      </c>
    </row>
    <row r="6" spans="1:10" ht="15.75">
      <c r="A6" s="311"/>
      <c r="B6" s="311"/>
      <c r="C6" s="311"/>
      <c r="D6" s="312"/>
      <c r="E6" s="311"/>
      <c r="F6" s="311"/>
      <c r="J6" s="503" t="s">
        <v>685</v>
      </c>
    </row>
    <row r="7" spans="1:10" ht="15.75">
      <c r="A7" s="313" t="s">
        <v>297</v>
      </c>
      <c r="B7" s="608" t="s">
        <v>803</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September 12, 2014</v>
      </c>
      <c r="E8" s="311"/>
      <c r="F8" s="311"/>
      <c r="J8" s="503" t="s">
        <v>687</v>
      </c>
    </row>
    <row r="9" spans="1:10" ht="15.75">
      <c r="A9" s="313" t="s">
        <v>298</v>
      </c>
      <c r="B9" s="608" t="s">
        <v>804</v>
      </c>
      <c r="C9" s="317"/>
      <c r="D9" s="313"/>
      <c r="E9" s="311"/>
      <c r="F9" s="311"/>
      <c r="J9" s="503" t="s">
        <v>688</v>
      </c>
    </row>
    <row r="10" spans="1:10" ht="15.75">
      <c r="A10" s="313"/>
      <c r="B10" s="313"/>
      <c r="C10" s="313"/>
      <c r="D10" s="313"/>
      <c r="E10" s="311"/>
      <c r="F10" s="311"/>
      <c r="J10" s="503" t="s">
        <v>689</v>
      </c>
    </row>
    <row r="11" spans="1:10" ht="15.75">
      <c r="A11" s="313" t="s">
        <v>299</v>
      </c>
      <c r="B11" s="609" t="s">
        <v>805</v>
      </c>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806</v>
      </c>
      <c r="C14" s="610"/>
      <c r="D14" s="610"/>
      <c r="E14" s="611"/>
      <c r="F14" s="311"/>
    </row>
    <row r="17" spans="1:6" ht="15.75">
      <c r="A17" s="683" t="s">
        <v>301</v>
      </c>
      <c r="B17" s="683"/>
      <c r="C17" s="313"/>
      <c r="D17" s="313"/>
      <c r="E17" s="313"/>
      <c r="F17" s="311"/>
    </row>
    <row r="18" spans="1:7" ht="15.75">
      <c r="A18" s="313"/>
      <c r="B18" s="313"/>
      <c r="C18" s="313"/>
      <c r="D18" s="313"/>
      <c r="E18" s="313"/>
      <c r="F18" s="311"/>
      <c r="G18" s="503" t="str">
        <f ca="1">IF(B7="","",INDIRECT(G19))</f>
        <v>September</v>
      </c>
    </row>
    <row r="19" spans="1:7" ht="15.75">
      <c r="A19" s="313" t="s">
        <v>297</v>
      </c>
      <c r="B19" s="315" t="s">
        <v>302</v>
      </c>
      <c r="C19" s="313"/>
      <c r="D19" s="313"/>
      <c r="E19" s="313"/>
      <c r="G19" s="505" t="str">
        <f>IF(B7="","",CONCATENATE("J",G21))</f>
        <v>J9</v>
      </c>
    </row>
    <row r="20" spans="1:7" ht="15.75">
      <c r="A20" s="313"/>
      <c r="B20" s="313"/>
      <c r="C20" s="313"/>
      <c r="D20" s="313"/>
      <c r="E20" s="313"/>
      <c r="G20" s="506">
        <f>B7-10</f>
        <v>41894</v>
      </c>
    </row>
    <row r="21" spans="1:7" ht="15.75">
      <c r="A21" s="313" t="s">
        <v>298</v>
      </c>
      <c r="B21" s="313" t="s">
        <v>303</v>
      </c>
      <c r="C21" s="313"/>
      <c r="D21" s="313"/>
      <c r="E21" s="313"/>
      <c r="G21" s="507">
        <f>IF(B7="","",MONTH(G20))</f>
        <v>9</v>
      </c>
    </row>
    <row r="22" spans="1:7" ht="15.75">
      <c r="A22" s="313"/>
      <c r="B22" s="313"/>
      <c r="C22" s="313"/>
      <c r="D22" s="313"/>
      <c r="E22" s="313"/>
      <c r="G22" s="508">
        <f>IF(B7="","",DAY(G20))</f>
        <v>12</v>
      </c>
    </row>
    <row r="23" spans="1:7" ht="15.75">
      <c r="A23" s="313" t="s">
        <v>299</v>
      </c>
      <c r="B23" s="313" t="s">
        <v>305</v>
      </c>
      <c r="C23" s="313"/>
      <c r="D23" s="313"/>
      <c r="E23" s="313"/>
      <c r="G23" s="509">
        <f>IF(B7="","",YEAR(G20))</f>
        <v>2014</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J32" sqref="J32"/>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7" t="s">
        <v>79</v>
      </c>
      <c r="B2" s="687"/>
      <c r="C2" s="687"/>
      <c r="D2" s="687"/>
      <c r="E2" s="687"/>
      <c r="F2" s="687"/>
      <c r="G2" s="687"/>
    </row>
    <row r="3" spans="1:7" ht="15.75">
      <c r="A3" s="3"/>
      <c r="B3" s="3"/>
      <c r="C3" s="3"/>
      <c r="D3" s="3"/>
      <c r="E3" s="3"/>
      <c r="F3" s="3"/>
      <c r="G3" s="45">
        <f>inputPrYr!D6</f>
        <v>2015</v>
      </c>
    </row>
    <row r="4" spans="1:7" ht="15.75">
      <c r="A4" s="688" t="str">
        <f>CONCATENATE("To the Clerk of ",inputPrYr!D4,", State of Kansas")</f>
        <v>To the Clerk of Sedgwick County, State of Kansas</v>
      </c>
      <c r="B4" s="688"/>
      <c r="C4" s="688"/>
      <c r="D4" s="688"/>
      <c r="E4" s="688"/>
      <c r="F4" s="688"/>
      <c r="G4" s="688"/>
    </row>
    <row r="5" spans="1:7" ht="15.75">
      <c r="A5" s="78" t="s">
        <v>138</v>
      </c>
      <c r="B5" s="9"/>
      <c r="C5" s="9"/>
      <c r="D5" s="9"/>
      <c r="E5" s="9"/>
      <c r="F5" s="9"/>
      <c r="G5" s="9"/>
    </row>
    <row r="6" spans="1:7" ht="15.75">
      <c r="A6" s="668" t="str">
        <f>inputPrYr!D3</f>
        <v>Crestview Country Club Imp District</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9" t="str">
        <f>CONCATENATE("",G3," Adopted Budget")</f>
        <v>2015 Adopted Budget</v>
      </c>
      <c r="F13" s="690"/>
      <c r="G13" s="691"/>
    </row>
    <row r="14" spans="1:8" ht="15.75">
      <c r="A14" s="2"/>
      <c r="B14" s="3"/>
      <c r="C14" s="3"/>
      <c r="D14" s="25"/>
      <c r="E14" s="82" t="s">
        <v>18</v>
      </c>
      <c r="F14" s="83"/>
      <c r="G14" s="84" t="s">
        <v>19</v>
      </c>
      <c r="H14" s="85"/>
    </row>
    <row r="15" spans="1:7" ht="15.75">
      <c r="A15" s="3"/>
      <c r="B15" s="3"/>
      <c r="C15" s="3"/>
      <c r="D15" s="83" t="s">
        <v>20</v>
      </c>
      <c r="E15" s="86" t="s">
        <v>190</v>
      </c>
      <c r="F15" s="692" t="str">
        <f>CONCATENATE("Amount of ",G3-1," Ad Valorem Tax")</f>
        <v>Amount of 2014 Ad Valorem Tax</v>
      </c>
      <c r="G15" s="84" t="s">
        <v>21</v>
      </c>
    </row>
    <row r="16" spans="1:7" ht="15.75">
      <c r="A16" s="2" t="s">
        <v>22</v>
      </c>
      <c r="B16" s="3"/>
      <c r="C16" s="3"/>
      <c r="D16" s="86" t="s">
        <v>23</v>
      </c>
      <c r="E16" s="86" t="s">
        <v>531</v>
      </c>
      <c r="F16" s="692"/>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f>inputPrYr!C19</f>
        <v>0</v>
      </c>
      <c r="D23" s="101">
        <v>6</v>
      </c>
      <c r="E23" s="522">
        <f>IF(gen!$E$61&lt;&gt;0,gen!$E$61,"  ")</f>
        <v>149788</v>
      </c>
      <c r="F23" s="522">
        <f>IF(gen!$E$68&lt;&gt;0,gen!$E$68,"  ")</f>
        <v>107275.66</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149788</v>
      </c>
      <c r="F30" s="529">
        <f>SUM(F23:F28)</f>
        <v>107275.66</v>
      </c>
      <c r="G30" s="530">
        <f>IF(SUM(G23:G28)=0,"",SUM(G23:G28))</f>
      </c>
    </row>
    <row r="31" spans="1:7" ht="15.75">
      <c r="A31" s="100" t="s">
        <v>182</v>
      </c>
      <c r="B31" s="52"/>
      <c r="C31" s="97"/>
      <c r="D31" s="112">
        <f>summ!E41</f>
        <v>0</v>
      </c>
      <c r="E31" s="633" t="s">
        <v>769</v>
      </c>
      <c r="F31" s="352" t="str">
        <f>IF(F30&gt;1000,IF(F30&gt;computation!J41,"Yes","No"),"No")</f>
        <v>No</v>
      </c>
      <c r="G31" s="353" t="s">
        <v>127</v>
      </c>
    </row>
    <row r="32" spans="1:7" ht="15.75">
      <c r="A32" s="660" t="s">
        <v>197</v>
      </c>
      <c r="B32" s="659"/>
      <c r="C32" s="658"/>
      <c r="D32" s="657">
        <f>IF(Nhood!C35=0,"",Nhood!C35)</f>
      </c>
      <c r="E32" s="351"/>
      <c r="F32" s="53"/>
      <c r="G32" s="117"/>
    </row>
    <row r="33" spans="1:7" ht="15.75">
      <c r="A33" s="656"/>
      <c r="B33" s="106"/>
      <c r="C33" s="106"/>
      <c r="D33" s="616"/>
      <c r="E33" s="45"/>
      <c r="F33" s="53"/>
      <c r="G33" s="693" t="str">
        <f>CONCATENATE("Nov. 1, ",G3-1," Total Assessed Valuation")</f>
        <v>Nov. 1, 2014 Total Assessed Valuation</v>
      </c>
    </row>
    <row r="34" spans="1:7" ht="15.75">
      <c r="A34" s="5"/>
      <c r="B34" s="53"/>
      <c r="C34" s="3"/>
      <c r="D34" s="114"/>
      <c r="E34" s="45"/>
      <c r="F34" s="53"/>
      <c r="G34" s="694"/>
    </row>
    <row r="35" spans="1:7" ht="15.75">
      <c r="A35" s="2" t="s">
        <v>534</v>
      </c>
      <c r="B35" s="53"/>
      <c r="C35" s="53"/>
      <c r="D35" s="53"/>
      <c r="E35" s="113"/>
      <c r="F35" s="53"/>
      <c r="G35" s="3"/>
    </row>
    <row r="36" spans="1:7" ht="15.75">
      <c r="A36" s="487"/>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c r="B39" s="487"/>
      <c r="C39" s="53"/>
      <c r="D39" s="53" t="s">
        <v>698</v>
      </c>
      <c r="E39" s="518"/>
      <c r="F39" s="518"/>
      <c r="G39" s="53"/>
    </row>
    <row r="40" spans="1:7" ht="15.75">
      <c r="A40" s="488"/>
      <c r="B40" s="488"/>
      <c r="C40" s="37"/>
      <c r="D40" s="53"/>
      <c r="E40" s="518"/>
      <c r="F40" s="518"/>
      <c r="G40" s="53"/>
    </row>
    <row r="41" spans="1:7" ht="15.75">
      <c r="A41" s="5" t="s">
        <v>697</v>
      </c>
      <c r="B41" s="53"/>
      <c r="C41" s="3"/>
      <c r="D41" s="53" t="s">
        <v>698</v>
      </c>
      <c r="E41" s="519"/>
      <c r="F41" s="53"/>
      <c r="G41" s="53"/>
    </row>
    <row r="42" spans="1:7" ht="15.75">
      <c r="A42" s="488"/>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5"/>
      <c r="B49" s="696"/>
      <c r="C49" s="3"/>
      <c r="D49" s="53" t="s">
        <v>698</v>
      </c>
      <c r="E49" s="53"/>
      <c r="F49" s="53"/>
      <c r="G49" s="53"/>
    </row>
    <row r="50" spans="1:7" ht="15.75">
      <c r="A50" s="9" t="s">
        <v>30</v>
      </c>
      <c r="B50" s="9"/>
      <c r="C50" s="3"/>
      <c r="D50" s="697" t="s">
        <v>29</v>
      </c>
      <c r="E50" s="698"/>
      <c r="F50" s="698"/>
      <c r="G50" s="698"/>
    </row>
    <row r="51" spans="1:7" ht="15.75">
      <c r="A51" s="684"/>
      <c r="B51" s="684"/>
      <c r="C51" s="684"/>
      <c r="D51" s="684"/>
      <c r="E51" s="684"/>
      <c r="F51" s="684"/>
      <c r="G51" s="684"/>
    </row>
    <row r="52" spans="1:7" ht="15.75">
      <c r="A52" s="685"/>
      <c r="B52" s="685"/>
      <c r="C52" s="685"/>
      <c r="D52" s="685"/>
      <c r="E52" s="685"/>
      <c r="F52" s="685"/>
      <c r="G52" s="685"/>
    </row>
    <row r="53" spans="1:7" ht="15.75">
      <c r="A53" s="1"/>
      <c r="B53" s="1"/>
      <c r="C53" s="1"/>
      <c r="D53" s="1"/>
      <c r="E53" s="1"/>
      <c r="F53" s="1"/>
      <c r="G53" s="686"/>
    </row>
    <row r="54" spans="1:7" ht="15.75">
      <c r="A54" s="1"/>
      <c r="B54" s="1"/>
      <c r="C54" s="1"/>
      <c r="D54" s="1"/>
      <c r="E54" s="1"/>
      <c r="F54" s="1"/>
      <c r="G54" s="686"/>
    </row>
    <row r="55" spans="1:7" ht="15.75">
      <c r="A55" s="1"/>
      <c r="B55" s="1"/>
      <c r="C55" s="1"/>
      <c r="D55" s="1"/>
      <c r="E55" s="1"/>
      <c r="F55" s="1"/>
      <c r="G55" s="686"/>
    </row>
    <row r="56" spans="1:7" ht="15.75">
      <c r="A56" s="1"/>
      <c r="B56" s="1"/>
      <c r="C56" s="1"/>
      <c r="D56" s="1"/>
      <c r="E56" s="1"/>
      <c r="F56" s="1"/>
      <c r="G56" s="686"/>
    </row>
    <row r="57" spans="1:7" ht="15.75">
      <c r="A57" s="1"/>
      <c r="B57" s="1"/>
      <c r="C57" s="1"/>
      <c r="D57" s="119"/>
      <c r="E57" s="1"/>
      <c r="F57" s="1"/>
      <c r="G57" s="686"/>
    </row>
    <row r="58" ht="15.75">
      <c r="G58" s="686"/>
    </row>
    <row r="59" ht="15.75">
      <c r="G59" s="686"/>
    </row>
    <row r="60" ht="15.75">
      <c r="G60" s="686"/>
    </row>
    <row r="61" ht="15.75">
      <c r="G61" s="686"/>
    </row>
    <row r="62" ht="15.75">
      <c r="G62" s="686"/>
    </row>
    <row r="63" ht="15.75">
      <c r="G63" s="686"/>
    </row>
    <row r="64" ht="15.75">
      <c r="G64" s="686"/>
    </row>
    <row r="65" ht="15.75">
      <c r="G65" s="68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8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6">
      <selection activeCell="F34" sqref="F34"/>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Crestview Country Club Imp District</v>
      </c>
      <c r="D1" s="3"/>
      <c r="E1" s="3"/>
      <c r="F1" s="3"/>
      <c r="G1" s="3"/>
      <c r="H1" s="3"/>
      <c r="I1" s="3"/>
      <c r="J1" s="3">
        <f>inputPrYr!D6</f>
        <v>2015</v>
      </c>
    </row>
    <row r="2" spans="1:10" ht="15.75" customHeight="1">
      <c r="A2" s="3"/>
      <c r="B2" s="3"/>
      <c r="C2" s="3" t="str">
        <f>inputPrYr!D4</f>
        <v>Sedgwick County</v>
      </c>
      <c r="D2" s="3"/>
      <c r="E2" s="3"/>
      <c r="F2" s="3"/>
      <c r="G2" s="3"/>
      <c r="H2" s="3"/>
      <c r="I2" s="3"/>
      <c r="J2" s="3"/>
    </row>
    <row r="3" spans="1:10" ht="15.75">
      <c r="A3" s="670" t="str">
        <f>CONCATENATE("Computation to Determine Limit for ",J1,"")</f>
        <v>Computation to Determine Limit for 2015</v>
      </c>
      <c r="B3" s="687"/>
      <c r="C3" s="687"/>
      <c r="D3" s="687"/>
      <c r="E3" s="687"/>
      <c r="F3" s="687"/>
      <c r="G3" s="687"/>
      <c r="H3" s="687"/>
      <c r="I3" s="687"/>
      <c r="J3" s="687"/>
    </row>
    <row r="4" spans="1:10" ht="15.75">
      <c r="A4" s="3"/>
      <c r="B4" s="3"/>
      <c r="C4" s="3"/>
      <c r="D4" s="3"/>
      <c r="E4" s="687"/>
      <c r="F4" s="687"/>
      <c r="G4" s="687"/>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105656</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105656</v>
      </c>
    </row>
    <row r="8" spans="1:10" ht="15.75">
      <c r="A8" s="3"/>
      <c r="B8" s="3"/>
      <c r="C8" s="3"/>
      <c r="D8" s="3"/>
      <c r="E8" s="22"/>
      <c r="F8" s="22"/>
      <c r="G8" s="22"/>
      <c r="H8" s="22"/>
      <c r="I8" s="22"/>
      <c r="J8" s="22"/>
    </row>
    <row r="9" spans="1:10" ht="15.75">
      <c r="A9" s="687"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9743</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46584</v>
      </c>
      <c r="F14" s="123"/>
      <c r="G14" s="22"/>
      <c r="H14" s="22"/>
      <c r="I14" s="617"/>
      <c r="J14" s="22"/>
    </row>
    <row r="15" spans="1:10" ht="15.75">
      <c r="A15" s="122"/>
      <c r="B15" s="3" t="s">
        <v>99</v>
      </c>
      <c r="C15" s="3" t="str">
        <f>CONCATENATE("Personal property ",J1-2,"")</f>
        <v>Personal property 2013</v>
      </c>
      <c r="D15" s="122" t="s">
        <v>95</v>
      </c>
      <c r="E15" s="26">
        <f>inputOth!E11</f>
        <v>127466</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0</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9743</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29097690</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29087947</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0.0003349497302095607</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35</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105691</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105691</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791</v>
      </c>
      <c r="C38" s="626"/>
      <c r="D38" s="626"/>
      <c r="E38" s="626"/>
      <c r="F38" s="626"/>
      <c r="G38" s="626"/>
      <c r="H38" s="626"/>
      <c r="I38" s="625" t="s">
        <v>93</v>
      </c>
      <c r="J38" s="623">
        <f>J7*J36</f>
        <v>1584.84</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792</v>
      </c>
      <c r="C41" s="615"/>
      <c r="D41" s="615"/>
      <c r="E41" s="615"/>
      <c r="F41" s="615"/>
      <c r="G41" s="615"/>
      <c r="H41" s="615"/>
      <c r="I41" s="625" t="s">
        <v>93</v>
      </c>
      <c r="J41" s="628">
        <f>J34+J38</f>
        <v>107275.84</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793</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F34" sqref="F34"/>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Crestview Country Club Imp District</v>
      </c>
      <c r="C1" s="3"/>
      <c r="D1" s="3"/>
      <c r="E1" s="3"/>
      <c r="F1" s="3"/>
      <c r="G1" s="3"/>
      <c r="H1" s="3"/>
      <c r="I1" s="127"/>
      <c r="J1" s="3"/>
    </row>
    <row r="2" spans="1:10" ht="15.75">
      <c r="A2" s="3"/>
      <c r="B2" s="3" t="str">
        <f>inputPrYr!D4</f>
        <v>Sedgwick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9"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105656</v>
      </c>
      <c r="D11" s="104">
        <f>IF(E17=0,0,E17-D12-D13-D14)</f>
        <v>14678</v>
      </c>
      <c r="E11" s="104">
        <f>IF(E19=0,0,E19-E12-E13-E14)</f>
        <v>59</v>
      </c>
      <c r="F11" s="104">
        <f>IF(E21=0,0,E21-F12-F13-F14)</f>
        <v>0</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105656</v>
      </c>
      <c r="D15" s="111">
        <f>SUM(D11:D14)</f>
        <v>14678</v>
      </c>
      <c r="E15" s="111">
        <f>SUM(E11:E14)</f>
        <v>59</v>
      </c>
      <c r="F15" s="175">
        <f>SUM(F11:F14)</f>
        <v>0</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14678</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59</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0</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0.13892254107670174</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0.0005584159915196487</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34" sqref="F34"/>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Crestview Country Club Imp District</v>
      </c>
      <c r="B2" s="137"/>
      <c r="C2" s="3"/>
      <c r="D2" s="3"/>
      <c r="E2" s="127"/>
      <c r="F2" s="3"/>
    </row>
    <row r="3" spans="1:6" ht="15.75">
      <c r="A3" s="137" t="str">
        <f>inputPrYr!D4</f>
        <v>Sedgwick County</v>
      </c>
      <c r="B3" s="137"/>
      <c r="C3" s="3"/>
      <c r="D3" s="3"/>
      <c r="E3" s="127"/>
      <c r="F3" s="3"/>
    </row>
    <row r="4" spans="1:6" ht="15.75">
      <c r="A4" s="128"/>
      <c r="B4" s="3"/>
      <c r="C4" s="3"/>
      <c r="D4" s="3"/>
      <c r="E4" s="127"/>
      <c r="F4" s="3"/>
    </row>
    <row r="5" spans="1:6" ht="15" customHeight="1">
      <c r="A5" s="687" t="s">
        <v>129</v>
      </c>
      <c r="B5" s="687"/>
      <c r="C5" s="687"/>
      <c r="D5" s="687"/>
      <c r="E5" s="687"/>
      <c r="F5" s="687"/>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F31" sqref="F3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cp:lastModifiedBy>
  <cp:lastPrinted>2014-09-05T15:56:33Z</cp:lastPrinted>
  <dcterms:created xsi:type="dcterms:W3CDTF">1999-08-06T13:59:57Z</dcterms:created>
  <dcterms:modified xsi:type="dcterms:W3CDTF">2014-09-05T15:59:10Z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