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
  </bookViews>
  <sheets>
    <sheet name="instructions" sheetId="1" r:id="rId1"/>
    <sheet name="inputPrYr" sheetId="2" r:id="rId2"/>
    <sheet name="inputOth" sheetId="3" r:id="rId3"/>
    <sheet name="inputBudSum" sheetId="4" r:id="rId4"/>
    <sheet name="cert" sheetId="5" r:id="rId5"/>
    <sheet name="signed certif."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roof of pub"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<sst xmlns="http://schemas.openxmlformats.org/spreadsheetml/2006/main" count="1199" uniqueCount="817">
  <si>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</si>
  <si>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</si>
  <si>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</si>
  <si>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</si>
  <si>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</si>
  <si>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</si>
  <si>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</si>
  <si>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</si>
  <si>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</si>
  <si>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</si>
  <si>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</si>
  <si>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</si>
  <si>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</si>
  <si>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</si>
  <si>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</si>
  <si>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</si>
  <si>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</si>
  <si>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</si>
  <si>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</si>
  <si>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</si>
  <si>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</si>
  <si>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</si>
  <si>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</si>
  <si>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</si>
  <si>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</si>
  <si>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</si>
  <si>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</si>
  <si>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</si>
  <si>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</si>
  <si>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</si>
  <si>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</si>
  <si>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</si>
  <si>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</si>
  <si>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</si>
  <si>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</si>
  <si>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</si>
  <si>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</si>
  <si>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</si>
  <si>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</si>
  <si>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</si>
  <si>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</si>
  <si>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</si>
  <si>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</si>
  <si>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</si>
  <si>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</si>
  <si>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</si>
  <si>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</si>
  <si>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</si>
  <si>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</si>
  <si>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</si>
  <si>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</si>
  <si>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</si>
  <si>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</si>
  <si>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</si>
  <si>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</si>
  <si>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</si>
  <si>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</si>
  <si>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</si>
  <si>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</si>
  <si>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</si>
  <si>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</si>
  <si>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</si>
  <si>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</si>
  <si>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</si>
  <si>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</si>
  <si>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</si>
  <si>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</si>
  <si>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</si>
  <si>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</si>
  <si>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</si>
  <si>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</si>
  <si>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</si>
  <si>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</si>
  <si>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</si>
  <si>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</si>
  <si>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</si>
  <si>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</si>
  <si>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</si>
  <si>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</si>
  <si>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</si>
  <si>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</si>
  <si>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</si>
  <si>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</si>
  <si>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</si>
  <si>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</si>
  <si>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</si>
  <si>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</si>
  <si>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</si>
  <si>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</si>
  <si>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</si>
  <si>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</si>
  <si>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</si>
  <si>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</si>
  <si>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</si>
  <si>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</si>
  <si>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</si>
  <si>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</si>
  <si>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</si>
  <si>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</si>
  <si>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</si>
  <si>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</si>
  <si>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</si>
  <si>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</si>
  <si>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</si>
  <si>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</si>
  <si>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</si>
  <si>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</si>
  <si>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</si>
  <si>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</si>
  <si>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</si>
  <si>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</si>
  <si>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</si>
  <si>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</si>
  <si>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</si>
  <si>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</si>
  <si>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</si>
  <si>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</si>
  <si>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</si>
  <si>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</si>
  <si>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</si>
  <si>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</si>
  <si>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</si>
  <si>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</si>
  <si>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</si>
  <si>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</si>
  <si>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</si>
  <si>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</si>
  <si>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</si>
  <si>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</si>
  <si>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</si>
  <si>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</si>
  <si>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</si>
  <si>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</si>
  <si>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</si>
  <si>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</si>
  <si>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</si>
  <si>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</si>
  <si>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</si>
  <si>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</si>
  <si>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</si>
  <si>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</si>
  <si>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</si>
  <si>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</si>
  <si>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</si>
  <si>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</si>
  <si>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</si>
  <si>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</si>
  <si>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</si>
  <si>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</si>
  <si>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</si>
  <si>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</si>
  <si>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</si>
  <si>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</si>
  <si>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</si>
  <si>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</si>
  <si>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</si>
  <si>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</si>
  <si>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</si>
  <si>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</si>
  <si>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</si>
  <si>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</si>
  <si>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</si>
  <si>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</si>
  <si>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</si>
  <si>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</si>
  <si>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</si>
  <si>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</si>
  <si>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</si>
  <si>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</si>
  <si>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</si>
  <si>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</si>
  <si>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</si>
  <si>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</si>
  <si>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</si>
  <si>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</si>
  <si>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</si>
  <si>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</si>
  <si>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</si>
  <si>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</si>
  <si>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</si>
  <si>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</si>
  <si>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</si>
  <si>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</si>
  <si>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</si>
  <si>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</si>
  <si>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</si>
  <si>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</si>
  <si>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</si>
  <si>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</si>
  <si>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</si>
  <si>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</si>
  <si>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</si>
  <si>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</si>
  <si>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</si>
  <si>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</si>
  <si>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</si>
  <si>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</si>
  <si>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</si>
  <si>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</si>
  <si>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</si>
  <si>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</si>
  <si>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</si>
  <si>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</si>
  <si>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</si>
  <si>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</si>
  <si>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</si>
  <si>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</si>
  <si>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</si>
  <si>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</si>
  <si>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</si>
  <si>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</si>
  <si>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</si>
  <si>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</si>
  <si>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</si>
  <si>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</si>
  <si>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</si>
  <si>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</si>
  <si>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</si>
  <si>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</si>
  <si>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</si>
  <si>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</si>
  <si>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</si>
  <si>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</si>
  <si>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</si>
  <si>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</si>
  <si>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</si>
  <si>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</si>
  <si>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</si>
  <si>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</si>
  <si>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</si>
  <si>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</si>
  <si>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</si>
  <si>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</si>
  <si>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</si>
  <si>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</si>
  <si>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</si>
  <si>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</si>
  <si>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</si>
  <si>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</si>
  <si>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</si>
  <si>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</si>
  <si>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</si>
  <si>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</si>
  <si>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</si>
  <si>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</si>
  <si>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</si>
  <si>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</si>
  <si>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</si>
  <si>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</si>
  <si>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</si>
  <si>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</si>
  <si>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</si>
  <si>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</si>
  <si>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</si>
  <si>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</si>
  <si>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</si>
  <si>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</si>
  <si>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</si>
  <si>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</si>
  <si>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</si>
  <si>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</si>
  <si>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</si>
  <si>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</si>
  <si>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</si>
  <si>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</si>
  <si>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</si>
  <si>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</si>
  <si>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</si>
  <si>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</si>
  <si>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</si>
  <si>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</si>
  <si>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</si>
  <si>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</si>
  <si>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</si>
  <si>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</si>
  <si>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</si>
  <si>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</si>
  <si>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</si>
  <si>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</si>
  <si>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</si>
  <si>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</si>
  <si>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</si>
  <si>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</si>
  <si>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</si>
  <si>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</si>
  <si>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</si>
  <si>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</si>
  <si>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</si>
  <si>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</si>
  <si>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</si>
  <si>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</si>
  <si>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</si>
  <si>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</si>
  <si>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</si>
  <si>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</si>
  <si>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</si>
  <si>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</si>
  <si>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</si>
  <si>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</si>
  <si>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</si>
  <si>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</si>
  <si>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</si>
  <si>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</si>
  <si>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</si>
  <si>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</si>
  <si>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</si>
  <si>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</si>
  <si>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</si>
  <si>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</si>
  <si>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</si>
  <si>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</si>
  <si>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</si>
  <si>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</si>
  <si>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</si>
  <si>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</si>
  <si>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</si>
  <si>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</si>
  <si>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</si>
  <si>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</si>
  <si>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</si>
  <si>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</si>
  <si>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</si>
  <si>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</si>
  <si>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</si>
  <si>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</si>
  <si>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</si>
  <si>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</si>
  <si>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</si>
  <si>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</si>
  <si>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</si>
  <si>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</si>
  <si>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</si>
  <si>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</si>
  <si>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</si>
  <si>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</si>
  <si>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</si>
  <si>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</si>
  <si>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</si>
  <si>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</si>
  <si>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</si>
  <si>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</si>
  <si>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</si>
  <si>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</si>
  <si>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</si>
  <si>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</si>
  <si>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</si>
  <si>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</si>
  <si>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</si>
  <si>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</si>
  <si>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</si>
  <si>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</si>
  <si>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</si>
  <si>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</si>
  <si>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</si>
  <si>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</si>
  <si>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</si>
  <si>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</si>
  <si>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</si>
  <si>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</si>
  <si>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</si>
  <si>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</si>
  <si>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</si>
  <si>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</si>
  <si>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</si>
  <si>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</si>
  <si>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</si>
  <si>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</si>
  <si>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</si>
  <si>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</si>
  <si>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</si>
  <si>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</si>
  <si>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</si>
  <si>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</si>
  <si>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</si>
  <si>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</si>
  <si>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</si>
  <si>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</si>
  <si>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</si>
  <si>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</si>
  <si>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</si>
  <si>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</si>
  <si>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</si>
  <si>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</si>
  <si>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</si>
  <si>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</si>
  <si>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</si>
  <si>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</si>
  <si>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</si>
  <si>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</si>
  <si>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</si>
  <si>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</si>
  <si>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</si>
  <si>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</si>
  <si>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</si>
  <si>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</si>
  <si>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</si>
  <si>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</si>
  <si>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</si>
  <si>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</si>
  <si>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</si>
  <si>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</si>
  <si>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</si>
  <si>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</si>
  <si>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</si>
  <si>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</si>
  <si>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</si>
  <si>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</si>
  <si>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</si>
  <si>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</si>
  <si>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</si>
  <si>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</si>
  <si>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</si>
  <si>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</si>
  <si>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</si>
  <si>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</si>
  <si>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</si>
  <si>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</si>
  <si>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</si>
  <si>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</si>
  <si>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</si>
  <si>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</si>
  <si>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</si>
  <si>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</si>
  <si>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</si>
  <si>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</si>
  <si>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</si>
  <si>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</si>
  <si>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</si>
  <si>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</si>
  <si>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</si>
  <si>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</si>
  <si>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</si>
  <si>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</si>
  <si>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</si>
  <si>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</si>
  <si>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</si>
  <si>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</si>
  <si>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</si>
  <si>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</si>
  <si>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</si>
  <si>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</si>
  <si>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</si>
  <si>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</si>
  <si>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</si>
  <si>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</si>
  <si>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</si>
  <si>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</si>
  <si>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</si>
  <si>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</si>
  <si>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</si>
  <si>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</si>
  <si>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</si>
  <si>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</si>
  <si>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</si>
  <si>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</si>
  <si>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</si>
  <si>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</si>
  <si>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</si>
  <si>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</si>
  <si>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</si>
  <si>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</si>
  <si>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</si>
  <si>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</si>
  <si>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</si>
  <si>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</si>
  <si>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</si>
  <si>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</si>
  <si>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</si>
  <si>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</si>
  <si>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</si>
  <si>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</si>
  <si>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</si>
  <si>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</si>
  <si>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</si>
  <si>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</si>
  <si>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</si>
  <si>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</si>
  <si>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</si>
  <si>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</si>
  <si>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</si>
  <si>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</si>
  <si>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</si>
  <si>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</si>
  <si>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</si>
  <si>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</si>
  <si>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</si>
  <si>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</si>
  <si>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</si>
  <si>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</si>
  <si>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</si>
  <si>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</si>
  <si>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</si>
  <si>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</si>
  <si>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</si>
  <si>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</si>
  <si>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</si>
  <si>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</si>
  <si>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</si>
  <si>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</si>
  <si>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</si>
  <si>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</si>
  <si>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</si>
  <si>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</si>
  <si>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</si>
  <si>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</si>
  <si>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</si>
  <si>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</si>
  <si>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</si>
  <si>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</si>
  <si>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</si>
  <si>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</si>
  <si>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</si>
  <si>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</si>
  <si>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</si>
  <si>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</si>
  <si>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</si>
  <si>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</si>
  <si>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</si>
  <si>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</si>
  <si>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</si>
  <si>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</si>
  <si>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</si>
  <si>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</si>
  <si>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</si>
  <si>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</si>
  <si>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</si>
  <si>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</si>
  <si>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</si>
  <si>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</si>
  <si>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</si>
  <si>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</si>
  <si>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</si>
  <si>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</si>
  <si>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</si>
  <si>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</si>
  <si>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</si>
  <si>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</si>
  <si>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</si>
  <si>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</si>
  <si>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</si>
  <si>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</si>
  <si>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</si>
  <si>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</si>
  <si>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</si>
  <si>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</si>
  <si>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</si>
  <si>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</si>
  <si>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</si>
  <si>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</si>
  <si>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</si>
  <si>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</si>
  <si>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</si>
  <si>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</si>
  <si>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</si>
  <si>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</si>
  <si>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</si>
  <si>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</si>
  <si>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</si>
  <si>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</si>
  <si>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</si>
  <si>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</si>
  <si>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</si>
  <si>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</si>
  <si>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</si>
  <si>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</si>
  <si>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</si>
  <si>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</si>
  <si>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</si>
  <si>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</si>
  <si>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</si>
  <si>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</si>
  <si>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</si>
  <si>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</si>
  <si>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</si>
  <si>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</si>
  <si>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</si>
  <si>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</si>
  <si>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</si>
  <si>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</si>
  <si>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</si>
  <si>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</si>
  <si>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</si>
  <si>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</si>
  <si>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</si>
  <si>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</si>
  <si>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</si>
  <si>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</si>
  <si>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</si>
  <si>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</si>
  <si>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</si>
  <si>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</si>
  <si>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</si>
  <si>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</si>
  <si>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</si>
  <si>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</si>
  <si>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</si>
  <si>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</si>
  <si>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</si>
  <si>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</si>
  <si>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</si>
  <si>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</si>
  <si>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</si>
  <si>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</si>
  <si>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</si>
  <si>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</si>
  <si>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</si>
  <si>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</si>
  <si>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</si>
  <si>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</si>
  <si>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</si>
  <si>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</si>
  <si>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</si>
  <si>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</si>
  <si>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</si>
  <si>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</si>
  <si>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</si>
  <si>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</si>
  <si>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</si>
  <si>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</si>
  <si>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</si>
  <si>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</si>
  <si>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</si>
  <si>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</si>
  <si>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</si>
  <si>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</si>
  <si>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</si>
  <si>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</si>
  <si>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</si>
  <si>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</si>
  <si>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</si>
  <si>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</si>
  <si>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</si>
  <si>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</si>
  <si>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</si>
  <si>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</si>
  <si>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</si>
  <si>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</si>
  <si>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</si>
  <si>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</si>
  <si>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</si>
  <si>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</si>
  <si>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</si>
  <si>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</si>
  <si>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</si>
  <si>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</si>
  <si>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</si>
  <si>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</si>
  <si>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</si>
  <si>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</si>
  <si>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</si>
  <si>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</si>
  <si>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</si>
  <si>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</si>
  <si>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</si>
  <si>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</si>
  <si>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</si>
  <si>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</si>
  <si>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</si>
  <si>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</si>
  <si>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</si>
  <si>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</si>
  <si>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</si>
  <si>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</si>
  <si>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</si>
  <si>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</si>
  <si>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</si>
  <si>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</si>
  <si>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</si>
  <si>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</si>
  <si>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</si>
  <si>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</si>
  <si>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</si>
  <si>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</si>
  <si>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</si>
  <si>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</si>
  <si>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</si>
  <si>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</si>
  <si>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</si>
  <si>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</si>
  <si>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</si>
  <si>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</si>
  <si>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</si>
  <si>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</si>
  <si>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</si>
  <si>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</si>
  <si>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</si>
  <si>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</si>
  <si>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</si>
  <si>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</si>
  <si>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</si>
  <si>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</si>
  <si>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</si>
  <si>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</si>
  <si>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</si>
  <si>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</si>
  <si>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</si>
  <si>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</si>
  <si>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</si>
  <si>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</si>
  <si>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</si>
  <si>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</si>
  <si>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</si>
  <si>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</si>
  <si>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</si>
  <si>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</si>
  <si>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</si>
  <si>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</si>
  <si>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</si>
  <si>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</si>
  <si>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</si>
  <si>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</si>
  <si>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</si>
  <si>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</si>
  <si>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</si>
  <si>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</si>
  <si>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</si>
  <si>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</si>
  <si>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</si>
  <si>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</si>
  <si>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</si>
  <si>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</si>
  <si>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</si>
  <si>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</si>
  <si>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</si>
  <si>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</si>
  <si>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</si>
  <si>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</si>
  <si>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</si>
  <si>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</si>
  <si>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</si>
  <si>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</si>
  <si>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</si>
  <si>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</si>
  <si>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</si>
  <si>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</si>
  <si>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</si>
  <si>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</si>
  <si>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</si>
  <si>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</si>
  <si>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</si>
  <si>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</si>
  <si>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</si>
  <si>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</si>
  <si>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</si>
  <si>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</si>
  <si>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</si>
  <si>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</si>
  <si>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</si>
  <si>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</si>
  <si>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</si>
  <si>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</si>
  <si>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</si>
  <si>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</si>
  <si>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</si>
  <si>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</si>
  <si>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</si>
  <si>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</si>
  <si>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</si>
  <si>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</si>
  <si>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</si>
  <si>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</si>
  <si>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</si>
  <si>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</si>
  <si>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</si>
  <si>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</si>
  <si>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</si>
  <si>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</si>
  <si>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</si>
  <si>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</si>
  <si>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</si>
  <si>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</si>
  <si>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</si>
  <si>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</si>
  <si>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</si>
  <si>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</si>
  <si>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</si>
  <si>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</si>
  <si>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</si>
  <si>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</si>
  <si>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</si>
  <si>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</si>
  <si>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</si>
  <si>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</si>
  <si>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</si>
  <si>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</si>
  <si>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</si>
  <si>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</si>
  <si>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</si>
  <si>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</si>
  <si>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</si>
  <si>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</si>
  <si>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</si>
  <si>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Clyde Mount Hope CD # 14 </t>
  </si>
  <si>
    <t xml:space="preserve">Cloud County </t>
  </si>
  <si>
    <t>17-1344</t>
  </si>
  <si>
    <t>No Fund Warrant</t>
  </si>
  <si>
    <t>17-1374</t>
  </si>
  <si>
    <t xml:space="preserve">Machinery &amp; Equipment </t>
  </si>
  <si>
    <t xml:space="preserve">Capital Improvement </t>
  </si>
  <si>
    <t xml:space="preserve">General </t>
  </si>
  <si>
    <t>Machinery &amp; Equipment</t>
  </si>
  <si>
    <t xml:space="preserve">Administration </t>
  </si>
  <si>
    <t>Mowing</t>
  </si>
  <si>
    <t xml:space="preserve">Transfer to Capital Improvement </t>
  </si>
  <si>
    <t xml:space="preserve">Publication </t>
  </si>
  <si>
    <t>Employer Share Soc Sec/Medicare</t>
  </si>
  <si>
    <t>Repairs and Supplies</t>
  </si>
  <si>
    <t xml:space="preserve">Miscellaneous (Reserve) </t>
  </si>
  <si>
    <t xml:space="preserve">Mt. Calvary Cemetery </t>
  </si>
  <si>
    <t>Donation</t>
  </si>
  <si>
    <t>Cap. Improvement</t>
  </si>
  <si>
    <t>From General Fund</t>
  </si>
  <si>
    <t>Cathy Koch</t>
  </si>
  <si>
    <t>Treasurer</t>
  </si>
  <si>
    <t>___________________</t>
  </si>
  <si>
    <t>_________</t>
  </si>
  <si>
    <t>__________________________________________</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</si>
</sst>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305</v>
      </c>
    </row>
    <row r="2" ht="16.5">
      <c r="A2" s="95"/>
    </row>
    <row r="3" ht="31.5">
      <c r="A3" s="317" t="s">
        <v>306</v>
      </c>
    </row>
    <row r="4" ht="16.5">
      <c r="A4" s="318"/>
    </row>
    <row r="5" ht="16.5">
      <c r="A5" s="95"/>
    </row>
    <row r="6" ht="47.25">
      <c r="A6" s="317" t="s">
        <v>307</v>
      </c>
    </row>
    <row r="7" ht="16.5">
      <c r="A7" s="318"/>
    </row>
    <row r="8" ht="16.5">
      <c r="A8" s="95"/>
    </row>
    <row r="9" ht="47.25">
      <c r="A9" s="317" t="s">
        <v>308</v>
      </c>
    </row>
    <row r="10" ht="16.5">
      <c r="A10" s="318"/>
    </row>
    <row r="11" ht="16.5">
      <c r="A11" s="318"/>
    </row>
    <row r="12" ht="31.5">
      <c r="A12" s="317" t="s">
        <v>309</v>
      </c>
    </row>
    <row r="13" ht="16.5">
      <c r="A13" s="95"/>
    </row>
    <row r="14" ht="16.5">
      <c r="A14" s="95"/>
    </row>
    <row r="15" ht="47.25">
      <c r="A15" s="317" t="s">
        <v>310</v>
      </c>
    </row>
    <row r="16" ht="16.5">
      <c r="A16" s="95"/>
    </row>
    <row r="17" ht="16.5">
      <c r="A17" s="95"/>
    </row>
    <row r="18" ht="63">
      <c r="A18" s="468" t="s">
        <v>654</v>
      </c>
    </row>
    <row r="19" ht="16.5">
      <c r="A19" s="95"/>
    </row>
    <row r="20" ht="16.5">
      <c r="A20" s="95"/>
    </row>
    <row r="21" ht="47.25">
      <c r="A21" s="338" t="s">
        <v>311</v>
      </c>
    </row>
    <row r="22" ht="16.5">
      <c r="A22" s="318"/>
    </row>
    <row r="23" ht="16.5">
      <c r="A23" s="95"/>
    </row>
    <row r="24" ht="47.25">
      <c r="A24" s="317" t="s">
        <v>312</v>
      </c>
    </row>
    <row r="25" ht="31.5">
      <c r="A25" s="319" t="s">
        <v>313</v>
      </c>
    </row>
    <row r="26" ht="16.5">
      <c r="A26" s="318"/>
    </row>
    <row r="27" ht="16.5">
      <c r="A27" s="95"/>
    </row>
    <row r="28" ht="63">
      <c r="A28" s="468" t="s">
        <v>655</v>
      </c>
    </row>
    <row r="29" ht="16.5">
      <c r="A29" s="95"/>
    </row>
    <row r="30" ht="16.5">
      <c r="A30" s="95"/>
    </row>
    <row r="31" ht="63">
      <c r="A31" s="468" t="s">
        <v>656</v>
      </c>
    </row>
    <row r="32" ht="16.5">
      <c r="A32" s="95"/>
    </row>
    <row r="33" ht="16.5">
      <c r="A33" s="95"/>
    </row>
    <row r="34" ht="31.5">
      <c r="A34" s="469" t="s">
        <v>657</v>
      </c>
    </row>
    <row r="35" ht="16.5">
      <c r="A35" s="95"/>
    </row>
    <row r="36" ht="16.5">
      <c r="A36" s="95"/>
    </row>
    <row r="37" ht="63">
      <c r="A37" s="317" t="s">
        <v>314</v>
      </c>
    </row>
    <row r="38" ht="16.5">
      <c r="A38" s="318"/>
    </row>
    <row r="39" ht="16.5">
      <c r="A39" s="318"/>
    </row>
    <row r="40" ht="47.25">
      <c r="A40" s="338" t="s">
        <v>315</v>
      </c>
    </row>
    <row r="41" ht="16.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Clyde Mount Hope CD # 14 </v>
      </c>
      <c r="C1" s="18"/>
      <c r="D1" s="18"/>
      <c r="E1" s="18"/>
      <c r="F1" s="18"/>
      <c r="G1" s="18"/>
      <c r="H1" s="18"/>
      <c r="I1" s="18"/>
      <c r="J1" s="18"/>
      <c r="K1" s="18"/>
      <c r="L1" s="182">
        <f>inputPrYr!D6</f>
        <v>2015</v>
      </c>
    </row>
    <row r="2" spans="2:12" ht="15.75">
      <c r="B2" s="18" t="str">
        <f>inputPrYr!$D$4</f>
        <v>Cloud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2014</v>
      </c>
      <c r="J7" s="190"/>
      <c r="K7" s="189">
        <f>L1</f>
        <v>2015</v>
      </c>
      <c r="L7" s="190"/>
    </row>
    <row r="8" spans="2:12" s="185" customFormat="1" ht="15.75">
      <c r="B8" s="114" t="s">
        <v>725</v>
      </c>
      <c r="C8" s="114" t="s">
        <v>65</v>
      </c>
      <c r="D8" s="114" t="s">
        <v>43</v>
      </c>
      <c r="E8" s="114" t="s">
        <v>66</v>
      </c>
      <c r="F8" s="191" t="str">
        <f>CONCATENATE("Jan 1,",L1-1,"")</f>
        <v>Jan 1,2014</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1,2014</v>
      </c>
      <c r="H28" s="114">
        <f>L1-1</f>
        <v>2014</v>
      </c>
      <c r="I28" s="114">
        <f>L1</f>
        <v>2015</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6.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7">
      <selection activeCell="E60" sqref="E60"/>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Clyde Mount Hope CD # 14 </v>
      </c>
      <c r="C1" s="222"/>
      <c r="D1" s="18"/>
      <c r="E1" s="182"/>
    </row>
    <row r="2" spans="2:5" ht="15.75">
      <c r="B2" s="18" t="str">
        <f>inputPrYr!D4</f>
        <v>Cloud County </v>
      </c>
      <c r="C2" s="222"/>
      <c r="D2" s="18"/>
      <c r="E2" s="138"/>
    </row>
    <row r="3" spans="2:6" ht="15.75">
      <c r="B3" s="490" t="s">
        <v>81</v>
      </c>
      <c r="C3" s="222"/>
      <c r="D3" s="18"/>
      <c r="E3" s="182">
        <f>inputPrYr!$D$6</f>
        <v>2015</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2013</v>
      </c>
      <c r="D6" s="372" t="str">
        <f>CONCATENATE("Estimate for ",E3-1,"")</f>
        <v>Estimate for 2014</v>
      </c>
      <c r="E6" s="224" t="str">
        <f>CONCATENATE("Year for ",E3,"")</f>
        <v>Year for 2015</v>
      </c>
    </row>
    <row r="7" spans="2:5" ht="15.75">
      <c r="B7" s="119" t="s">
        <v>125</v>
      </c>
      <c r="C7" s="366">
        <v>15501</v>
      </c>
      <c r="D7" s="373">
        <f>C62</f>
        <v>18544</v>
      </c>
      <c r="E7" s="45">
        <f>D62</f>
        <v>8937</v>
      </c>
    </row>
    <row r="8" spans="2:5" ht="15.75">
      <c r="B8" s="226" t="s">
        <v>127</v>
      </c>
      <c r="C8" s="227"/>
      <c r="D8" s="227"/>
      <c r="E8" s="123"/>
    </row>
    <row r="9" spans="2:5" ht="15.75">
      <c r="B9" s="119" t="s">
        <v>33</v>
      </c>
      <c r="C9" s="366">
        <v>8025</v>
      </c>
      <c r="D9" s="373">
        <f>IF(inputPrYr!H18&gt;0,inputPrYr!G19,inputPrYr!E19)</f>
        <v>4350</v>
      </c>
      <c r="E9" s="128" t="s">
        <v>28</v>
      </c>
    </row>
    <row r="10" spans="2:5" ht="15.75">
      <c r="B10" s="119" t="s">
        <v>34</v>
      </c>
      <c r="C10" s="366">
        <v>148</v>
      </c>
      <c r="D10" s="366"/>
      <c r="E10" s="198"/>
    </row>
    <row r="11" spans="2:5" ht="15.75">
      <c r="B11" s="119" t="s">
        <v>35</v>
      </c>
      <c r="C11" s="366">
        <v>2143</v>
      </c>
      <c r="D11" s="366">
        <v>3086</v>
      </c>
      <c r="E11" s="45">
        <f>mvalloc!D11</f>
        <v>918</v>
      </c>
    </row>
    <row r="12" spans="2:5" ht="15.75">
      <c r="B12" s="119" t="s">
        <v>36</v>
      </c>
      <c r="C12" s="366">
        <v>38</v>
      </c>
      <c r="D12" s="366">
        <v>60</v>
      </c>
      <c r="E12" s="45">
        <f>mvalloc!E11</f>
        <v>17</v>
      </c>
    </row>
    <row r="13" spans="2:5" ht="15.75">
      <c r="B13" s="227" t="s">
        <v>109</v>
      </c>
      <c r="C13" s="366">
        <v>142</v>
      </c>
      <c r="D13" s="366">
        <v>247</v>
      </c>
      <c r="E13" s="45">
        <f>mvalloc!F11</f>
        <v>87</v>
      </c>
    </row>
    <row r="14" spans="2:5" ht="15.75">
      <c r="B14" s="227" t="s">
        <v>159</v>
      </c>
      <c r="C14" s="366"/>
      <c r="D14" s="366"/>
      <c r="E14" s="45">
        <f>inputOth!E30</f>
        <v>0</v>
      </c>
    </row>
    <row r="15" spans="2:5" ht="15.75">
      <c r="B15" s="228" t="s">
        <v>37</v>
      </c>
      <c r="C15" s="366"/>
      <c r="D15" s="366"/>
      <c r="E15" s="198"/>
    </row>
    <row r="16" spans="2:5" ht="15.75">
      <c r="B16" s="228" t="s">
        <v>808</v>
      </c>
      <c r="C16" s="366">
        <v>2944</v>
      </c>
      <c r="D16" s="366"/>
      <c r="E16" s="198"/>
    </row>
    <row r="17" spans="2:5" ht="15.75">
      <c r="B17" s="228" t="s">
        <v>809</v>
      </c>
      <c r="C17" s="366">
        <v>500</v>
      </c>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13940</v>
      </c>
      <c r="D33" s="368">
        <f>SUM(D9:D31)</f>
        <v>7743</v>
      </c>
      <c r="E33" s="234">
        <f>SUM(E9:E31)</f>
        <v>1022</v>
      </c>
    </row>
    <row r="34" spans="2:5" ht="15.75">
      <c r="B34" s="233" t="s">
        <v>40</v>
      </c>
      <c r="C34" s="368">
        <f>C7+C33</f>
        <v>29441</v>
      </c>
      <c r="D34" s="368">
        <f>D7+D33</f>
        <v>26287</v>
      </c>
      <c r="E34" s="234">
        <f>E7+E33</f>
        <v>9959</v>
      </c>
    </row>
    <row r="35" spans="2:5" ht="15.75">
      <c r="B35" s="119" t="s">
        <v>41</v>
      </c>
      <c r="C35" s="121"/>
      <c r="D35" s="121"/>
      <c r="E35" s="36"/>
    </row>
    <row r="36" spans="2:5" ht="15.75">
      <c r="B36" s="228"/>
      <c r="C36" s="366"/>
      <c r="D36" s="366"/>
      <c r="E36" s="198"/>
    </row>
    <row r="37" spans="2:5" ht="15.75">
      <c r="B37" s="228" t="s">
        <v>801</v>
      </c>
      <c r="C37" s="366">
        <v>1800</v>
      </c>
      <c r="D37" s="366">
        <v>500</v>
      </c>
      <c r="E37" s="198">
        <v>500</v>
      </c>
    </row>
    <row r="38" spans="2:5" ht="15.75">
      <c r="B38" s="228" t="s">
        <v>802</v>
      </c>
      <c r="C38" s="366">
        <v>6540</v>
      </c>
      <c r="D38" s="366">
        <v>10500</v>
      </c>
      <c r="E38" s="198">
        <v>10500</v>
      </c>
    </row>
    <row r="39" spans="2:5" ht="15.75">
      <c r="B39" s="228" t="s">
        <v>803</v>
      </c>
      <c r="C39" s="366">
        <v>2000</v>
      </c>
      <c r="D39" s="366">
        <v>2000</v>
      </c>
      <c r="E39" s="198">
        <v>2000</v>
      </c>
    </row>
    <row r="40" spans="2:5" ht="15.75">
      <c r="B40" s="228" t="s">
        <v>804</v>
      </c>
      <c r="C40" s="366">
        <v>77</v>
      </c>
      <c r="D40" s="366">
        <v>100</v>
      </c>
      <c r="E40" s="198">
        <v>100</v>
      </c>
    </row>
    <row r="41" spans="2:5" ht="15.75">
      <c r="B41" s="228" t="s">
        <v>805</v>
      </c>
      <c r="C41" s="366">
        <v>480</v>
      </c>
      <c r="D41" s="366">
        <v>750</v>
      </c>
      <c r="E41" s="198">
        <v>750</v>
      </c>
    </row>
    <row r="42" spans="2:5" ht="15.75">
      <c r="B42" s="228" t="s">
        <v>806</v>
      </c>
      <c r="C42" s="366"/>
      <c r="D42" s="366">
        <v>2500</v>
      </c>
      <c r="E42" s="198">
        <v>2500</v>
      </c>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6.5">
      <c r="B52" s="228"/>
      <c r="C52" s="366"/>
      <c r="D52" s="366"/>
      <c r="E52" s="198"/>
      <c r="F52" s="16"/>
      <c r="G52" s="698" t="str">
        <f>CONCATENATE("Desired Carryover Into ",E3+1,"")</f>
        <v>Desired Carryover Into 2016</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2015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6.5">
      <c r="B59" s="121" t="s">
        <v>218</v>
      </c>
      <c r="C59" s="366"/>
      <c r="D59" s="366">
        <v>1000</v>
      </c>
      <c r="E59" s="35">
        <v>1000</v>
      </c>
      <c r="F59" s="16"/>
      <c r="G59" s="698" t="str">
        <f>CONCATENATE("Projected Carryover Into ",E3+1,"")</f>
        <v>Projected Carryover Into 2016</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10897</v>
      </c>
      <c r="D61" s="368">
        <f>SUM(D36:D59)</f>
        <v>17350</v>
      </c>
      <c r="E61" s="234">
        <f>SUM(E36:E59)</f>
        <v>17350</v>
      </c>
      <c r="F61" s="16"/>
      <c r="G61" s="489">
        <f>D62</f>
        <v>8937</v>
      </c>
      <c r="H61" s="488" t="str">
        <f>CONCATENATE("",E3-1," Ending Cash Balance (est.)")</f>
        <v>2014 Ending Cash Balance (est.)</v>
      </c>
      <c r="I61" s="584"/>
      <c r="J61" s="483"/>
      <c r="K61" s="16"/>
    </row>
    <row r="62" spans="2:11" ht="15.75">
      <c r="B62" s="119" t="s">
        <v>126</v>
      </c>
      <c r="C62" s="369">
        <f>C34-C61</f>
        <v>18544</v>
      </c>
      <c r="D62" s="369">
        <f>D34-D61</f>
        <v>8937</v>
      </c>
      <c r="E62" s="128" t="s">
        <v>28</v>
      </c>
      <c r="F62" s="16"/>
      <c r="G62" s="489">
        <f>E33</f>
        <v>1022</v>
      </c>
      <c r="H62" s="482" t="str">
        <f>CONCATENATE("",E3," Non-AV Receipts (est.)")</f>
        <v>2015 Non-AV Receipts (est.)</v>
      </c>
      <c r="I62" s="584"/>
      <c r="J62" s="483"/>
      <c r="K62" s="16"/>
    </row>
    <row r="63" spans="2:11" ht="15.75">
      <c r="B63" s="138" t="str">
        <f>CONCATENATE("",E3-2,"/",E3-1,"/",E1," Budget Authority Amount:")</f>
        <v>2013/2014/ Budget Authority Amount:</v>
      </c>
      <c r="C63" s="120">
        <f>inputOth!B41</f>
        <v>16350</v>
      </c>
      <c r="D63" s="387">
        <f>inputPrYr!D19</f>
        <v>17350</v>
      </c>
      <c r="E63" s="243">
        <f>E61</f>
        <v>17350</v>
      </c>
      <c r="F63" s="251"/>
      <c r="G63" s="481">
        <f>IF(E67&gt;0,E66,E68)</f>
        <v>7391</v>
      </c>
      <c r="H63" s="482" t="str">
        <f>CONCATENATE("",E3," Ad Valorem Tax (est.)")</f>
        <v>2015 Ad Valorem Tax (est.)</v>
      </c>
      <c r="I63" s="482"/>
      <c r="J63" s="483"/>
      <c r="K63" s="585">
        <f>IF(G63=E68,"","Note: Does not include Delinquent Taxes")</f>
      </c>
    </row>
    <row r="64" spans="2:11" ht="16.5">
      <c r="B64" s="138"/>
      <c r="C64" s="694" t="s">
        <v>658</v>
      </c>
      <c r="D64" s="695"/>
      <c r="E64" s="35"/>
      <c r="F64" s="586">
        <f>IF(E61/0.95-E61&lt;E64,"Exceeds 5%","")</f>
      </c>
      <c r="G64" s="489">
        <f>SUM(G61:G63)</f>
        <v>17350</v>
      </c>
      <c r="H64" s="482" t="str">
        <f>CONCATENATE("Total ",E3," Resources Available")</f>
        <v>Total 2015 Resources Available</v>
      </c>
      <c r="I64" s="584"/>
      <c r="J64" s="483"/>
      <c r="K64" s="16"/>
    </row>
    <row r="65" spans="2:11" ht="15.75">
      <c r="B65" s="385" t="str">
        <f>CONCATENATE(C81,"     ",D81)</f>
        <v>     </v>
      </c>
      <c r="C65" s="696" t="s">
        <v>659</v>
      </c>
      <c r="D65" s="697"/>
      <c r="E65" s="45">
        <f>E61+E64</f>
        <v>17350</v>
      </c>
      <c r="F65" s="16"/>
      <c r="G65" s="480"/>
      <c r="H65" s="482"/>
      <c r="I65" s="482"/>
      <c r="J65" s="483"/>
      <c r="K65" s="16"/>
    </row>
    <row r="66" spans="2:11" ht="15.75">
      <c r="B66" s="385" t="str">
        <f>CONCATENATE(C82,"     ",D82)</f>
        <v>     </v>
      </c>
      <c r="C66" s="493"/>
      <c r="D66" s="492" t="s">
        <v>660</v>
      </c>
      <c r="E66" s="42">
        <f>IF(E65-E34&gt;0,E65-E34,0)</f>
        <v>7391</v>
      </c>
      <c r="F66" s="16"/>
      <c r="G66" s="481">
        <f>ROUND(C61*0.05+C61,0)</f>
        <v>11442</v>
      </c>
      <c r="H66" s="482" t="str">
        <f>CONCATENATE("Less ",E3-2," Expenditures + 5%")</f>
        <v>Less 2013 Expenditures + 5%</v>
      </c>
      <c r="I66" s="584"/>
      <c r="J66" s="483"/>
      <c r="K66" s="16"/>
    </row>
    <row r="67" spans="2:11" ht="15.75">
      <c r="B67" s="155"/>
      <c r="C67" s="491" t="s">
        <v>661</v>
      </c>
      <c r="D67" s="596">
        <f>inputOth!$E$35</f>
        <v>0</v>
      </c>
      <c r="E67" s="45">
        <f>ROUND(IF(D67&gt;0,(E66*D67),0),0)</f>
        <v>0</v>
      </c>
      <c r="F67" s="16"/>
      <c r="G67" s="479">
        <f>G64-G66</f>
        <v>5908</v>
      </c>
      <c r="H67" s="478" t="str">
        <f>CONCATENATE("Projected ",E3+1," Carryover (est.)")</f>
        <v>Projected 2016 Carryover (est.)</v>
      </c>
      <c r="I67" s="587"/>
      <c r="J67" s="477"/>
      <c r="K67" s="16"/>
    </row>
    <row r="68" spans="2:11" ht="15.75">
      <c r="B68" s="18"/>
      <c r="C68" s="692" t="str">
        <f>CONCATENATE("Amount of  ",$E$3-1," Ad Valorem Tax")</f>
        <v>Amount of  2014 Ad Valorem Tax</v>
      </c>
      <c r="D68" s="693"/>
      <c r="E68" s="42">
        <f>E66+E67</f>
        <v>7391</v>
      </c>
      <c r="F68" s="16"/>
      <c r="G68" s="16"/>
      <c r="H68" s="16"/>
      <c r="I68" s="16"/>
      <c r="J68" s="16"/>
      <c r="K68" s="16"/>
    </row>
    <row r="69" spans="2:11" ht="16.5">
      <c r="B69" s="18"/>
      <c r="C69" s="18"/>
      <c r="D69" s="18"/>
      <c r="E69" s="18"/>
      <c r="F69" s="16"/>
      <c r="G69" s="689" t="s">
        <v>732</v>
      </c>
      <c r="H69" s="690"/>
      <c r="I69" s="690"/>
      <c r="J69" s="691"/>
      <c r="K69" s="16"/>
    </row>
    <row r="70" spans="2:11" ht="16.5">
      <c r="B70" s="18"/>
      <c r="C70" s="18"/>
      <c r="D70" s="18"/>
      <c r="E70" s="18"/>
      <c r="F70" s="16"/>
      <c r="G70" s="588"/>
      <c r="H70" s="488"/>
      <c r="I70" s="570"/>
      <c r="J70" s="589"/>
      <c r="K70" s="16"/>
    </row>
    <row r="71" spans="2:11" ht="16.5">
      <c r="B71" s="18"/>
      <c r="C71" s="18"/>
      <c r="D71" s="18"/>
      <c r="E71" s="18"/>
      <c r="F71" s="16"/>
      <c r="G71" s="590">
        <f>summ!H16</f>
        <v>1.616</v>
      </c>
      <c r="H71" s="488" t="str">
        <f>CONCATENATE("",E3," Fund Mill Rate")</f>
        <v>2015 Fund Mill Rate</v>
      </c>
      <c r="I71" s="570"/>
      <c r="J71" s="589"/>
      <c r="K71" s="16"/>
    </row>
    <row r="72" spans="2:11" ht="16.5">
      <c r="B72" s="18"/>
      <c r="C72" s="18"/>
      <c r="D72" s="18"/>
      <c r="E72" s="18"/>
      <c r="F72" s="591"/>
      <c r="G72" s="592">
        <f>summ!E16</f>
        <v>0.956</v>
      </c>
      <c r="H72" s="488" t="str">
        <f>CONCATENATE("",E3-1," Fund Mill Rate")</f>
        <v>2014 Fund Mill Rate</v>
      </c>
      <c r="I72" s="570"/>
      <c r="J72" s="589"/>
      <c r="K72" s="16"/>
    </row>
    <row r="73" spans="2:11" ht="16.5">
      <c r="B73" s="18"/>
      <c r="C73" s="222"/>
      <c r="D73" s="222"/>
      <c r="E73" s="222"/>
      <c r="F73" s="575"/>
      <c r="G73" s="593">
        <f>summ!H23</f>
        <v>1.725</v>
      </c>
      <c r="H73" s="488" t="str">
        <f>CONCATENATE("Total ",E3," Mill Rate")</f>
        <v>Total 2015 Mill Rate</v>
      </c>
      <c r="I73" s="570"/>
      <c r="J73" s="589"/>
      <c r="K73" s="16"/>
    </row>
    <row r="74" spans="2:11" ht="16.5">
      <c r="B74" s="138"/>
      <c r="C74" s="18" t="s">
        <v>227</v>
      </c>
      <c r="D74" s="18"/>
      <c r="E74" s="18"/>
      <c r="F74" s="575"/>
      <c r="G74" s="592">
        <f>summ!E23</f>
        <v>2.083</v>
      </c>
      <c r="H74" s="594" t="str">
        <f>CONCATENATE("Total ",E3-1," Mill Rate")</f>
        <v>Total 2014 Mill Rate</v>
      </c>
      <c r="I74" s="595"/>
      <c r="J74" s="78"/>
      <c r="K74" s="16"/>
    </row>
    <row r="76" spans="2:9" ht="16.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Clyde Mount Hope CD # 14 </v>
      </c>
      <c r="C1" s="18"/>
      <c r="D1" s="18"/>
      <c r="E1" s="236">
        <f>inputPrYr!$D$6</f>
        <v>2015</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2013</v>
      </c>
      <c r="D5" s="378" t="str">
        <f>CONCATENATE("Estimate for ",E1-1,"")</f>
        <v>Estimate for 2014</v>
      </c>
      <c r="E5" s="170" t="str">
        <f>CONCATENATE("Year for ",E1,"")</f>
        <v>Year for 2015</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6.5">
      <c r="B44" s="250"/>
      <c r="C44" s="366"/>
      <c r="D44" s="366"/>
      <c r="E44" s="242"/>
      <c r="F44" s="597"/>
      <c r="G44" s="698" t="str">
        <f>CONCATENATE("Desired Carryover Into ",E1+1,"")</f>
        <v>Desired Carryover Into 2016</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2015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6.5">
      <c r="B51" s="121" t="s">
        <v>218</v>
      </c>
      <c r="C51" s="375"/>
      <c r="D51" s="375"/>
      <c r="E51" s="242"/>
      <c r="F51" s="597"/>
      <c r="G51" s="698" t="str">
        <f>CONCATENATE("Projected Carryover Into ",E1+1,"")</f>
        <v>Projected Carryover Into 2016</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2014 Ending Cash Balance (est.)</v>
      </c>
      <c r="I53" s="584"/>
      <c r="J53" s="599"/>
      <c r="K53" s="597"/>
    </row>
    <row r="54" spans="2:11" ht="16.5">
      <c r="B54" s="113" t="s">
        <v>126</v>
      </c>
      <c r="C54" s="374">
        <f>C30-C53</f>
        <v>0</v>
      </c>
      <c r="D54" s="374">
        <f>D30-D53</f>
        <v>0</v>
      </c>
      <c r="E54" s="241" t="s">
        <v>28</v>
      </c>
      <c r="F54"/>
      <c r="G54" s="489">
        <f>E29</f>
        <v>0</v>
      </c>
      <c r="H54" s="482" t="str">
        <f>CONCATENATE("",E1," Non-AV Receipts (est.)")</f>
        <v>2015 Non-AV Receipts (est.)</v>
      </c>
      <c r="I54" s="584"/>
      <c r="J54" s="599"/>
      <c r="K54" s="597"/>
    </row>
    <row r="55" spans="2:11" ht="15.75">
      <c r="B55" s="138" t="str">
        <f>CONCATENATE("",E1-2,"/",E1-1," Budget Authority Amount:")</f>
        <v>2013/2014 Budget Authority Amount:</v>
      </c>
      <c r="C55" s="120">
        <f>inputOth!B42</f>
        <v>0</v>
      </c>
      <c r="D55" s="387">
        <f>inputPrYr!D20</f>
        <v>0</v>
      </c>
      <c r="E55" s="241" t="s">
        <v>28</v>
      </c>
      <c r="F55" s="251"/>
      <c r="G55" s="481">
        <f>IF(E59&gt;0,E58,E60)</f>
        <v>0</v>
      </c>
      <c r="H55" s="482" t="str">
        <f>CONCATENATE("",E1," Ad Valorem Tax (est.)")</f>
        <v>2015 Ad Valorem Tax (est.)</v>
      </c>
      <c r="I55" s="584"/>
      <c r="J55" s="599"/>
      <c r="K55" s="585">
        <f>IF(G55=E60,"","Note: Does not include Delinquent Taxes")</f>
      </c>
    </row>
    <row r="56" spans="2:11" ht="16.5">
      <c r="B56" s="138"/>
      <c r="C56" s="694" t="s">
        <v>658</v>
      </c>
      <c r="D56" s="695"/>
      <c r="E56" s="35"/>
      <c r="F56" s="600">
        <f>IF(E53/0.95-E53&lt;E56,"Exceeds 5%","")</f>
      </c>
      <c r="G56" s="489">
        <f>SUM(G53:G55)</f>
        <v>0</v>
      </c>
      <c r="H56" s="482" t="str">
        <f>CONCATENATE("Total ",E1," Resources Available")</f>
        <v>Total 2015 Resources Available</v>
      </c>
      <c r="I56" s="584"/>
      <c r="J56" s="599"/>
      <c r="K56" s="597"/>
    </row>
    <row r="57" spans="2:11" ht="16.5">
      <c r="B57" s="385" t="str">
        <f>CONCATENATE(C68,"     ",D68)</f>
        <v>     </v>
      </c>
      <c r="C57" s="696" t="s">
        <v>659</v>
      </c>
      <c r="D57" s="697"/>
      <c r="E57" s="45">
        <f>E53+E56</f>
        <v>0</v>
      </c>
      <c r="F57"/>
      <c r="G57" s="480"/>
      <c r="H57" s="482"/>
      <c r="I57" s="482"/>
      <c r="J57" s="599"/>
      <c r="K57" s="597"/>
    </row>
    <row r="58" spans="2:11" ht="16.5">
      <c r="B58" s="385" t="str">
        <f>CONCATENATE(C69,"     ",D69)</f>
        <v>     </v>
      </c>
      <c r="C58" s="493"/>
      <c r="D58" s="492" t="s">
        <v>660</v>
      </c>
      <c r="E58" s="42">
        <f>IF(E57-E30&gt;0,E57-E30,0)</f>
        <v>0</v>
      </c>
      <c r="F58"/>
      <c r="G58" s="481">
        <f>C53</f>
        <v>0</v>
      </c>
      <c r="H58" s="482" t="str">
        <f>CONCATENATE("Less ",E1-2," Expenditures")</f>
        <v>Less 2013 Expenditures</v>
      </c>
      <c r="I58" s="482"/>
      <c r="J58" s="599"/>
      <c r="K58" s="597"/>
    </row>
    <row r="59" spans="2:11" ht="16.5">
      <c r="B59" s="155"/>
      <c r="C59" s="491" t="s">
        <v>661</v>
      </c>
      <c r="D59" s="596">
        <f>inputOth!$E$35</f>
        <v>0</v>
      </c>
      <c r="E59" s="45">
        <f>ROUND(IF(D59&gt;0,(E58*D59),0),0)</f>
        <v>0</v>
      </c>
      <c r="F59"/>
      <c r="G59" s="517">
        <f>G56-G58</f>
        <v>0</v>
      </c>
      <c r="H59" s="470" t="str">
        <f>CONCATENATE("Projected ",E1+1," carryover (est.)")</f>
        <v>Projected 2016 carryover (est.)</v>
      </c>
      <c r="I59" s="587"/>
      <c r="J59" s="601"/>
      <c r="K59" s="597"/>
    </row>
    <row r="60" spans="2:11" ht="16.5">
      <c r="B60" s="18"/>
      <c r="C60" s="692" t="str">
        <f>CONCATENATE("Amount of  ",$E$1-1," Ad Valorem Tax")</f>
        <v>Amount of  2014 Ad Valorem Tax</v>
      </c>
      <c r="D60" s="693"/>
      <c r="E60" s="42">
        <f>E58+E59</f>
        <v>0</v>
      </c>
      <c r="F60"/>
      <c r="G60" s="597"/>
      <c r="H60" s="597"/>
      <c r="I60" s="597"/>
      <c r="J60" s="597"/>
      <c r="K60" s="597"/>
    </row>
    <row r="61" spans="2:11" ht="16.5">
      <c r="B61" s="155"/>
      <c r="C61" s="18"/>
      <c r="D61" s="18"/>
      <c r="E61" s="18"/>
      <c r="F61"/>
      <c r="G61" s="689" t="s">
        <v>732</v>
      </c>
      <c r="H61" s="690"/>
      <c r="I61" s="690"/>
      <c r="J61" s="691"/>
      <c r="K61" s="597"/>
    </row>
    <row r="62" spans="2:11" ht="16.5">
      <c r="B62" s="138" t="s">
        <v>44</v>
      </c>
      <c r="C62" s="252"/>
      <c r="D62" s="18"/>
      <c r="E62" s="18"/>
      <c r="F62"/>
      <c r="G62" s="588"/>
      <c r="H62" s="488"/>
      <c r="I62" s="570"/>
      <c r="J62" s="589"/>
      <c r="K62" s="597"/>
    </row>
    <row r="63" spans="6:11" ht="16.5">
      <c r="F63"/>
      <c r="G63" s="590" t="str">
        <f>summ!H17</f>
        <v> </v>
      </c>
      <c r="H63" s="488" t="str">
        <f>CONCATENATE("",E1," Fund Mill Rate")</f>
        <v>2015 Fund Mill Rate</v>
      </c>
      <c r="I63" s="570"/>
      <c r="J63" s="589"/>
      <c r="K63" s="597"/>
    </row>
    <row r="64" spans="6:11" ht="16.5">
      <c r="F64"/>
      <c r="G64" s="592" t="str">
        <f>summ!E17</f>
        <v>  </v>
      </c>
      <c r="H64" s="488" t="str">
        <f>CONCATENATE("",E1-1," Fund Mill Rate")</f>
        <v>2014 Fund Mill Rate</v>
      </c>
      <c r="I64" s="570"/>
      <c r="J64" s="589"/>
      <c r="K64" s="597"/>
    </row>
    <row r="65" spans="6:11" ht="16.5">
      <c r="F65"/>
      <c r="G65" s="593">
        <f>summ!H23</f>
        <v>1.725</v>
      </c>
      <c r="H65" s="488" t="str">
        <f>CONCATENATE("Total ",E1," Mill Rate")</f>
        <v>Total 2015 Mill Rate</v>
      </c>
      <c r="I65" s="570"/>
      <c r="J65" s="589"/>
      <c r="K65" s="597"/>
    </row>
    <row r="66" spans="6:11" ht="16.5">
      <c r="F66"/>
      <c r="G66" s="592">
        <f>summ!E23</f>
        <v>2.083</v>
      </c>
      <c r="H66" s="594" t="str">
        <f>CONCATENATE("Total ",E1-1," Mill Rate")</f>
        <v>Total 2014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4">
      <selection activeCell="E26" sqref="E26"/>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Clyde Mount Hope CD # 14 </v>
      </c>
      <c r="C1" s="18"/>
      <c r="D1" s="18"/>
      <c r="E1" s="182"/>
    </row>
    <row r="2" spans="2:5" ht="15.75">
      <c r="B2" s="18" t="str">
        <f>inputPrYr!D4</f>
        <v>Cloud County </v>
      </c>
      <c r="C2" s="18"/>
      <c r="D2" s="18"/>
      <c r="E2" s="138"/>
    </row>
    <row r="3" spans="2:6" ht="15.75">
      <c r="B3" s="25" t="s">
        <v>81</v>
      </c>
      <c r="C3" s="222"/>
      <c r="D3" s="222"/>
      <c r="E3" s="18">
        <f>inputPrYr!D6</f>
        <v>2015</v>
      </c>
      <c r="F3" s="567"/>
    </row>
    <row r="4" spans="2:5" ht="15.75">
      <c r="B4" s="18"/>
      <c r="C4" s="106"/>
      <c r="D4" s="106"/>
      <c r="E4" s="106"/>
    </row>
    <row r="5" spans="2:5" ht="15.75">
      <c r="B5" s="17" t="s">
        <v>32</v>
      </c>
      <c r="C5" s="370" t="s">
        <v>246</v>
      </c>
      <c r="D5" s="371" t="s">
        <v>245</v>
      </c>
      <c r="E5" s="223" t="s">
        <v>244</v>
      </c>
    </row>
    <row r="6" spans="2:5" ht="15.75">
      <c r="B6" s="388" t="str">
        <f>inputPrYr!B22</f>
        <v>No Fund Warrant</v>
      </c>
      <c r="C6" s="372" t="str">
        <f>CONCATENATE("Actual for ",$E$3-2,"")</f>
        <v>Actual for 2013</v>
      </c>
      <c r="D6" s="372" t="str">
        <f>CONCATENATE("Estimate for ",E3-1,"")</f>
        <v>Estimate for 2014</v>
      </c>
      <c r="E6" s="224" t="str">
        <f>CONCATENATE("Year for ",E3,"")</f>
        <v>Year for 2015</v>
      </c>
    </row>
    <row r="7" spans="2:5" ht="15.75">
      <c r="B7" s="119" t="s">
        <v>125</v>
      </c>
      <c r="C7" s="366">
        <v>3801</v>
      </c>
      <c r="D7" s="373">
        <f>C34</f>
        <v>1805</v>
      </c>
      <c r="E7" s="45">
        <f>D34</f>
        <v>3605</v>
      </c>
    </row>
    <row r="8" spans="2:5" ht="15.75">
      <c r="B8" s="226" t="s">
        <v>127</v>
      </c>
      <c r="C8" s="227"/>
      <c r="D8" s="227"/>
      <c r="E8" s="123"/>
    </row>
    <row r="9" spans="2:5" ht="15.75">
      <c r="B9" s="119" t="s">
        <v>33</v>
      </c>
      <c r="C9" s="366">
        <v>408</v>
      </c>
      <c r="D9" s="373">
        <f>IF(inputPrYr!H18&gt;0,inputPrYr!G22,inputPrYr!E22)</f>
        <v>5132</v>
      </c>
      <c r="E9" s="128" t="s">
        <v>28</v>
      </c>
    </row>
    <row r="10" spans="2:5" ht="15.75">
      <c r="B10" s="119" t="s">
        <v>34</v>
      </c>
      <c r="C10" s="366">
        <v>47</v>
      </c>
      <c r="D10" s="366"/>
      <c r="E10" s="198"/>
    </row>
    <row r="11" spans="2:5" ht="15.75">
      <c r="B11" s="119" t="s">
        <v>35</v>
      </c>
      <c r="C11" s="366">
        <v>1069</v>
      </c>
      <c r="D11" s="366">
        <v>156</v>
      </c>
      <c r="E11" s="45">
        <f>mvalloc!D13</f>
        <v>1082</v>
      </c>
    </row>
    <row r="12" spans="2:5" ht="15.75">
      <c r="B12" s="119" t="s">
        <v>36</v>
      </c>
      <c r="C12" s="366">
        <v>19</v>
      </c>
      <c r="D12" s="366">
        <v>3</v>
      </c>
      <c r="E12" s="45">
        <f>mvalloc!E13</f>
        <v>19</v>
      </c>
    </row>
    <row r="13" spans="2:5" ht="15.75">
      <c r="B13" s="227" t="s">
        <v>109</v>
      </c>
      <c r="C13" s="366">
        <v>53</v>
      </c>
      <c r="D13" s="366">
        <v>12</v>
      </c>
      <c r="E13" s="45">
        <f>mvalloc!F13</f>
        <v>102</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1596</v>
      </c>
      <c r="D21" s="368">
        <f>SUM(D9:D19)</f>
        <v>5303</v>
      </c>
      <c r="E21" s="234">
        <f>SUM(E9:E19)</f>
        <v>1203</v>
      </c>
    </row>
    <row r="22" spans="2:5" ht="15.75">
      <c r="B22" s="233" t="s">
        <v>40</v>
      </c>
      <c r="C22" s="368">
        <f>C7+C21</f>
        <v>5397</v>
      </c>
      <c r="D22" s="368">
        <f>D7+D21</f>
        <v>7108</v>
      </c>
      <c r="E22" s="234">
        <f>E7+E21</f>
        <v>4808</v>
      </c>
    </row>
    <row r="23" spans="2:5" ht="15.75">
      <c r="B23" s="119" t="s">
        <v>41</v>
      </c>
      <c r="C23" s="121"/>
      <c r="D23" s="121"/>
      <c r="E23" s="36"/>
    </row>
    <row r="24" spans="2:5" ht="15.75">
      <c r="B24" s="228"/>
      <c r="C24" s="366"/>
      <c r="D24" s="366"/>
      <c r="E24" s="198"/>
    </row>
    <row r="25" spans="2:11" ht="16.5">
      <c r="B25" s="228" t="s">
        <v>271</v>
      </c>
      <c r="C25" s="366">
        <v>3592</v>
      </c>
      <c r="D25" s="366">
        <v>3503</v>
      </c>
      <c r="E25" s="198">
        <v>3508</v>
      </c>
      <c r="F25" s="16"/>
      <c r="G25" s="698" t="str">
        <f>CONCATENATE("Desired Carryover Into ",E3+1,"")</f>
        <v>Desired Carryover Into 2016</v>
      </c>
      <c r="H25" s="699"/>
      <c r="I25" s="699"/>
      <c r="J25" s="700"/>
      <c r="K25" s="16"/>
    </row>
    <row r="26" spans="2:11" ht="15.75">
      <c r="B26" s="228" t="s">
        <v>807</v>
      </c>
      <c r="C26" s="366"/>
      <c r="D26" s="366"/>
      <c r="E26" s="198">
        <v>1800</v>
      </c>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2015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6.5">
      <c r="B32" s="121" t="s">
        <v>561</v>
      </c>
      <c r="C32" s="367">
        <f>IF(C33*0.1&lt;C31,"Exceed 10% Rule","")</f>
      </c>
      <c r="D32" s="367">
        <f>IF(D33*0.1&lt;D31,"Exceed 10% Rule","")</f>
      </c>
      <c r="E32" s="386">
        <f>IF(E33*0.1&lt;E31,"Exceed 10% Rule","")</f>
      </c>
      <c r="F32" s="16"/>
      <c r="G32" s="698" t="str">
        <f>CONCATENATE("Projected Carryover Into ",E3+1,"")</f>
        <v>Projected Carryover Into 2016</v>
      </c>
      <c r="H32" s="701"/>
      <c r="I32" s="701"/>
      <c r="J32" s="702"/>
      <c r="K32" s="16"/>
    </row>
    <row r="33" spans="2:11" ht="15.75">
      <c r="B33" s="233" t="s">
        <v>42</v>
      </c>
      <c r="C33" s="368">
        <f>SUM(C24:C31)</f>
        <v>3592</v>
      </c>
      <c r="D33" s="368">
        <f>SUM(D24:D31)</f>
        <v>3503</v>
      </c>
      <c r="E33" s="234">
        <f>SUM(E24:E31)</f>
        <v>5308</v>
      </c>
      <c r="F33" s="16"/>
      <c r="G33" s="475"/>
      <c r="H33" s="482"/>
      <c r="I33" s="482"/>
      <c r="J33" s="602"/>
      <c r="K33" s="16"/>
    </row>
    <row r="34" spans="2:11" ht="15.75">
      <c r="B34" s="119" t="s">
        <v>126</v>
      </c>
      <c r="C34" s="369">
        <f>C22-C33</f>
        <v>1805</v>
      </c>
      <c r="D34" s="369">
        <f>D22-D33</f>
        <v>3605</v>
      </c>
      <c r="E34" s="128" t="s">
        <v>28</v>
      </c>
      <c r="F34" s="16"/>
      <c r="G34" s="489">
        <f>D34</f>
        <v>3605</v>
      </c>
      <c r="H34" s="488" t="str">
        <f>CONCATENATE("",E3-1," Ending Cash Balance (est.)")</f>
        <v>2014 Ending Cash Balance (est.)</v>
      </c>
      <c r="I34" s="584"/>
      <c r="J34" s="602"/>
      <c r="K34" s="16"/>
    </row>
    <row r="35" spans="2:11" ht="15.75">
      <c r="B35" s="138" t="str">
        <f>CONCATENATE("",E3-2,"/",E3-1,"/",E1," Budget Authority Amount:")</f>
        <v>2013/2014/ Budget Authority Amount:</v>
      </c>
      <c r="C35" s="120">
        <f>inputOth!B43</f>
        <v>5592</v>
      </c>
      <c r="D35" s="387">
        <f>inputPrYr!D22</f>
        <v>5303</v>
      </c>
      <c r="E35" s="243">
        <f>E33</f>
        <v>5308</v>
      </c>
      <c r="F35" s="16"/>
      <c r="G35" s="489">
        <f>E21</f>
        <v>1203</v>
      </c>
      <c r="H35" s="482" t="str">
        <f>CONCATENATE("",E3," Non-AV Receipts (est.)")</f>
        <v>2015 Non-AV Receipts (est.)</v>
      </c>
      <c r="I35" s="584"/>
      <c r="J35" s="602"/>
      <c r="K35" s="16"/>
    </row>
    <row r="36" spans="2:11" ht="16.5">
      <c r="B36" s="138"/>
      <c r="C36" s="694" t="s">
        <v>658</v>
      </c>
      <c r="D36" s="695"/>
      <c r="E36" s="35"/>
      <c r="F36" s="610">
        <f>IF(E33/0.95-E33&lt;E36,"Exceeds 5%","")</f>
      </c>
      <c r="G36" s="481">
        <f>IF(E39&gt;0,E38,E40)</f>
        <v>500</v>
      </c>
      <c r="H36" s="482" t="str">
        <f>CONCATENATE("",E3," Ad Valorem Tax (est.)")</f>
        <v>2015 Ad Valorem Tax (est.)</v>
      </c>
      <c r="I36" s="584"/>
      <c r="J36" s="603"/>
      <c r="K36" s="585">
        <f>IF(G36=E40,"","Note: Does not include Delinquent Taxes")</f>
      </c>
    </row>
    <row r="37" spans="2:11" ht="15.75">
      <c r="B37" s="385" t="str">
        <f>CONCATENATE(C87,"     ",D87)</f>
        <v>     </v>
      </c>
      <c r="C37" s="696" t="s">
        <v>659</v>
      </c>
      <c r="D37" s="697"/>
      <c r="E37" s="45">
        <f>E33+E36</f>
        <v>5308</v>
      </c>
      <c r="G37" s="489">
        <f>SUM(G34:G36)</f>
        <v>5308</v>
      </c>
      <c r="H37" s="482" t="str">
        <f>CONCATENATE("Total ",E3," Resources Available")</f>
        <v>Total 2015 Resources Available</v>
      </c>
      <c r="I37" s="584"/>
      <c r="J37" s="602"/>
      <c r="K37" s="16"/>
    </row>
    <row r="38" spans="2:11" ht="15.75">
      <c r="B38" s="385" t="str">
        <f>CONCATENATE(C88,"     ",D88)</f>
        <v>     </v>
      </c>
      <c r="C38" s="493"/>
      <c r="D38" s="492" t="s">
        <v>660</v>
      </c>
      <c r="E38" s="42">
        <f>IF(E37-E22&gt;0,E37-E22,0)</f>
        <v>500</v>
      </c>
      <c r="F38" s="16"/>
      <c r="G38" s="480"/>
      <c r="H38" s="482"/>
      <c r="I38" s="482"/>
      <c r="J38" s="602"/>
      <c r="K38" s="16"/>
    </row>
    <row r="39" spans="2:11" ht="15.75">
      <c r="B39" s="155"/>
      <c r="C39" s="491" t="s">
        <v>661</v>
      </c>
      <c r="D39" s="596">
        <f>inputOth!$E$35</f>
        <v>0</v>
      </c>
      <c r="E39" s="45">
        <f>ROUND(IF(D39&gt;0,(E38*D39),0),0)</f>
        <v>0</v>
      </c>
      <c r="F39" s="16"/>
      <c r="G39" s="481">
        <f>ROUND(C33*0.05+C33,0)</f>
        <v>3772</v>
      </c>
      <c r="H39" s="482" t="str">
        <f>CONCATENATE("Less ",E3-2," Expenditures + 5%")</f>
        <v>Less 2013 Expenditures + 5%</v>
      </c>
      <c r="I39" s="584"/>
      <c r="J39" s="602"/>
      <c r="K39" s="16"/>
    </row>
    <row r="40" spans="2:11" ht="15.75">
      <c r="B40" s="18"/>
      <c r="C40" s="692" t="str">
        <f>CONCATENATE("Amount of  ",$E$3-1," Ad Valorem Tax")</f>
        <v>Amount of  2014 Ad Valorem Tax</v>
      </c>
      <c r="D40" s="693"/>
      <c r="E40" s="42">
        <f>E38+E39</f>
        <v>500</v>
      </c>
      <c r="F40" s="16"/>
      <c r="G40" s="517">
        <f>G37-G39</f>
        <v>1536</v>
      </c>
      <c r="H40" s="470" t="str">
        <f>CONCATENATE("Projected ",E3+1," carryover (est.)")</f>
        <v>Projected 2016 carryover (est.)</v>
      </c>
      <c r="I40" s="587"/>
      <c r="J40" s="604"/>
      <c r="K40" s="16"/>
    </row>
    <row r="41" spans="2:11" ht="15.75">
      <c r="B41" s="18"/>
      <c r="C41" s="18"/>
      <c r="D41" s="18"/>
      <c r="E41" s="18"/>
      <c r="F41" s="16"/>
      <c r="G41" s="597"/>
      <c r="H41" s="597"/>
      <c r="I41" s="597"/>
      <c r="J41" s="597"/>
      <c r="K41" s="16"/>
    </row>
    <row r="42" spans="2:11" ht="16.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2013</v>
      </c>
      <c r="D44" s="372" t="str">
        <f>D6</f>
        <v>Estimate for 2014</v>
      </c>
      <c r="E44" s="224" t="str">
        <f>E6</f>
        <v>Year for 2015</v>
      </c>
      <c r="F44" s="16"/>
      <c r="G44" s="590">
        <f>summ!H18</f>
        <v>0.109</v>
      </c>
      <c r="H44" s="488" t="str">
        <f>CONCATENATE("",E3," Fund Mill Rate")</f>
        <v>2015 Fund Mill Rate</v>
      </c>
      <c r="I44" s="570"/>
      <c r="J44" s="589"/>
      <c r="K44" s="16"/>
    </row>
    <row r="45" spans="2:11" ht="16.5">
      <c r="B45" s="119" t="s">
        <v>125</v>
      </c>
      <c r="C45" s="366"/>
      <c r="D45" s="373">
        <f>C72</f>
        <v>0</v>
      </c>
      <c r="E45" s="45">
        <f>D72</f>
        <v>0</v>
      </c>
      <c r="F45" s="16"/>
      <c r="G45" s="592">
        <f>summ!E18</f>
        <v>1.127</v>
      </c>
      <c r="H45" s="488" t="str">
        <f>CONCATENATE("",E3-1," Fund Mill Rate")</f>
        <v>2014 Fund Mill Rate</v>
      </c>
      <c r="I45" s="570"/>
      <c r="J45" s="589"/>
      <c r="K45" s="16"/>
    </row>
    <row r="46" spans="2:11" ht="16.5">
      <c r="B46" s="226" t="s">
        <v>127</v>
      </c>
      <c r="C46" s="227"/>
      <c r="D46" s="227"/>
      <c r="E46" s="123"/>
      <c r="F46" s="16"/>
      <c r="G46" s="593">
        <f>summ!H23</f>
        <v>1.725</v>
      </c>
      <c r="H46" s="488" t="str">
        <f>CONCATENATE("Total ",E3," Mill Rate")</f>
        <v>Total 2015 Mill Rate</v>
      </c>
      <c r="I46" s="570"/>
      <c r="J46" s="589"/>
      <c r="K46" s="16"/>
    </row>
    <row r="47" spans="2:11" ht="16.5">
      <c r="B47" s="119" t="s">
        <v>33</v>
      </c>
      <c r="C47" s="366"/>
      <c r="D47" s="373">
        <f>IF(inputPrYr!H18&gt;0,inputPrYr!G23,inputPrYr!E23)</f>
        <v>0</v>
      </c>
      <c r="E47" s="128" t="s">
        <v>28</v>
      </c>
      <c r="F47" s="16"/>
      <c r="G47" s="592">
        <f>summ!E23</f>
        <v>2.083</v>
      </c>
      <c r="H47" s="594" t="str">
        <f>CONCATENATE("Total ",E3-1," Mill Rate")</f>
        <v>Total 2014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6.5">
      <c r="B65" s="228"/>
      <c r="C65" s="366"/>
      <c r="D65" s="366"/>
      <c r="E65" s="198"/>
      <c r="F65" s="16"/>
      <c r="G65" s="698" t="str">
        <f>CONCATENATE("Desired Carryover Into ",E3+1,"")</f>
        <v>Desired Carryover Into 2016</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2015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6.5">
      <c r="B72" s="119" t="s">
        <v>126</v>
      </c>
      <c r="C72" s="369">
        <f>C60-C71</f>
        <v>0</v>
      </c>
      <c r="D72" s="369">
        <f>D60-D71</f>
        <v>0</v>
      </c>
      <c r="E72" s="128" t="s">
        <v>28</v>
      </c>
      <c r="F72" s="16"/>
      <c r="G72" s="698" t="str">
        <f>CONCATENATE("Projected Carryover Into ",E3+1,"")</f>
        <v>Projected Carryover Into 2016</v>
      </c>
      <c r="H72" s="703"/>
      <c r="I72" s="703"/>
      <c r="J72" s="702"/>
      <c r="K72" s="16"/>
    </row>
    <row r="73" spans="2:11" ht="15.75">
      <c r="B73" s="138" t="str">
        <f>CONCATENATE("",E3-2,"/",E3-1," Budget Authority Amount:")</f>
        <v>2013/2014 Budget Authority Amount:</v>
      </c>
      <c r="C73" s="120">
        <f>inputOth!B44</f>
        <v>0</v>
      </c>
      <c r="D73" s="387">
        <f>inputPrYr!D23</f>
        <v>0</v>
      </c>
      <c r="E73" s="128" t="s">
        <v>28</v>
      </c>
      <c r="F73" s="16"/>
      <c r="G73" s="494"/>
      <c r="H73" s="69"/>
      <c r="I73" s="69"/>
      <c r="J73" s="483"/>
      <c r="K73" s="16"/>
    </row>
    <row r="74" spans="2:11" ht="16.5">
      <c r="B74" s="138"/>
      <c r="C74" s="694" t="s">
        <v>658</v>
      </c>
      <c r="D74" s="695"/>
      <c r="E74" s="35"/>
      <c r="F74" s="611">
        <f>IF(E71/0.95-E71&lt;E74,"Exceeds 5%","")</f>
      </c>
      <c r="G74" s="489">
        <f>D72</f>
        <v>0</v>
      </c>
      <c r="H74" s="488" t="str">
        <f>CONCATENATE("",E3-1," Ending Cash Balance (est.)")</f>
        <v>2014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2015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2015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2015 Resources Available</v>
      </c>
      <c r="I77" s="483"/>
      <c r="J77" s="483"/>
      <c r="K77" s="16"/>
    </row>
    <row r="78" spans="2:11" ht="15.75">
      <c r="B78" s="18"/>
      <c r="C78" s="692" t="str">
        <f>CONCATENATE("Amount of  ",$E$3-1," Ad Valorem Tax")</f>
        <v>Amount of  2014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2013 Expenditures + 5%</v>
      </c>
      <c r="I79" s="483"/>
      <c r="J79" s="483"/>
      <c r="K79" s="16"/>
    </row>
    <row r="80" spans="2:11" ht="15.75">
      <c r="B80" s="138" t="s">
        <v>44</v>
      </c>
      <c r="C80" s="252">
        <v>7</v>
      </c>
      <c r="D80" s="18"/>
      <c r="E80" s="18"/>
      <c r="F80" s="16"/>
      <c r="G80" s="608">
        <f>G77-G79</f>
        <v>0</v>
      </c>
      <c r="H80" s="496" t="str">
        <f>CONCATENATE("Projected ",E3+1," carryover (est.)")</f>
        <v>Projected 2016 carryover (est.)</v>
      </c>
      <c r="I80" s="477"/>
      <c r="J80" s="604"/>
      <c r="K80" s="16"/>
    </row>
    <row r="81" spans="6:11" ht="15.75">
      <c r="F81" s="16"/>
      <c r="G81" s="597"/>
      <c r="H81" s="597"/>
      <c r="I81" s="597"/>
      <c r="J81" s="16"/>
      <c r="K81" s="16"/>
    </row>
    <row r="82" spans="6:11" ht="16.5">
      <c r="F82" s="16"/>
      <c r="G82" s="689" t="s">
        <v>732</v>
      </c>
      <c r="H82" s="690"/>
      <c r="I82" s="690"/>
      <c r="J82" s="691"/>
      <c r="K82" s="16"/>
    </row>
    <row r="83" spans="6:11" ht="16.5">
      <c r="F83" s="16"/>
      <c r="G83" s="588"/>
      <c r="H83" s="488"/>
      <c r="I83" s="570"/>
      <c r="J83" s="589"/>
      <c r="K83" s="16"/>
    </row>
    <row r="84" spans="6:11" ht="16.5">
      <c r="F84" s="16"/>
      <c r="G84" s="590" t="str">
        <f>summ!H19</f>
        <v> </v>
      </c>
      <c r="H84" s="488" t="str">
        <f>CONCATENATE("",E3," Fund Mill Rate")</f>
        <v>2015 Fund Mill Rate</v>
      </c>
      <c r="I84" s="570"/>
      <c r="J84" s="589"/>
      <c r="K84" s="16"/>
    </row>
    <row r="85" spans="6:11" ht="16.5">
      <c r="F85" s="16"/>
      <c r="G85" s="592" t="str">
        <f>summ!E19</f>
        <v>  </v>
      </c>
      <c r="H85" s="488" t="str">
        <f>CONCATENATE("",E3-1," Fund Mill Rate")</f>
        <v>2014 Fund Mill Rate</v>
      </c>
      <c r="I85" s="570"/>
      <c r="J85" s="589"/>
      <c r="K85" s="16"/>
    </row>
    <row r="86" spans="6:11" ht="15.75" customHeight="1">
      <c r="F86" s="16"/>
      <c r="G86" s="593">
        <f>summ!H23</f>
        <v>1.725</v>
      </c>
      <c r="H86" s="488" t="str">
        <f>CONCATENATE("Total ",E3," Mill Rate")</f>
        <v>Total 2015 Mill Rate</v>
      </c>
      <c r="I86" s="570"/>
      <c r="J86" s="589"/>
      <c r="K86" s="16"/>
    </row>
    <row r="87" spans="3:11" ht="15.75" customHeight="1">
      <c r="C87" s="95">
        <f>IF(C33&gt;C35,"See Tab A","")</f>
      </c>
      <c r="D87" s="95">
        <f>IF(D33&gt;D35,"See Tab C","")</f>
      </c>
      <c r="F87" s="16"/>
      <c r="G87" s="592">
        <f>summ!E23</f>
        <v>2.083</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6.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Clyde Mount Hope CD # 14 </v>
      </c>
      <c r="C1" s="222"/>
      <c r="D1" s="18"/>
      <c r="E1" s="182"/>
    </row>
    <row r="2" spans="2:5" ht="15.75">
      <c r="B2" s="18" t="str">
        <f>inputPrYr!D4</f>
        <v>Cloud County </v>
      </c>
      <c r="C2" s="222"/>
      <c r="D2" s="18"/>
      <c r="E2" s="138"/>
    </row>
    <row r="3" spans="2:5" ht="15.75">
      <c r="B3" s="25" t="s">
        <v>82</v>
      </c>
      <c r="C3" s="222"/>
      <c r="D3" s="222"/>
      <c r="E3" s="138">
        <f>inputPrYr!D6</f>
        <v>2015</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2013</v>
      </c>
      <c r="D6" s="224" t="str">
        <f>CONCATENATE("Estimate for ",E3-1,"")</f>
        <v>Estimate for 2014</v>
      </c>
      <c r="E6" s="224" t="str">
        <f>CONCATENATE("Year for ",E3,"")</f>
        <v>Year for 2015</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2013/2014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2013</v>
      </c>
      <c r="D39" s="224" t="str">
        <f>D6</f>
        <v>Estimate for 2014</v>
      </c>
      <c r="E39" s="224" t="str">
        <f>E6</f>
        <v>Year for 2015</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2013/2014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Clyde Mount Hope CD # 14 </v>
      </c>
      <c r="B1" s="255"/>
      <c r="C1" s="60"/>
      <c r="D1" s="60"/>
      <c r="E1" s="60"/>
      <c r="F1" s="256" t="s">
        <v>231</v>
      </c>
      <c r="G1" s="60"/>
      <c r="H1" s="60"/>
      <c r="I1" s="60"/>
      <c r="J1" s="60"/>
      <c r="K1" s="60">
        <f>inputPrYr!$D$6</f>
        <v>2015</v>
      </c>
    </row>
    <row r="2" spans="1:11" ht="15.75">
      <c r="A2" s="60"/>
      <c r="B2" s="60"/>
      <c r="C2" s="60"/>
      <c r="D2" s="60"/>
      <c r="E2" s="60"/>
      <c r="F2" s="257" t="str">
        <f>CONCATENATE("(Only the actual budget year for ",K1-2," is to be shown)")</f>
        <v>(Only the actual budget year for 2013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t="str">
        <f>inputPrYr!B30</f>
        <v>Machinery &amp; Equipment </v>
      </c>
      <c r="B5" s="705"/>
      <c r="C5" s="704" t="str">
        <f>inputPrYr!B31</f>
        <v>Capital Improvement </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v>32049</v>
      </c>
      <c r="C7" s="268" t="s">
        <v>239</v>
      </c>
      <c r="D7" s="267">
        <v>6536</v>
      </c>
      <c r="E7" s="268" t="s">
        <v>239</v>
      </c>
      <c r="F7" s="267"/>
      <c r="G7" s="268" t="s">
        <v>239</v>
      </c>
      <c r="H7" s="267"/>
      <c r="I7" s="268" t="s">
        <v>239</v>
      </c>
      <c r="J7" s="267"/>
      <c r="K7" s="269">
        <f>SUM(B7+D7+F7+H7+J7)</f>
        <v>38585</v>
      </c>
    </row>
    <row r="8" spans="1:11" ht="15.75">
      <c r="A8" s="270" t="s">
        <v>127</v>
      </c>
      <c r="B8" s="271"/>
      <c r="C8" s="270" t="s">
        <v>127</v>
      </c>
      <c r="D8" s="272"/>
      <c r="E8" s="270" t="s">
        <v>127</v>
      </c>
      <c r="F8" s="255"/>
      <c r="G8" s="270" t="s">
        <v>127</v>
      </c>
      <c r="H8" s="60"/>
      <c r="I8" s="270" t="s">
        <v>127</v>
      </c>
      <c r="J8" s="60"/>
      <c r="K8" s="255"/>
    </row>
    <row r="9" spans="1:11" ht="15.75">
      <c r="A9" s="273" t="s">
        <v>68</v>
      </c>
      <c r="B9" s="267">
        <v>120</v>
      </c>
      <c r="C9" s="273" t="s">
        <v>811</v>
      </c>
      <c r="D9" s="267">
        <v>2000</v>
      </c>
      <c r="E9" s="273"/>
      <c r="F9" s="267"/>
      <c r="G9" s="273"/>
      <c r="H9" s="267"/>
      <c r="I9" s="273"/>
      <c r="J9" s="267"/>
      <c r="K9" s="255"/>
    </row>
    <row r="10" spans="1:11" ht="15.75">
      <c r="A10" s="273"/>
      <c r="B10" s="267"/>
      <c r="C10" s="273" t="s">
        <v>68</v>
      </c>
      <c r="D10" s="267">
        <v>3</v>
      </c>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120</v>
      </c>
      <c r="C17" s="270" t="s">
        <v>39</v>
      </c>
      <c r="D17" s="269">
        <f>SUM(D9:D16)</f>
        <v>2003</v>
      </c>
      <c r="E17" s="270" t="s">
        <v>39</v>
      </c>
      <c r="F17" s="283">
        <f>SUM(F9:F16)</f>
        <v>0</v>
      </c>
      <c r="G17" s="270" t="s">
        <v>39</v>
      </c>
      <c r="H17" s="269">
        <f>SUM(H9:H16)</f>
        <v>0</v>
      </c>
      <c r="I17" s="270" t="s">
        <v>39</v>
      </c>
      <c r="J17" s="269">
        <f>SUM(J9:J16)</f>
        <v>0</v>
      </c>
      <c r="K17" s="269">
        <f>SUM(B17+D17+F17+H17+J17)</f>
        <v>2123</v>
      </c>
    </row>
    <row r="18" spans="1:11" ht="15.75">
      <c r="A18" s="270" t="s">
        <v>40</v>
      </c>
      <c r="B18" s="269">
        <f>SUM(B7+B17)</f>
        <v>32169</v>
      </c>
      <c r="C18" s="270" t="s">
        <v>40</v>
      </c>
      <c r="D18" s="269">
        <f>SUM(D7+D17)</f>
        <v>8539</v>
      </c>
      <c r="E18" s="270" t="s">
        <v>40</v>
      </c>
      <c r="F18" s="269">
        <f>SUM(F7+F17)</f>
        <v>0</v>
      </c>
      <c r="G18" s="270" t="s">
        <v>40</v>
      </c>
      <c r="H18" s="269">
        <f>SUM(H7+H17)</f>
        <v>0</v>
      </c>
      <c r="I18" s="270" t="s">
        <v>40</v>
      </c>
      <c r="J18" s="269">
        <f>SUM(J7+J17)</f>
        <v>0</v>
      </c>
      <c r="K18" s="269">
        <f>SUM(B18+D18+F18+H18+J18)</f>
        <v>40708</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32169</v>
      </c>
      <c r="C29" s="270" t="s">
        <v>240</v>
      </c>
      <c r="D29" s="269">
        <f>SUM(D18-D28)</f>
        <v>8539</v>
      </c>
      <c r="E29" s="270" t="s">
        <v>240</v>
      </c>
      <c r="F29" s="269">
        <f>SUM(F18-F28)</f>
        <v>0</v>
      </c>
      <c r="G29" s="270" t="s">
        <v>240</v>
      </c>
      <c r="H29" s="269">
        <f>SUM(H18-H28)</f>
        <v>0</v>
      </c>
      <c r="I29" s="270" t="s">
        <v>240</v>
      </c>
      <c r="J29" s="269">
        <f>SUM(J18-J28)</f>
        <v>0</v>
      </c>
      <c r="K29" s="284">
        <f>SUM(B29+D29+F29+H29+J29)</f>
        <v>40708</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40708</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8</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287</v>
      </c>
    </row>
    <row r="2" ht="16.5">
      <c r="A2" s="95"/>
    </row>
    <row r="3" ht="16.5">
      <c r="A3" s="95"/>
    </row>
    <row r="4" ht="56.25" customHeight="1">
      <c r="A4" s="317" t="s">
        <v>288</v>
      </c>
    </row>
    <row r="5" ht="16.5">
      <c r="A5" s="318"/>
    </row>
    <row r="6" ht="16.5">
      <c r="A6" s="95"/>
    </row>
    <row r="7" ht="50.25" customHeight="1">
      <c r="A7" s="317" t="s">
        <v>289</v>
      </c>
    </row>
    <row r="8" ht="16.5">
      <c r="A8" s="95"/>
    </row>
    <row r="9" ht="16.5">
      <c r="A9" s="95"/>
    </row>
    <row r="10" ht="52.5" customHeight="1">
      <c r="A10" s="317" t="s">
        <v>290</v>
      </c>
    </row>
    <row r="11" ht="16.5">
      <c r="A11" s="95"/>
    </row>
    <row r="12" ht="16.5">
      <c r="A12" s="95"/>
    </row>
    <row r="13" ht="52.5" customHeight="1">
      <c r="A13" s="317" t="s">
        <v>291</v>
      </c>
    </row>
    <row r="14" ht="16.5">
      <c r="A14" s="318"/>
    </row>
    <row r="15" ht="16.5">
      <c r="A15" s="318"/>
    </row>
    <row r="16" ht="51" customHeight="1">
      <c r="A16" s="468" t="s">
        <v>650</v>
      </c>
    </row>
    <row r="17" ht="16.5">
      <c r="A17" s="318"/>
    </row>
    <row r="18" ht="16.5">
      <c r="A18" s="318"/>
    </row>
    <row r="19" ht="37.5" customHeight="1">
      <c r="A19" s="317" t="s">
        <v>292</v>
      </c>
    </row>
    <row r="20" ht="16.5">
      <c r="A20" s="95"/>
    </row>
    <row r="21" ht="16.5">
      <c r="A21" s="95"/>
    </row>
    <row r="22" ht="31.5">
      <c r="A22" s="317" t="s">
        <v>293</v>
      </c>
    </row>
    <row r="23" ht="16.5">
      <c r="A23" s="318"/>
    </row>
    <row r="24" ht="16.5">
      <c r="A24" s="95"/>
    </row>
    <row r="25" ht="67.5" customHeight="1">
      <c r="A25" s="317" t="s">
        <v>294</v>
      </c>
    </row>
    <row r="26" ht="68.25" customHeight="1">
      <c r="A26" s="319" t="s">
        <v>295</v>
      </c>
    </row>
    <row r="27" ht="16.5">
      <c r="A27" s="95"/>
    </row>
    <row r="28" ht="16.5">
      <c r="A28" s="95"/>
    </row>
    <row r="29" ht="51" customHeight="1">
      <c r="A29" s="469" t="s">
        <v>651</v>
      </c>
    </row>
    <row r="30" ht="16.5">
      <c r="A30" s="95"/>
    </row>
    <row r="31" ht="16.5">
      <c r="A31" s="318"/>
    </row>
    <row r="32" ht="69" customHeight="1">
      <c r="A32" s="469" t="s">
        <v>652</v>
      </c>
    </row>
    <row r="33" ht="16.5">
      <c r="A33" s="318"/>
    </row>
    <row r="34" ht="16.5">
      <c r="A34" s="318"/>
    </row>
    <row r="35" ht="52.5" customHeight="1">
      <c r="A35" s="469" t="s">
        <v>653</v>
      </c>
    </row>
    <row r="36" ht="16.5">
      <c r="A36" s="318"/>
    </row>
    <row r="37" ht="16.5">
      <c r="A37" s="318"/>
    </row>
    <row r="38" ht="59.25" customHeight="1">
      <c r="A38" s="317" t="s">
        <v>296</v>
      </c>
    </row>
    <row r="39" ht="16.5">
      <c r="A39" s="95"/>
    </row>
    <row r="40" ht="16.5">
      <c r="A40" s="95"/>
    </row>
    <row r="41" ht="53.25" customHeight="1">
      <c r="A41" s="317" t="s">
        <v>297</v>
      </c>
    </row>
    <row r="42" ht="16.5">
      <c r="A42" s="318"/>
    </row>
    <row r="43" ht="16.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5">
      <selection activeCell="L37" sqref="L37"/>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2015</v>
      </c>
    </row>
    <row r="4" spans="1:8" ht="15.75">
      <c r="A4" s="650" t="str">
        <f>inputPrYr!D3</f>
        <v>Clyde Mount Hope CD # 14 </v>
      </c>
      <c r="B4" s="650"/>
      <c r="C4" s="650"/>
      <c r="D4" s="650"/>
      <c r="E4" s="650"/>
      <c r="F4" s="650"/>
      <c r="G4" s="650"/>
      <c r="H4" s="650"/>
    </row>
    <row r="5" spans="1:8" ht="15.75">
      <c r="A5" s="719" t="str">
        <f>inputPrYr!D4</f>
        <v>Cloud County </v>
      </c>
      <c r="B5" s="719"/>
      <c r="C5" s="719"/>
      <c r="D5" s="719"/>
      <c r="E5" s="719"/>
      <c r="F5" s="719"/>
      <c r="G5" s="719"/>
      <c r="H5" s="719"/>
    </row>
    <row r="6" spans="1:8" ht="15.75">
      <c r="A6" s="670" t="str">
        <f>CONCATENATE("will meet on ",inputBudSum!B7," at ",inputBudSum!B9," at ",inputBudSum!B11," for the purpose of hearing and")</f>
        <v>will meet on ___________________ at _________ at __________________________________________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__________________________________________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2015 Expenditures and Amount of 2014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2015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708" t="str">
        <f>CONCATENATE("Estimated Value Of One Mill For ",I3,"")</f>
        <v>Estimated Value Of One Mill For 2015</v>
      </c>
      <c r="K12" s="709"/>
      <c r="L12" s="709"/>
      <c r="M12" s="710"/>
    </row>
    <row r="13" spans="1:13" ht="15.75">
      <c r="A13" s="212"/>
      <c r="B13" s="289" t="str">
        <f>CONCATENATE("Prior Year Actual ",I3-2,"")</f>
        <v>Prior Year Actual 2013</v>
      </c>
      <c r="C13" s="290"/>
      <c r="D13" s="291" t="str">
        <f>CONCATENATE("Current Year Estimate for ",I3-1,"")</f>
        <v>Current Year Estimate for 2014</v>
      </c>
      <c r="E13" s="290"/>
      <c r="F13" s="289" t="str">
        <f>CONCATENATE("Proposed Budget Year for ",I3,"")</f>
        <v>Proposed Budget Year for 2015</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2014 Ad Valorem Tax</v>
      </c>
      <c r="H14" s="293" t="s">
        <v>565</v>
      </c>
      <c r="J14" s="500" t="s">
        <v>666</v>
      </c>
      <c r="K14" s="501"/>
      <c r="L14" s="501"/>
      <c r="M14" s="502">
        <f>ROUND(F27/1000,0)</f>
        <v>4575</v>
      </c>
    </row>
    <row r="15" spans="1:13" ht="15.75">
      <c r="A15" s="169" t="s">
        <v>52</v>
      </c>
      <c r="B15" s="114" t="s">
        <v>53</v>
      </c>
      <c r="C15" s="294" t="s">
        <v>197</v>
      </c>
      <c r="D15" s="114" t="s">
        <v>53</v>
      </c>
      <c r="E15" s="294" t="s">
        <v>197</v>
      </c>
      <c r="F15" s="114" t="s">
        <v>560</v>
      </c>
      <c r="G15" s="718"/>
      <c r="H15" s="294" t="s">
        <v>197</v>
      </c>
      <c r="J15" s="16"/>
      <c r="K15" s="16"/>
      <c r="L15" s="16"/>
      <c r="M15" s="16"/>
    </row>
    <row r="16" spans="1:13" ht="16.5">
      <c r="A16" s="36" t="str">
        <f>inputPrYr!B19</f>
        <v>General</v>
      </c>
      <c r="B16" s="123">
        <f>IF(gen!$C$61&lt;&gt;0,gen!$C$61,"  ")</f>
        <v>10897</v>
      </c>
      <c r="C16" s="622">
        <f>IF(inputPrYr!D38&gt;0,inputPrYr!D38,"  ")</f>
        <v>1.886</v>
      </c>
      <c r="D16" s="560">
        <f>IF(gen!$D$61&lt;&gt;0,gen!$D$61,"  ")</f>
        <v>17350</v>
      </c>
      <c r="E16" s="625">
        <f>IF(inputOth!D16&gt;0,inputOth!D16,"  ")</f>
        <v>0.956</v>
      </c>
      <c r="F16" s="560">
        <f>IF(gen!$E$61&lt;&gt;0,gen!$E$61,"  ")</f>
        <v>17350</v>
      </c>
      <c r="G16" s="243">
        <f>IF(gen!$E$68&lt;&gt;0,gen!$E$68,"  ")</f>
        <v>7391</v>
      </c>
      <c r="H16" s="622">
        <f>IF(gen!E68&gt;0,ROUND(G16/$F$27*1000,3)," ")</f>
        <v>1.616</v>
      </c>
      <c r="J16" s="708" t="str">
        <f>CONCATENATE("Want The Mill Rate The Same As For ",I3-1,"?")</f>
        <v>Want The Mill Rate The Same As For 2014?</v>
      </c>
      <c r="K16" s="711"/>
      <c r="L16" s="711"/>
      <c r="M16" s="712"/>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No Fund Warrant</v>
      </c>
      <c r="B18" s="123">
        <f>IF(levypage8!$C$33&lt;&gt;0,levypage8!$C$33,"  ")</f>
        <v>3592</v>
      </c>
      <c r="C18" s="622">
        <f>IF(inputPrYr!D40&gt;0,inputPrYr!D40,"  ")</f>
        <v>0.096</v>
      </c>
      <c r="D18" s="560">
        <f>IF(levypage8!$D$33&lt;&gt;0,levypage8!$D$33,"  ")</f>
        <v>3503</v>
      </c>
      <c r="E18" s="625">
        <f>IF(inputOth!D18&gt;0,inputOth!D18,"  ")</f>
        <v>1.127</v>
      </c>
      <c r="F18" s="560">
        <f>IF(levypage8!$E$33&lt;&gt;0,levypage8!$E$33,"  ")</f>
        <v>5308</v>
      </c>
      <c r="G18" s="243">
        <f>IF(levypage8!$E$40&lt;&gt;0,levypage8!$E$40,"  ")</f>
        <v>500</v>
      </c>
      <c r="H18" s="622">
        <f>IF(levypage8!E40&gt;0,ROUND(G18/$F$27*1000,3)," ")</f>
        <v>0.109</v>
      </c>
      <c r="J18" s="503" t="str">
        <f>CONCATENATE("",I3-1," Mill Rate Was:")</f>
        <v>2014 Mill Rate Was:</v>
      </c>
      <c r="K18" s="498"/>
      <c r="L18" s="498"/>
      <c r="M18" s="505">
        <f>E23</f>
        <v>2.083</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2015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1638</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t="str">
        <f>IF((inputPrYr!$B$30&gt;" "),(NonBud!$A$3),"")</f>
        <v>Non-Budgeted Funds</v>
      </c>
      <c r="B22" s="485">
        <f>IF(NonBud!K28&gt;0,NonBud!K28,"")</f>
      </c>
      <c r="C22" s="623"/>
      <c r="D22" s="621"/>
      <c r="E22" s="626"/>
      <c r="F22" s="621"/>
      <c r="G22" s="628"/>
      <c r="H22" s="623"/>
      <c r="J22" s="511"/>
      <c r="K22" s="511"/>
      <c r="L22" s="511"/>
      <c r="M22" s="511"/>
    </row>
    <row r="23" spans="1:13" ht="15.75">
      <c r="A23" s="33" t="s">
        <v>134</v>
      </c>
      <c r="B23" s="619">
        <f>SUM(B16:B22)</f>
        <v>14489</v>
      </c>
      <c r="C23" s="624">
        <f aca="true" t="shared" si="0" ref="C23:H23">SUM(C16:C21)</f>
        <v>1.982</v>
      </c>
      <c r="D23" s="619">
        <f t="shared" si="0"/>
        <v>20853</v>
      </c>
      <c r="E23" s="627">
        <f t="shared" si="0"/>
        <v>2.083</v>
      </c>
      <c r="F23" s="619">
        <f t="shared" si="0"/>
        <v>22658</v>
      </c>
      <c r="G23" s="619">
        <f t="shared" si="0"/>
        <v>7891</v>
      </c>
      <c r="H23" s="627">
        <f t="shared" si="0"/>
        <v>1.725</v>
      </c>
      <c r="J23" s="708" t="str">
        <f>CONCATENATE("Impact On Keeping The Same Mill Rate As For ",I3-1,"")</f>
        <v>Impact On Keeping The Same Mill Rate As For 2014</v>
      </c>
      <c r="K23" s="713"/>
      <c r="L23" s="713"/>
      <c r="M23" s="714"/>
    </row>
    <row r="24" spans="1:13" ht="15.75">
      <c r="A24" s="33" t="s">
        <v>168</v>
      </c>
      <c r="B24" s="42">
        <f>transfers!C26</f>
        <v>2000</v>
      </c>
      <c r="C24" s="126"/>
      <c r="D24" s="42">
        <f>transfers!D26</f>
        <v>2000</v>
      </c>
      <c r="E24" s="126"/>
      <c r="F24" s="620">
        <f>transfers!E26</f>
        <v>2000</v>
      </c>
      <c r="G24" s="238"/>
      <c r="H24" s="295"/>
      <c r="J24" s="503"/>
      <c r="K24" s="498"/>
      <c r="L24" s="498"/>
      <c r="M24" s="504"/>
    </row>
    <row r="25" spans="1:13" ht="16.5" thickBot="1">
      <c r="A25" s="33" t="s">
        <v>169</v>
      </c>
      <c r="B25" s="129">
        <f>SUM(B23-B24)</f>
        <v>12489</v>
      </c>
      <c r="C25" s="296"/>
      <c r="D25" s="129">
        <f>SUM(D23-D24)</f>
        <v>18853</v>
      </c>
      <c r="E25" s="296"/>
      <c r="F25" s="484">
        <f>SUM(F23-F24)</f>
        <v>20658</v>
      </c>
      <c r="G25" s="238"/>
      <c r="H25" s="295"/>
      <c r="J25" s="503" t="str">
        <f>CONCATENATE("",I3," Ad Valorem Tax Revenue:")</f>
        <v>2015 Ad Valorem Tax Revenue:</v>
      </c>
      <c r="K25" s="498"/>
      <c r="L25" s="498"/>
      <c r="M25" s="499">
        <f>G23</f>
        <v>7891</v>
      </c>
    </row>
    <row r="26" spans="1:13" ht="16.5" thickTop="1">
      <c r="A26" s="33" t="s">
        <v>54</v>
      </c>
      <c r="B26" s="619">
        <f>inputPrYr!E44</f>
        <v>8578</v>
      </c>
      <c r="C26" s="215"/>
      <c r="D26" s="619">
        <f>inputPrYr!E24</f>
        <v>9482</v>
      </c>
      <c r="E26" s="215"/>
      <c r="F26" s="83" t="s">
        <v>174</v>
      </c>
      <c r="G26" s="18"/>
      <c r="H26" s="18"/>
      <c r="J26" s="503" t="str">
        <f>CONCATENATE("",I3-1," Ad Valorem Tax Revenue:")</f>
        <v>2014 Ad Valorem Tax Revenue:</v>
      </c>
      <c r="K26" s="498"/>
      <c r="L26" s="498"/>
      <c r="M26" s="512">
        <f>ROUND(F27*M18/1000,0)</f>
        <v>9529</v>
      </c>
    </row>
    <row r="27" spans="1:13" ht="15.75">
      <c r="A27" s="33" t="s">
        <v>170</v>
      </c>
      <c r="B27" s="42">
        <f>inputPrYr!E45</f>
        <v>4330670</v>
      </c>
      <c r="C27" s="215"/>
      <c r="D27" s="42">
        <f>inputOth!E24</f>
        <v>4554913</v>
      </c>
      <c r="E27" s="215"/>
      <c r="F27" s="42">
        <f>inputOth!E7</f>
        <v>4574740</v>
      </c>
      <c r="G27" s="18"/>
      <c r="H27" s="18"/>
      <c r="J27" s="513" t="s">
        <v>667</v>
      </c>
      <c r="K27" s="514"/>
      <c r="L27" s="514"/>
      <c r="M27" s="502">
        <f>M25-M26</f>
        <v>-1638</v>
      </c>
    </row>
    <row r="28" spans="1:13" ht="15.75">
      <c r="A28" s="20"/>
      <c r="B28" s="238"/>
      <c r="C28" s="69"/>
      <c r="D28" s="238"/>
      <c r="E28" s="69"/>
      <c r="F28" s="238"/>
      <c r="G28" s="18"/>
      <c r="H28" s="18"/>
      <c r="J28" s="515"/>
      <c r="K28" s="515"/>
      <c r="L28" s="515"/>
      <c r="M28" s="511"/>
    </row>
    <row r="29" spans="1:13" ht="16.5">
      <c r="A29" s="17" t="s">
        <v>55</v>
      </c>
      <c r="B29" s="18"/>
      <c r="C29" s="18"/>
      <c r="D29" s="18"/>
      <c r="E29" s="18"/>
      <c r="F29" s="18"/>
      <c r="G29" s="18"/>
      <c r="H29" s="18"/>
      <c r="J29" s="708" t="s">
        <v>668</v>
      </c>
      <c r="K29" s="711"/>
      <c r="L29" s="711"/>
      <c r="M29" s="712"/>
    </row>
    <row r="30" spans="1:13" ht="15.75">
      <c r="A30" s="17" t="s">
        <v>167</v>
      </c>
      <c r="B30" s="98">
        <f>I3-3</f>
        <v>2012</v>
      </c>
      <c r="C30" s="18"/>
      <c r="D30" s="98">
        <f>I3-2</f>
        <v>2013</v>
      </c>
      <c r="E30" s="18"/>
      <c r="F30" s="98">
        <f>I3-1</f>
        <v>2014</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2015 Estimated Mill Rate:</v>
      </c>
      <c r="K31" s="498"/>
      <c r="L31" s="498"/>
      <c r="M31" s="505">
        <f>H23</f>
        <v>1.725</v>
      </c>
    </row>
    <row r="32" spans="1:13" ht="15.75">
      <c r="A32" s="18" t="s">
        <v>57</v>
      </c>
      <c r="B32" s="297">
        <f>inputPrYr!D49</f>
        <v>0</v>
      </c>
      <c r="C32" s="18"/>
      <c r="D32" s="297">
        <f>inputPrYr!E49</f>
        <v>0</v>
      </c>
      <c r="E32" s="18"/>
      <c r="F32" s="297">
        <f>debt!F16</f>
        <v>0</v>
      </c>
      <c r="G32" s="18"/>
      <c r="H32" s="52"/>
      <c r="J32" s="503" t="str">
        <f>CONCATENATE("Desired ",I3," Mill Rate:")</f>
        <v>Desired 2015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2015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2015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15" t="str">
        <f>inputBudSum!B3</f>
        <v>Cathy Koch</v>
      </c>
      <c r="B40" s="678"/>
      <c r="C40" s="99"/>
      <c r="D40" s="18"/>
      <c r="E40" s="18"/>
      <c r="F40" s="18"/>
      <c r="G40" s="18"/>
      <c r="H40" s="52"/>
    </row>
    <row r="41" spans="1:8" ht="16.5">
      <c r="A41" s="706" t="str">
        <f>inputBudSum!B5</f>
        <v>Treasurer</v>
      </c>
      <c r="B41" s="707"/>
      <c r="C41" s="18"/>
      <c r="D41" s="138" t="s">
        <v>44</v>
      </c>
      <c r="E41" s="486">
        <v>9</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tabSelected="1" zoomScalePageLayoutView="0" workbookViewId="0" topLeftCell="A1">
      <selection activeCell="B32" sqref="B32"/>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2015</v>
      </c>
      <c r="E6" s="20"/>
    </row>
    <row r="7" spans="1:5" ht="15.75">
      <c r="A7" s="18"/>
      <c r="B7" s="18"/>
      <c r="C7" s="18"/>
      <c r="D7" s="18"/>
      <c r="E7" s="18"/>
    </row>
    <row r="8" spans="1:5" ht="16.5">
      <c r="A8" s="652" t="s">
        <v>207</v>
      </c>
      <c r="B8" s="653"/>
      <c r="C8" s="653"/>
      <c r="D8" s="653"/>
      <c r="E8" s="653"/>
    </row>
    <row r="9" spans="1:5" ht="15.75">
      <c r="A9" s="23" t="s">
        <v>78</v>
      </c>
      <c r="B9" s="24"/>
      <c r="C9" s="24"/>
      <c r="D9" s="24"/>
      <c r="E9" s="24"/>
    </row>
    <row r="10" spans="1:8" ht="16.5">
      <c r="A10" s="654" t="s">
        <v>206</v>
      </c>
      <c r="B10" s="655"/>
      <c r="C10" s="655"/>
      <c r="D10" s="655"/>
      <c r="E10" s="655"/>
      <c r="F10" s="18"/>
      <c r="G10" s="643" t="s">
        <v>705</v>
      </c>
      <c r="H10" s="644"/>
    </row>
    <row r="11" spans="1:8" ht="15.75">
      <c r="A11" s="25"/>
      <c r="B11" s="18"/>
      <c r="C11" s="18"/>
      <c r="D11" s="18"/>
      <c r="E11" s="18"/>
      <c r="F11" s="18"/>
      <c r="G11" s="645"/>
      <c r="H11" s="644"/>
    </row>
    <row r="12" spans="1:8" ht="16.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2014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2014</v>
      </c>
      <c r="E17" s="656" t="str">
        <f>CONCATENATE("Amount of ",D6-2,"     Ad Valorem Tax")</f>
        <v>Amount of 2013     Ad Valorem Tax</v>
      </c>
      <c r="G17" s="102" t="s">
        <v>706</v>
      </c>
      <c r="H17" s="111" t="s">
        <v>43</v>
      </c>
    </row>
    <row r="18" spans="1:8" ht="15.75">
      <c r="A18" s="17" t="s">
        <v>8</v>
      </c>
      <c r="B18" s="18"/>
      <c r="C18" s="30" t="s">
        <v>9</v>
      </c>
      <c r="D18" s="32" t="s">
        <v>276</v>
      </c>
      <c r="E18" s="657"/>
      <c r="G18" s="114" t="str">
        <f>CONCATENATE("",D6-2," Ad Valorem Tax")</f>
        <v>2013 Ad Valorem Tax</v>
      </c>
      <c r="H18" s="534">
        <v>0</v>
      </c>
    </row>
    <row r="19" spans="1:7" ht="15.75">
      <c r="A19" s="18"/>
      <c r="B19" s="33" t="s">
        <v>10</v>
      </c>
      <c r="C19" s="609" t="s">
        <v>794</v>
      </c>
      <c r="D19" s="35">
        <v>17350</v>
      </c>
      <c r="E19" s="35">
        <v>4350</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t="s">
        <v>795</v>
      </c>
      <c r="C22" s="392" t="s">
        <v>796</v>
      </c>
      <c r="D22" s="35">
        <v>5303</v>
      </c>
      <c r="E22" s="35">
        <v>5132</v>
      </c>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2014 Budgeted Year</v>
      </c>
      <c r="B24" s="40"/>
      <c r="C24" s="40"/>
      <c r="D24" s="41"/>
      <c r="E24" s="42">
        <f>SUM(E19:E20,E22:E23)</f>
        <v>9482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2014 Budgeted Year</v>
      </c>
      <c r="B28" s="40"/>
      <c r="C28" s="44"/>
      <c r="D28" s="45">
        <f>SUM(D19:D20,D22:D23,D26:D27)</f>
        <v>22653</v>
      </c>
      <c r="E28" s="37"/>
    </row>
    <row r="29" spans="1:5" ht="15.75">
      <c r="A29" s="18" t="s">
        <v>243</v>
      </c>
      <c r="B29" s="18"/>
      <c r="C29" s="18"/>
      <c r="D29" s="18"/>
      <c r="E29" s="37"/>
    </row>
    <row r="30" spans="1:5" ht="15.75">
      <c r="A30" s="18">
        <v>1</v>
      </c>
      <c r="B30" s="46" t="s">
        <v>797</v>
      </c>
      <c r="C30" s="18"/>
      <c r="D30" s="18"/>
      <c r="E30" s="37"/>
    </row>
    <row r="31" spans="1:5" ht="15.75">
      <c r="A31" s="18">
        <v>2</v>
      </c>
      <c r="B31" s="46" t="s">
        <v>798</v>
      </c>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2012 Tax Rate          (2013 Column)</v>
      </c>
      <c r="E36" s="37"/>
    </row>
    <row r="37" spans="1:5" ht="15.75">
      <c r="A37" s="28" t="str">
        <f>CONCATENATE("the ",D6-1," Budget, Budget Summary Page:")</f>
        <v>the 2014 Budget, Budget Summary Page:</v>
      </c>
      <c r="B37" s="29"/>
      <c r="C37" s="18"/>
      <c r="D37" s="647"/>
      <c r="E37" s="37"/>
    </row>
    <row r="38" spans="1:5" ht="15.75">
      <c r="A38" s="18"/>
      <c r="B38" s="36" t="str">
        <f>B19</f>
        <v>General</v>
      </c>
      <c r="C38" s="18"/>
      <c r="D38" s="47">
        <v>1.886</v>
      </c>
      <c r="E38" s="37"/>
    </row>
    <row r="39" spans="1:5" ht="15.75">
      <c r="A39" s="18"/>
      <c r="B39" s="36" t="str">
        <f>B20</f>
        <v>Debt Service</v>
      </c>
      <c r="C39" s="18"/>
      <c r="D39" s="47"/>
      <c r="E39" s="37"/>
    </row>
    <row r="40" spans="1:5" ht="15.75">
      <c r="A40" s="18"/>
      <c r="B40" s="36" t="str">
        <f>B22</f>
        <v>No Fund Warrant</v>
      </c>
      <c r="C40" s="18"/>
      <c r="D40" s="47">
        <v>0.096</v>
      </c>
      <c r="E40" s="37"/>
    </row>
    <row r="41" spans="1:5" ht="15.75">
      <c r="A41" s="18"/>
      <c r="B41" s="36">
        <f>B23</f>
        <v>0</v>
      </c>
      <c r="C41" s="18"/>
      <c r="D41" s="47"/>
      <c r="E41" s="37"/>
    </row>
    <row r="42" spans="1:5" ht="16.5" thickBot="1">
      <c r="A42" s="17" t="s">
        <v>13</v>
      </c>
      <c r="B42" s="18"/>
      <c r="C42" s="18"/>
      <c r="D42" s="48">
        <f>SUM(D38:D41)</f>
        <v>1.982</v>
      </c>
      <c r="E42" s="37"/>
    </row>
    <row r="43" spans="1:5" ht="16.5" thickTop="1">
      <c r="A43" s="18"/>
      <c r="B43" s="18"/>
      <c r="C43" s="18"/>
      <c r="D43" s="18"/>
      <c r="E43" s="37"/>
    </row>
    <row r="44" spans="1:5" ht="15.75">
      <c r="A44" s="49" t="str">
        <f>CONCATENATE("Total Tax Levied (",D6-2," budget column)")</f>
        <v>Total Tax Levied (2013 budget column)</v>
      </c>
      <c r="B44" s="27"/>
      <c r="C44" s="18"/>
      <c r="D44" s="18"/>
      <c r="E44" s="50">
        <v>8578</v>
      </c>
    </row>
    <row r="45" spans="1:5" ht="15.75">
      <c r="A45" s="49" t="str">
        <f>CONCATENATE("Assessed Valuation (",D6-2," budget column)")</f>
        <v>Assessed Valuation (2013 budget column)</v>
      </c>
      <c r="B45" s="27"/>
      <c r="C45" s="18"/>
      <c r="D45" s="18"/>
      <c r="E45" s="51">
        <v>4330670</v>
      </c>
    </row>
    <row r="46" spans="1:5" ht="15.75">
      <c r="A46" s="18"/>
      <c r="B46" s="18"/>
      <c r="C46" s="18"/>
      <c r="D46" s="18"/>
      <c r="E46" s="37"/>
    </row>
    <row r="47" spans="1:5" ht="15.75">
      <c r="A47" s="27" t="s">
        <v>208</v>
      </c>
      <c r="B47" s="27"/>
      <c r="C47" s="52"/>
      <c r="D47" s="53">
        <f>D6-3</f>
        <v>2012</v>
      </c>
      <c r="E47" s="53">
        <f>D6-2</f>
        <v>2013</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8"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Clyde Mount Hope CD # 14 </v>
      </c>
      <c r="B1" s="52"/>
      <c r="C1" s="52"/>
      <c r="D1" s="52"/>
      <c r="E1" s="52"/>
      <c r="F1" s="52">
        <f>inputPrYr!D6</f>
        <v>2015</v>
      </c>
    </row>
    <row r="2" spans="1:6" ht="16.5">
      <c r="A2" s="300"/>
      <c r="B2" s="52"/>
      <c r="C2" s="52"/>
      <c r="D2" s="52"/>
      <c r="E2" s="52"/>
      <c r="F2" s="52"/>
    </row>
    <row r="3" spans="1:6" ht="16.5">
      <c r="A3" s="52"/>
      <c r="B3" s="52"/>
      <c r="C3" s="52"/>
      <c r="D3" s="52"/>
      <c r="E3" s="52"/>
      <c r="F3" s="52"/>
    </row>
    <row r="4" spans="1:6" ht="16.5">
      <c r="A4" s="18"/>
      <c r="B4" s="669" t="str">
        <f>CONCATENATE("",F1," Neighborhood Revitalization Rebate")</f>
        <v>2015 Neighborhood Revitalization Rebate</v>
      </c>
      <c r="C4" s="722"/>
      <c r="D4" s="722"/>
      <c r="E4" s="716"/>
      <c r="F4" s="52"/>
    </row>
    <row r="5" spans="1:6" ht="16.5">
      <c r="A5" s="18"/>
      <c r="B5" s="18"/>
      <c r="C5" s="18"/>
      <c r="D5" s="18"/>
      <c r="E5" s="18"/>
      <c r="F5" s="52"/>
    </row>
    <row r="6" spans="1:6" ht="51.75" customHeight="1">
      <c r="A6" s="18"/>
      <c r="B6" s="158" t="str">
        <f>CONCATENATE("Budgeted Funds                                 for ",F1,"")</f>
        <v>Budgeted Funds                                 for 2015</v>
      </c>
      <c r="C6" s="158" t="str">
        <f>CONCATENATE("",F1-1," Ad Valorem before Rebate**")</f>
        <v>2014 Ad Valorem before Rebate**</v>
      </c>
      <c r="D6" s="301" t="str">
        <f>CONCATENATE("",F1-1," Mil Rate before Rebate")</f>
        <v>2014 Mil Rate before Rebate</v>
      </c>
      <c r="E6" s="302" t="str">
        <f>CONCATENATE("Estimate ",F1," NR Rebate")</f>
        <v>Estimate 2015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No Fund Warrant</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210</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23" t="str">
        <f>CONCATENATE("",F1-1," July 1 Valuation:")</f>
        <v>2014 July 1 Valuation:</v>
      </c>
      <c r="B16" s="721"/>
      <c r="C16" s="723"/>
      <c r="D16" s="308">
        <f>inputOth!E7</f>
        <v>4574740</v>
      </c>
      <c r="E16" s="18"/>
      <c r="F16" s="52"/>
    </row>
    <row r="17" spans="1:6" ht="16.5">
      <c r="A17" s="18"/>
      <c r="B17" s="18"/>
      <c r="C17" s="18"/>
      <c r="D17" s="18"/>
      <c r="E17" s="18"/>
      <c r="F17" s="52"/>
    </row>
    <row r="18" spans="1:6" ht="16.5">
      <c r="A18" s="18"/>
      <c r="B18" s="723" t="s">
        <v>318</v>
      </c>
      <c r="C18" s="723"/>
      <c r="D18" s="309">
        <f>IF(D16&gt;0,(D16*0.001),"")</f>
        <v>4574.74</v>
      </c>
      <c r="E18" s="18"/>
      <c r="F18" s="52"/>
    </row>
    <row r="19" spans="1:6" ht="16.5">
      <c r="A19" s="18"/>
      <c r="B19" s="138"/>
      <c r="C19" s="138"/>
      <c r="D19" s="310"/>
      <c r="E19" s="18"/>
      <c r="F19" s="52"/>
    </row>
    <row r="20" spans="1:6" ht="16.5">
      <c r="A20" s="720" t="s">
        <v>316</v>
      </c>
      <c r="B20" s="716"/>
      <c r="C20" s="716"/>
      <c r="D20" s="311">
        <f>inputOth!E12</f>
        <v>0</v>
      </c>
      <c r="E20" s="62"/>
      <c r="F20" s="62"/>
    </row>
    <row r="21" spans="1:6" ht="16.5">
      <c r="A21" s="62"/>
      <c r="B21" s="62"/>
      <c r="C21" s="62"/>
      <c r="D21" s="312"/>
      <c r="E21" s="62"/>
      <c r="F21" s="62"/>
    </row>
    <row r="22" spans="1:6" ht="16.5">
      <c r="A22" s="62"/>
      <c r="B22" s="720" t="s">
        <v>317</v>
      </c>
      <c r="C22" s="721"/>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2" t="str">
        <f>CONCATENATE("**This information comes from the ",F1," Budget Summary page.  See instructions tab #12 for completing")</f>
        <v>**This information comes from the 2015 Budget Summary page.  See instructions tab #12 for completing</v>
      </c>
      <c r="B26" s="62"/>
      <c r="C26" s="62"/>
      <c r="D26" s="62"/>
      <c r="E26" s="62"/>
      <c r="F26" s="62"/>
    </row>
    <row r="27" spans="1:6" ht="16.5">
      <c r="A27" s="362" t="s">
        <v>547</v>
      </c>
      <c r="B27" s="62"/>
      <c r="C27" s="62"/>
      <c r="D27" s="62"/>
      <c r="E27" s="62"/>
      <c r="F27" s="62"/>
    </row>
    <row r="28" spans="1:6" ht="16.5">
      <c r="A28" s="362"/>
      <c r="B28" s="62"/>
      <c r="C28" s="62"/>
      <c r="D28" s="62"/>
      <c r="E28" s="62"/>
      <c r="F28" s="62"/>
    </row>
    <row r="29" spans="1:6" ht="16.5">
      <c r="A29" s="362"/>
      <c r="B29" s="62"/>
      <c r="C29" s="62"/>
      <c r="D29" s="62"/>
      <c r="E29" s="62"/>
      <c r="F29" s="62"/>
    </row>
    <row r="30" spans="1:6" ht="16.5">
      <c r="A30" s="362"/>
      <c r="B30" s="62"/>
      <c r="C30" s="62"/>
      <c r="D30" s="62"/>
      <c r="E30" s="62"/>
      <c r="F30" s="62"/>
    </row>
    <row r="31" spans="1:6" ht="16.5">
      <c r="A31" s="362"/>
      <c r="B31" s="62"/>
      <c r="C31" s="62"/>
      <c r="D31" s="62"/>
      <c r="E31" s="62"/>
      <c r="F31" s="62"/>
    </row>
    <row r="32" spans="1:6" ht="16.5">
      <c r="A32" s="362"/>
      <c r="B32" s="62"/>
      <c r="C32" s="62"/>
      <c r="D32" s="62"/>
      <c r="E32" s="62"/>
      <c r="F32" s="62"/>
    </row>
    <row r="33" spans="1:6" ht="16.5">
      <c r="A33" s="362"/>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5">
      <selection activeCell="E46" sqref="E46:H46"/>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6.5">
      <c r="B2" s="6"/>
      <c r="C2"/>
      <c r="D2"/>
      <c r="E2"/>
      <c r="F2"/>
      <c r="G2"/>
      <c r="H2"/>
    </row>
    <row r="3" spans="2:8" ht="15.75">
      <c r="B3" s="725" t="s">
        <v>137</v>
      </c>
      <c r="C3" s="725"/>
      <c r="D3" s="725"/>
      <c r="E3" s="725"/>
      <c r="F3" s="725"/>
      <c r="G3" s="725"/>
      <c r="H3" s="725"/>
    </row>
    <row r="4" spans="2:8" ht="16.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Clyde Mount Hope CD # 14  District with respect to financing the 2015 annual budget for Clyde Mount Hope CD # 14  , Cloud County  , Kansas.</v>
      </c>
      <c r="C5" s="731"/>
      <c r="D5" s="731"/>
      <c r="E5" s="731"/>
      <c r="F5" s="731"/>
      <c r="G5" s="731"/>
      <c r="H5" s="731"/>
    </row>
    <row r="6" spans="2:10" ht="15.75">
      <c r="B6" s="731"/>
      <c r="C6" s="731"/>
      <c r="D6" s="731"/>
      <c r="E6" s="731"/>
      <c r="F6" s="731"/>
      <c r="G6" s="731"/>
      <c r="H6" s="731"/>
      <c r="J6" s="2">
        <f>CONCATENATE(J7)</f>
      </c>
    </row>
    <row r="7" spans="2:8" ht="16.5">
      <c r="B7" s="11"/>
      <c r="C7"/>
      <c r="D7"/>
      <c r="E7"/>
      <c r="F7"/>
      <c r="G7"/>
      <c r="H7"/>
    </row>
    <row r="8" spans="2:8" ht="16.5">
      <c r="B8" s="12" t="s">
        <v>175</v>
      </c>
      <c r="C8"/>
      <c r="D8"/>
      <c r="E8"/>
      <c r="F8"/>
      <c r="G8"/>
      <c r="H8"/>
    </row>
    <row r="9" spans="2:8" ht="16.5">
      <c r="B9" s="12" t="str">
        <f>CONCATENATE("",inputPrYr!D6," ",(inputPrYr!D3)," district budget exceed the amount levied to finance the")</f>
        <v>2015 Clyde Mount Hope CD # 14  district budget exceed the amount levied to finance the</v>
      </c>
      <c r="C9"/>
      <c r="D9"/>
      <c r="E9"/>
      <c r="F9"/>
      <c r="G9"/>
      <c r="H9"/>
    </row>
    <row r="10" spans="2:8" ht="16.5">
      <c r="B10" s="12" t="str">
        <f>CONCATENATE("",inputPrYr!D6-1," ",inputPrYr!D3," except with regard to revenue produced and attributable to the")</f>
        <v>2014 Clyde Mount Hope CD # 14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6.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6.5">
      <c r="B18" s="12"/>
      <c r="C18"/>
      <c r="D18"/>
      <c r="E18"/>
      <c r="F18"/>
      <c r="G18"/>
      <c r="H18"/>
    </row>
    <row r="19" spans="2:8" ht="16.5">
      <c r="B19" s="12" t="str">
        <f>CONCATENATE("Whereas, ",(inputPrYr!D3)," provides essential services to district residents; and")</f>
        <v>Whereas, Clyde Mount Hope CD # 14  provides essential services to district residents; and</v>
      </c>
      <c r="C19"/>
      <c r="D19"/>
      <c r="E19"/>
      <c r="F19"/>
      <c r="G19"/>
      <c r="H19"/>
    </row>
    <row r="20" spans="2:8" ht="16.5">
      <c r="B20" s="12"/>
      <c r="C20"/>
      <c r="D20"/>
      <c r="E20"/>
      <c r="F20"/>
      <c r="G20"/>
      <c r="H20"/>
    </row>
    <row r="21" spans="2:8" ht="16.5">
      <c r="B21" s="12" t="s">
        <v>150</v>
      </c>
      <c r="C21"/>
      <c r="D21"/>
      <c r="E21"/>
      <c r="F21"/>
      <c r="G21"/>
      <c r="H21"/>
    </row>
    <row r="22" spans="2:8" ht="16.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Clyde Mount Hope CD # 14  that is our desire to notify the public of the possibility of increased property taxes to finance the 2015 Clyde Mount Hope CD # 14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6.5">
      <c r="B26" s="12"/>
      <c r="C26"/>
      <c r="D26"/>
      <c r="E26"/>
      <c r="F26"/>
      <c r="G26"/>
      <c r="H26"/>
    </row>
    <row r="27" spans="2:8" ht="15.75">
      <c r="B27" s="732" t="str">
        <f>CONCATENATE("Adopted this _________ day of ___________, ",inputPrYr!D6-1," by the ",(inputPrYr!D3)," District Board, ",(inputPrYr!D4),", Kansas.")</f>
        <v>Adopted this _________ day of ___________, 2014 by the Clyde Mount Hope CD # 14  District Board, Cloud County , Kansas.</v>
      </c>
      <c r="C27" s="731"/>
      <c r="D27" s="731"/>
      <c r="E27" s="731"/>
      <c r="F27" s="731"/>
      <c r="G27" s="731"/>
      <c r="H27" s="731"/>
    </row>
    <row r="28" spans="2:8" ht="15.75">
      <c r="B28" s="731"/>
      <c r="C28" s="731"/>
      <c r="D28" s="731"/>
      <c r="E28" s="731"/>
      <c r="F28" s="731"/>
      <c r="G28" s="731"/>
      <c r="H28" s="731"/>
    </row>
    <row r="29" spans="2:8" ht="16.5">
      <c r="B29" s="8"/>
      <c r="C29"/>
      <c r="D29"/>
      <c r="E29"/>
      <c r="F29"/>
      <c r="G29"/>
      <c r="H29"/>
    </row>
    <row r="30" spans="2:8" ht="16.5">
      <c r="B30" s="8"/>
      <c r="C30"/>
      <c r="D30"/>
      <c r="E30"/>
      <c r="F30"/>
      <c r="G30"/>
      <c r="H30"/>
    </row>
    <row r="31" spans="2:8" ht="16.5">
      <c r="B31" s="9" t="str">
        <f>CONCATENATE(" ",(inputPrYr!D3)," District Board")</f>
        <v> Clyde Mount Hope CD # 14  District Board</v>
      </c>
      <c r="C31"/>
      <c r="D31"/>
      <c r="E31"/>
      <c r="F31"/>
      <c r="G31"/>
      <c r="H31"/>
    </row>
    <row r="32" spans="2:8" ht="16.5">
      <c r="B32" s="8"/>
      <c r="C32"/>
      <c r="D32"/>
      <c r="E32"/>
      <c r="F32"/>
      <c r="G32"/>
      <c r="H32"/>
    </row>
    <row r="33" spans="2:8" ht="16.5">
      <c r="B33"/>
      <c r="C33"/>
      <c r="D33"/>
      <c r="E33" s="728" t="s">
        <v>138</v>
      </c>
      <c r="F33" s="728"/>
      <c r="G33" s="728"/>
      <c r="H33" s="728"/>
    </row>
    <row r="34" spans="2:8" ht="16.5">
      <c r="B34"/>
      <c r="C34"/>
      <c r="D34"/>
      <c r="E34" s="728" t="s">
        <v>141</v>
      </c>
      <c r="F34" s="728"/>
      <c r="G34" s="728"/>
      <c r="H34" s="728"/>
    </row>
    <row r="35" spans="2:8" ht="16.5">
      <c r="B35" s="8"/>
      <c r="C35"/>
      <c r="D35"/>
      <c r="E35" s="728"/>
      <c r="F35" s="728"/>
      <c r="G35" s="728"/>
      <c r="H35" s="728"/>
    </row>
    <row r="36" spans="2:8" ht="16.5">
      <c r="B36"/>
      <c r="C36"/>
      <c r="D36"/>
      <c r="E36" s="728" t="s">
        <v>138</v>
      </c>
      <c r="F36" s="728"/>
      <c r="G36" s="728"/>
      <c r="H36" s="728"/>
    </row>
    <row r="37" spans="2:8" ht="16.5">
      <c r="B37"/>
      <c r="C37"/>
      <c r="D37"/>
      <c r="E37" s="728" t="s">
        <v>142</v>
      </c>
      <c r="F37" s="728"/>
      <c r="G37" s="728"/>
      <c r="H37" s="728"/>
    </row>
    <row r="38" spans="2:8" ht="16.5">
      <c r="B38" s="8"/>
      <c r="C38"/>
      <c r="D38"/>
      <c r="E38" s="728"/>
      <c r="F38" s="728"/>
      <c r="G38" s="728"/>
      <c r="H38" s="728"/>
    </row>
    <row r="39" spans="2:8" ht="16.5">
      <c r="B39"/>
      <c r="C39"/>
      <c r="D39"/>
      <c r="E39" s="728" t="s">
        <v>138</v>
      </c>
      <c r="F39" s="728"/>
      <c r="G39" s="728"/>
      <c r="H39" s="728"/>
    </row>
    <row r="40" spans="2:8" ht="16.5">
      <c r="B40"/>
      <c r="C40"/>
      <c r="D40"/>
      <c r="E40" s="728" t="s">
        <v>143</v>
      </c>
      <c r="F40" s="728"/>
      <c r="G40" s="728"/>
      <c r="H40" s="728"/>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v>9</v>
      </c>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4" t="s">
        <v>335</v>
      </c>
      <c r="B3" s="354"/>
      <c r="C3" s="354"/>
      <c r="D3" s="354"/>
      <c r="E3" s="354"/>
      <c r="F3" s="354"/>
      <c r="G3" s="354"/>
      <c r="H3" s="354"/>
      <c r="I3" s="354"/>
      <c r="J3" s="354"/>
      <c r="K3" s="354"/>
      <c r="L3" s="354"/>
    </row>
    <row r="5" ht="16.5">
      <c r="A5" s="355" t="s">
        <v>336</v>
      </c>
    </row>
    <row r="6" ht="16.5">
      <c r="A6" s="355" t="str">
        <f>CONCATENATE(inputPrYr!D6-2," 'total expenditures' exceed your ",inputPrYr!D6-2," 'budget authority.'")</f>
        <v>2013 'total expenditures' exceed your 2013 'budget authority.'</v>
      </c>
    </row>
    <row r="7" ht="16.5">
      <c r="A7" s="355"/>
    </row>
    <row r="8" ht="16.5">
      <c r="A8" s="355" t="s">
        <v>337</v>
      </c>
    </row>
    <row r="9" ht="16.5">
      <c r="A9" s="355" t="s">
        <v>338</v>
      </c>
    </row>
    <row r="10" ht="16.5">
      <c r="A10" s="355" t="s">
        <v>339</v>
      </c>
    </row>
    <row r="11" ht="16.5">
      <c r="A11" s="355"/>
    </row>
    <row r="12" ht="16.5">
      <c r="A12" s="355"/>
    </row>
    <row r="13" ht="16.5">
      <c r="A13" s="356" t="s">
        <v>340</v>
      </c>
    </row>
    <row r="15" ht="16.5">
      <c r="A15" s="355" t="s">
        <v>341</v>
      </c>
    </row>
    <row r="16" ht="16.5">
      <c r="A16" s="355" t="str">
        <f>CONCATENATE("(i.e. an audit has not been completed, or the ",inputPrYr!D6," adopted")</f>
        <v>(i.e. an audit has not been completed, or the 2015 adopted</v>
      </c>
    </row>
    <row r="17" ht="16.5">
      <c r="A17" s="355" t="s">
        <v>342</v>
      </c>
    </row>
    <row r="18" ht="16.5">
      <c r="A18" s="355" t="s">
        <v>343</v>
      </c>
    </row>
    <row r="19" ht="16.5">
      <c r="A19" s="355" t="s">
        <v>344</v>
      </c>
    </row>
    <row r="21" ht="16.5">
      <c r="A21" s="356" t="s">
        <v>345</v>
      </c>
    </row>
    <row r="22" ht="16.5">
      <c r="A22" s="356"/>
    </row>
    <row r="23" ht="16.5">
      <c r="A23" s="355" t="s">
        <v>346</v>
      </c>
    </row>
    <row r="24" ht="16.5">
      <c r="A24" s="355" t="s">
        <v>347</v>
      </c>
    </row>
    <row r="25" ht="16.5">
      <c r="A25" s="355" t="str">
        <f>CONCATENATE("particular fund.  If your ",inputPrYr!D6-2," budget was amended, did you")</f>
        <v>particular fund.  If your 2013 budget was amended, did you</v>
      </c>
    </row>
    <row r="26" ht="16.5">
      <c r="A26" s="355" t="s">
        <v>348</v>
      </c>
    </row>
    <row r="27" ht="16.5">
      <c r="A27" s="355"/>
    </row>
    <row r="28" ht="16.5">
      <c r="A28" s="355" t="str">
        <f>CONCATENATE("Next, look to see if any of your ",inputPrYr!D6-2," expenditures can be")</f>
        <v>Next, look to see if any of your 2013 expenditures can be</v>
      </c>
    </row>
    <row r="29" ht="16.5">
      <c r="A29" s="355" t="s">
        <v>349</v>
      </c>
    </row>
    <row r="30" ht="16.5">
      <c r="A30" s="355" t="s">
        <v>350</v>
      </c>
    </row>
    <row r="31" ht="16.5">
      <c r="A31" s="355" t="s">
        <v>351</v>
      </c>
    </row>
    <row r="32" ht="16.5">
      <c r="A32" s="355"/>
    </row>
    <row r="33" ht="16.5">
      <c r="A33" s="355" t="str">
        <f>CONCATENATE("Additionally, do your ",inputPrYr!D6-2," receipts contain a reimbursement")</f>
        <v>Additionally, do your 2013 receipts contain a reimbursement</v>
      </c>
    </row>
    <row r="34" ht="16.5">
      <c r="A34" s="355" t="s">
        <v>352</v>
      </c>
    </row>
    <row r="35" ht="16.5">
      <c r="A35" s="355" t="s">
        <v>353</v>
      </c>
    </row>
    <row r="36" ht="16.5">
      <c r="A36" s="355"/>
    </row>
    <row r="37" ht="16.5">
      <c r="A37" s="355" t="s">
        <v>357</v>
      </c>
    </row>
    <row r="38" ht="16.5">
      <c r="A38" s="355" t="s">
        <v>358</v>
      </c>
    </row>
    <row r="39" ht="16.5">
      <c r="A39" s="355" t="s">
        <v>359</v>
      </c>
    </row>
    <row r="40" ht="16.5">
      <c r="A40" s="355"/>
    </row>
    <row r="41" ht="16.5">
      <c r="A41" s="356" t="s">
        <v>360</v>
      </c>
    </row>
    <row r="42" ht="16.5">
      <c r="A42" s="355"/>
    </row>
    <row r="43" ht="16.5">
      <c r="A43" s="355" t="s">
        <v>361</v>
      </c>
    </row>
    <row r="44" ht="16.5">
      <c r="A44" s="355" t="s">
        <v>362</v>
      </c>
    </row>
    <row r="45" ht="16.5">
      <c r="A45" s="355" t="s">
        <v>363</v>
      </c>
    </row>
    <row r="46" ht="16.5">
      <c r="A46" s="355" t="s">
        <v>364</v>
      </c>
    </row>
    <row r="47" ht="16.5">
      <c r="A47" s="355" t="s">
        <v>365</v>
      </c>
    </row>
    <row r="48" ht="16.5">
      <c r="A48" s="355" t="s">
        <v>366</v>
      </c>
    </row>
    <row r="49" ht="16.5">
      <c r="A49" s="355" t="s">
        <v>367</v>
      </c>
    </row>
    <row r="50" ht="16.5">
      <c r="A50" s="355" t="s">
        <v>368</v>
      </c>
    </row>
    <row r="51" ht="16.5">
      <c r="A51" s="355" t="s">
        <v>369</v>
      </c>
    </row>
    <row r="52" ht="16.5">
      <c r="A52" s="355" t="s">
        <v>370</v>
      </c>
    </row>
    <row r="53" ht="16.5">
      <c r="A53" s="355" t="s">
        <v>371</v>
      </c>
    </row>
    <row r="54" ht="16.5">
      <c r="A54" s="355" t="s">
        <v>372</v>
      </c>
    </row>
    <row r="55" ht="16.5">
      <c r="A55" s="355" t="s">
        <v>373</v>
      </c>
    </row>
    <row r="56" ht="16.5">
      <c r="A56" s="355"/>
    </row>
    <row r="57" ht="16.5">
      <c r="A57" s="355" t="s">
        <v>374</v>
      </c>
    </row>
    <row r="58" ht="16.5">
      <c r="A58" s="355" t="s">
        <v>375</v>
      </c>
    </row>
    <row r="59" ht="16.5">
      <c r="A59" s="355" t="s">
        <v>376</v>
      </c>
    </row>
    <row r="60" ht="16.5">
      <c r="A60" s="355"/>
    </row>
    <row r="61" ht="16.5">
      <c r="A61" s="356" t="str">
        <f>CONCATENATE("What if the ",inputPrYr!D6-2," financial records have been closed?")</f>
        <v>What if the 2013 financial records have been closed?</v>
      </c>
    </row>
    <row r="63" ht="16.5">
      <c r="A63" s="355" t="s">
        <v>377</v>
      </c>
    </row>
    <row r="64" ht="16.5">
      <c r="A64" s="355" t="str">
        <f>CONCATENATE("(i.e. an audit for ",inputPrYr!D6-2," has been completed, or the ",inputPrYr!D6)</f>
        <v>(i.e. an audit for 2013 has been completed, or the 2015</v>
      </c>
    </row>
    <row r="65" ht="16.5">
      <c r="A65" s="355" t="s">
        <v>378</v>
      </c>
    </row>
    <row r="66" ht="16.5">
      <c r="A66" s="355" t="s">
        <v>379</v>
      </c>
    </row>
    <row r="67" ht="16.5">
      <c r="A67" s="355"/>
    </row>
    <row r="68" ht="16.5">
      <c r="A68" s="355" t="s">
        <v>380</v>
      </c>
    </row>
    <row r="69" ht="16.5">
      <c r="A69" s="355" t="s">
        <v>381</v>
      </c>
    </row>
    <row r="70" ht="16.5">
      <c r="A70" s="355" t="s">
        <v>382</v>
      </c>
    </row>
    <row r="71" ht="16.5">
      <c r="A71" s="355"/>
    </row>
    <row r="72" ht="16.5">
      <c r="A72" s="355" t="s">
        <v>383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4" t="s">
        <v>384</v>
      </c>
      <c r="B3" s="354"/>
      <c r="C3" s="354"/>
      <c r="D3" s="354"/>
      <c r="E3" s="354"/>
      <c r="F3" s="354"/>
      <c r="G3" s="354"/>
      <c r="H3" s="357"/>
      <c r="I3" s="357"/>
      <c r="J3" s="357"/>
    </row>
    <row r="5" ht="16.5">
      <c r="A5" s="355" t="s">
        <v>385</v>
      </c>
    </row>
    <row r="6" ht="16.5">
      <c r="A6" t="str">
        <f>CONCATENATE(inputPrYr!D6-2," expenditures show that you finished the year with a ")</f>
        <v>2013 expenditures show that you finished the year with a </v>
      </c>
    </row>
    <row r="7" ht="16.5">
      <c r="A7" t="s">
        <v>386</v>
      </c>
    </row>
    <row r="9" ht="16.5">
      <c r="A9" t="s">
        <v>387</v>
      </c>
    </row>
    <row r="10" ht="16.5">
      <c r="A10" t="s">
        <v>388</v>
      </c>
    </row>
    <row r="11" ht="16.5">
      <c r="A11" t="s">
        <v>389</v>
      </c>
    </row>
    <row r="13" ht="16.5">
      <c r="A13" s="356" t="s">
        <v>390</v>
      </c>
    </row>
    <row r="14" ht="16.5">
      <c r="A14" s="356"/>
    </row>
    <row r="15" ht="16.5">
      <c r="A15" s="355" t="s">
        <v>391</v>
      </c>
    </row>
    <row r="16" ht="16.5">
      <c r="A16" s="355" t="s">
        <v>392</v>
      </c>
    </row>
    <row r="17" ht="16.5">
      <c r="A17" s="355" t="s">
        <v>393</v>
      </c>
    </row>
    <row r="18" ht="16.5">
      <c r="A18" s="355"/>
    </row>
    <row r="19" ht="16.5">
      <c r="A19" s="356" t="s">
        <v>394</v>
      </c>
    </row>
    <row r="20" ht="16.5">
      <c r="A20" s="356"/>
    </row>
    <row r="21" ht="16.5">
      <c r="A21" s="355" t="s">
        <v>395</v>
      </c>
    </row>
    <row r="22" ht="16.5">
      <c r="A22" s="355" t="s">
        <v>396</v>
      </c>
    </row>
    <row r="23" ht="16.5">
      <c r="A23" s="355" t="s">
        <v>397</v>
      </c>
    </row>
    <row r="24" ht="16.5">
      <c r="A24" s="355"/>
    </row>
    <row r="25" ht="16.5">
      <c r="A25" s="356" t="s">
        <v>398</v>
      </c>
    </row>
    <row r="26" ht="16.5">
      <c r="A26" s="356"/>
    </row>
    <row r="27" ht="16.5">
      <c r="A27" s="355" t="s">
        <v>399</v>
      </c>
    </row>
    <row r="28" ht="16.5">
      <c r="A28" s="355" t="s">
        <v>400</v>
      </c>
    </row>
    <row r="29" ht="16.5">
      <c r="A29" s="355" t="s">
        <v>401</v>
      </c>
    </row>
    <row r="30" ht="16.5">
      <c r="A30" s="355"/>
    </row>
    <row r="31" ht="16.5">
      <c r="A31" s="356" t="s">
        <v>402</v>
      </c>
    </row>
    <row r="32" ht="16.5">
      <c r="A32" s="356"/>
    </row>
    <row r="33" spans="1:8" ht="16.5">
      <c r="A33" s="355" t="str">
        <f>CONCATENATE("If your financial records for ",inputPrYr!D6-2," are not closed")</f>
        <v>If your financial records for 2013 are not closed</v>
      </c>
      <c r="B33" s="355"/>
      <c r="C33" s="355"/>
      <c r="D33" s="355"/>
      <c r="E33" s="355"/>
      <c r="F33" s="355"/>
      <c r="G33" s="355"/>
      <c r="H33" s="355"/>
    </row>
    <row r="34" spans="1:8" ht="16.5">
      <c r="A34" s="355" t="str">
        <f>CONCATENATE("(i.e. an audit has not been completed, or the ",inputPrYr!D6," adopted ")</f>
        <v>(i.e. an audit has not been completed, or the 2015 adopted </v>
      </c>
      <c r="B34" s="355"/>
      <c r="C34" s="355"/>
      <c r="D34" s="355"/>
      <c r="E34" s="355"/>
      <c r="F34" s="355"/>
      <c r="G34" s="355"/>
      <c r="H34" s="355"/>
    </row>
    <row r="35" spans="1:8" ht="16.5">
      <c r="A35" s="355" t="s">
        <v>403</v>
      </c>
      <c r="B35" s="355"/>
      <c r="C35" s="355"/>
      <c r="D35" s="355"/>
      <c r="E35" s="355"/>
      <c r="F35" s="355"/>
      <c r="G35" s="355"/>
      <c r="H35" s="355"/>
    </row>
    <row r="36" spans="1:8" ht="16.5">
      <c r="A36" s="355" t="s">
        <v>404</v>
      </c>
      <c r="B36" s="355"/>
      <c r="C36" s="355"/>
      <c r="D36" s="355"/>
      <c r="E36" s="355"/>
      <c r="F36" s="355"/>
      <c r="G36" s="355"/>
      <c r="H36" s="355"/>
    </row>
    <row r="37" spans="1:8" ht="16.5">
      <c r="A37" s="355" t="s">
        <v>405</v>
      </c>
      <c r="B37" s="355"/>
      <c r="C37" s="355"/>
      <c r="D37" s="355"/>
      <c r="E37" s="355"/>
      <c r="F37" s="355"/>
      <c r="G37" s="355"/>
      <c r="H37" s="355"/>
    </row>
    <row r="38" spans="1:8" ht="16.5">
      <c r="A38" s="355" t="s">
        <v>406</v>
      </c>
      <c r="B38" s="355"/>
      <c r="C38" s="355"/>
      <c r="D38" s="355"/>
      <c r="E38" s="355"/>
      <c r="F38" s="355"/>
      <c r="G38" s="355"/>
      <c r="H38" s="355"/>
    </row>
    <row r="39" spans="1:8" ht="16.5">
      <c r="A39" s="355" t="s">
        <v>407</v>
      </c>
      <c r="B39" s="355"/>
      <c r="C39" s="355"/>
      <c r="D39" s="355"/>
      <c r="E39" s="355"/>
      <c r="F39" s="355"/>
      <c r="G39" s="355"/>
      <c r="H39" s="355"/>
    </row>
    <row r="40" spans="1:8" ht="16.5">
      <c r="A40" s="355"/>
      <c r="B40" s="355"/>
      <c r="C40" s="355"/>
      <c r="D40" s="355"/>
      <c r="E40" s="355"/>
      <c r="F40" s="355"/>
      <c r="G40" s="355"/>
      <c r="H40" s="355"/>
    </row>
    <row r="41" spans="1:8" ht="16.5">
      <c r="A41" s="355" t="s">
        <v>408</v>
      </c>
      <c r="B41" s="355"/>
      <c r="C41" s="355"/>
      <c r="D41" s="355"/>
      <c r="E41" s="355"/>
      <c r="F41" s="355"/>
      <c r="G41" s="355"/>
      <c r="H41" s="355"/>
    </row>
    <row r="42" spans="1:8" ht="16.5">
      <c r="A42" s="355" t="s">
        <v>409</v>
      </c>
      <c r="B42" s="355"/>
      <c r="C42" s="355"/>
      <c r="D42" s="355"/>
      <c r="E42" s="355"/>
      <c r="F42" s="355"/>
      <c r="G42" s="355"/>
      <c r="H42" s="355"/>
    </row>
    <row r="43" spans="1:8" ht="16.5">
      <c r="A43" s="355" t="s">
        <v>410</v>
      </c>
      <c r="B43" s="355"/>
      <c r="C43" s="355"/>
      <c r="D43" s="355"/>
      <c r="E43" s="355"/>
      <c r="F43" s="355"/>
      <c r="G43" s="355"/>
      <c r="H43" s="355"/>
    </row>
    <row r="44" spans="1:8" ht="16.5">
      <c r="A44" s="355" t="s">
        <v>411</v>
      </c>
      <c r="B44" s="355"/>
      <c r="C44" s="355"/>
      <c r="D44" s="355"/>
      <c r="E44" s="355"/>
      <c r="F44" s="355"/>
      <c r="G44" s="355"/>
      <c r="H44" s="355"/>
    </row>
    <row r="45" spans="1:8" ht="16.5">
      <c r="A45" s="355"/>
      <c r="B45" s="355"/>
      <c r="C45" s="355"/>
      <c r="D45" s="355"/>
      <c r="E45" s="355"/>
      <c r="F45" s="355"/>
      <c r="G45" s="355"/>
      <c r="H45" s="355"/>
    </row>
    <row r="46" spans="1:8" ht="16.5">
      <c r="A46" s="355" t="s">
        <v>412</v>
      </c>
      <c r="B46" s="355"/>
      <c r="C46" s="355"/>
      <c r="D46" s="355"/>
      <c r="E46" s="355"/>
      <c r="F46" s="355"/>
      <c r="G46" s="355"/>
      <c r="H46" s="355"/>
    </row>
    <row r="47" spans="1:8" ht="16.5">
      <c r="A47" s="355" t="s">
        <v>413</v>
      </c>
      <c r="B47" s="355"/>
      <c r="C47" s="355"/>
      <c r="D47" s="355"/>
      <c r="E47" s="355"/>
      <c r="F47" s="355"/>
      <c r="G47" s="355"/>
      <c r="H47" s="355"/>
    </row>
    <row r="48" spans="1:8" ht="16.5">
      <c r="A48" s="355" t="s">
        <v>414</v>
      </c>
      <c r="B48" s="355"/>
      <c r="C48" s="355"/>
      <c r="D48" s="355"/>
      <c r="E48" s="355"/>
      <c r="F48" s="355"/>
      <c r="G48" s="355"/>
      <c r="H48" s="355"/>
    </row>
    <row r="49" spans="1:8" ht="16.5">
      <c r="A49" s="355" t="s">
        <v>415</v>
      </c>
      <c r="B49" s="355"/>
      <c r="C49" s="355"/>
      <c r="D49" s="355"/>
      <c r="E49" s="355"/>
      <c r="F49" s="355"/>
      <c r="G49" s="355"/>
      <c r="H49" s="355"/>
    </row>
    <row r="50" spans="1:8" ht="16.5">
      <c r="A50" s="355" t="s">
        <v>416</v>
      </c>
      <c r="B50" s="355"/>
      <c r="C50" s="355"/>
      <c r="D50" s="355"/>
      <c r="E50" s="355"/>
      <c r="F50" s="355"/>
      <c r="G50" s="355"/>
      <c r="H50" s="355"/>
    </row>
    <row r="51" spans="1:8" ht="16.5">
      <c r="A51" s="355"/>
      <c r="B51" s="355"/>
      <c r="C51" s="355"/>
      <c r="D51" s="355"/>
      <c r="E51" s="355"/>
      <c r="F51" s="355"/>
      <c r="G51" s="355"/>
      <c r="H51" s="355"/>
    </row>
    <row r="52" spans="1:8" ht="16.5">
      <c r="A52" s="356" t="s">
        <v>417</v>
      </c>
      <c r="B52" s="356"/>
      <c r="C52" s="356"/>
      <c r="D52" s="356"/>
      <c r="E52" s="356"/>
      <c r="F52" s="356"/>
      <c r="G52" s="356"/>
      <c r="H52" s="355"/>
    </row>
    <row r="53" spans="1:8" ht="16.5">
      <c r="A53" s="356" t="s">
        <v>418</v>
      </c>
      <c r="B53" s="356"/>
      <c r="C53" s="356"/>
      <c r="D53" s="356"/>
      <c r="E53" s="356"/>
      <c r="F53" s="356"/>
      <c r="G53" s="356"/>
      <c r="H53" s="355"/>
    </row>
    <row r="54" spans="1:8" ht="16.5">
      <c r="A54" s="355"/>
      <c r="B54" s="355"/>
      <c r="C54" s="355"/>
      <c r="D54" s="355"/>
      <c r="E54" s="355"/>
      <c r="F54" s="355"/>
      <c r="G54" s="355"/>
      <c r="H54" s="355"/>
    </row>
    <row r="55" spans="1:8" ht="16.5">
      <c r="A55" s="355" t="s">
        <v>419</v>
      </c>
      <c r="B55" s="355"/>
      <c r="C55" s="355"/>
      <c r="D55" s="355"/>
      <c r="E55" s="355"/>
      <c r="F55" s="355"/>
      <c r="G55" s="355"/>
      <c r="H55" s="355"/>
    </row>
    <row r="56" spans="1:8" ht="16.5">
      <c r="A56" s="355" t="s">
        <v>420</v>
      </c>
      <c r="B56" s="355"/>
      <c r="C56" s="355"/>
      <c r="D56" s="355"/>
      <c r="E56" s="355"/>
      <c r="F56" s="355"/>
      <c r="G56" s="355"/>
      <c r="H56" s="355"/>
    </row>
    <row r="57" spans="1:8" ht="16.5">
      <c r="A57" s="355" t="s">
        <v>421</v>
      </c>
      <c r="B57" s="355"/>
      <c r="C57" s="355"/>
      <c r="D57" s="355"/>
      <c r="E57" s="355"/>
      <c r="F57" s="355"/>
      <c r="G57" s="355"/>
      <c r="H57" s="355"/>
    </row>
    <row r="58" spans="1:8" ht="16.5">
      <c r="A58" s="355" t="s">
        <v>422</v>
      </c>
      <c r="B58" s="355"/>
      <c r="C58" s="355"/>
      <c r="D58" s="355"/>
      <c r="E58" s="355"/>
      <c r="F58" s="355"/>
      <c r="G58" s="355"/>
      <c r="H58" s="355"/>
    </row>
    <row r="59" spans="1:8" ht="16.5">
      <c r="A59" s="355"/>
      <c r="B59" s="355"/>
      <c r="C59" s="355"/>
      <c r="D59" s="355"/>
      <c r="E59" s="355"/>
      <c r="F59" s="355"/>
      <c r="G59" s="355"/>
      <c r="H59" s="355"/>
    </row>
    <row r="60" spans="1:8" ht="16.5">
      <c r="A60" s="355" t="s">
        <v>423</v>
      </c>
      <c r="B60" s="355"/>
      <c r="C60" s="355"/>
      <c r="D60" s="355"/>
      <c r="E60" s="355"/>
      <c r="F60" s="355"/>
      <c r="G60" s="355"/>
      <c r="H60" s="355"/>
    </row>
    <row r="61" spans="1:8" ht="16.5">
      <c r="A61" s="355" t="s">
        <v>424</v>
      </c>
      <c r="B61" s="355"/>
      <c r="C61" s="355"/>
      <c r="D61" s="355"/>
      <c r="E61" s="355"/>
      <c r="F61" s="355"/>
      <c r="G61" s="355"/>
      <c r="H61" s="355"/>
    </row>
    <row r="62" spans="1:8" ht="16.5">
      <c r="A62" s="355" t="s">
        <v>425</v>
      </c>
      <c r="B62" s="355"/>
      <c r="C62" s="355"/>
      <c r="D62" s="355"/>
      <c r="E62" s="355"/>
      <c r="F62" s="355"/>
      <c r="G62" s="355"/>
      <c r="H62" s="355"/>
    </row>
    <row r="63" spans="1:8" ht="16.5">
      <c r="A63" s="355" t="s">
        <v>426</v>
      </c>
      <c r="B63" s="355"/>
      <c r="C63" s="355"/>
      <c r="D63" s="355"/>
      <c r="E63" s="355"/>
      <c r="F63" s="355"/>
      <c r="G63" s="355"/>
      <c r="H63" s="355"/>
    </row>
    <row r="64" spans="1:8" ht="16.5">
      <c r="A64" s="355" t="s">
        <v>427</v>
      </c>
      <c r="B64" s="355"/>
      <c r="C64" s="355"/>
      <c r="D64" s="355"/>
      <c r="E64" s="355"/>
      <c r="F64" s="355"/>
      <c r="G64" s="355"/>
      <c r="H64" s="355"/>
    </row>
    <row r="65" spans="1:8" ht="16.5">
      <c r="A65" s="355" t="s">
        <v>428</v>
      </c>
      <c r="B65" s="355"/>
      <c r="C65" s="355"/>
      <c r="D65" s="355"/>
      <c r="E65" s="355"/>
      <c r="F65" s="355"/>
      <c r="G65" s="355"/>
      <c r="H65" s="355"/>
    </row>
    <row r="66" spans="1:8" ht="16.5">
      <c r="A66" s="355"/>
      <c r="B66" s="355"/>
      <c r="C66" s="355"/>
      <c r="D66" s="355"/>
      <c r="E66" s="355"/>
      <c r="F66" s="355"/>
      <c r="G66" s="355"/>
      <c r="H66" s="355"/>
    </row>
    <row r="67" spans="1:8" ht="16.5">
      <c r="A67" s="355" t="s">
        <v>429</v>
      </c>
      <c r="B67" s="355"/>
      <c r="C67" s="355"/>
      <c r="D67" s="355"/>
      <c r="E67" s="355"/>
      <c r="F67" s="355"/>
      <c r="G67" s="355"/>
      <c r="H67" s="355"/>
    </row>
    <row r="68" spans="1:8" ht="16.5">
      <c r="A68" s="355" t="s">
        <v>430</v>
      </c>
      <c r="B68" s="355"/>
      <c r="C68" s="355"/>
      <c r="D68" s="355"/>
      <c r="E68" s="355"/>
      <c r="F68" s="355"/>
      <c r="G68" s="355"/>
      <c r="H68" s="355"/>
    </row>
    <row r="69" spans="1:8" ht="16.5">
      <c r="A69" s="355" t="s">
        <v>431</v>
      </c>
      <c r="B69" s="355"/>
      <c r="C69" s="355"/>
      <c r="D69" s="355"/>
      <c r="E69" s="355"/>
      <c r="F69" s="355"/>
      <c r="G69" s="355"/>
      <c r="H69" s="355"/>
    </row>
    <row r="70" spans="1:8" ht="16.5">
      <c r="A70" s="355" t="s">
        <v>432</v>
      </c>
      <c r="B70" s="355"/>
      <c r="C70" s="355"/>
      <c r="D70" s="355"/>
      <c r="E70" s="355"/>
      <c r="F70" s="355"/>
      <c r="G70" s="355"/>
      <c r="H70" s="355"/>
    </row>
    <row r="71" spans="1:8" ht="16.5">
      <c r="A71" s="355" t="s">
        <v>433</v>
      </c>
      <c r="B71" s="355"/>
      <c r="C71" s="355"/>
      <c r="D71" s="355"/>
      <c r="E71" s="355"/>
      <c r="F71" s="355"/>
      <c r="G71" s="355"/>
      <c r="H71" s="355"/>
    </row>
    <row r="72" spans="1:8" ht="16.5">
      <c r="A72" s="355" t="s">
        <v>434</v>
      </c>
      <c r="B72" s="355"/>
      <c r="C72" s="355"/>
      <c r="D72" s="355"/>
      <c r="E72" s="355"/>
      <c r="F72" s="355"/>
      <c r="G72" s="355"/>
      <c r="H72" s="355"/>
    </row>
    <row r="73" spans="1:8" ht="16.5">
      <c r="A73" s="355" t="s">
        <v>435</v>
      </c>
      <c r="B73" s="355"/>
      <c r="C73" s="355"/>
      <c r="D73" s="355"/>
      <c r="E73" s="355"/>
      <c r="F73" s="355"/>
      <c r="G73" s="355"/>
      <c r="H73" s="355"/>
    </row>
    <row r="74" spans="1:8" ht="16.5">
      <c r="A74" s="355"/>
      <c r="B74" s="355"/>
      <c r="C74" s="355"/>
      <c r="D74" s="355"/>
      <c r="E74" s="355"/>
      <c r="F74" s="355"/>
      <c r="G74" s="355"/>
      <c r="H74" s="355"/>
    </row>
    <row r="75" spans="1:8" ht="16.5">
      <c r="A75" s="355" t="s">
        <v>436</v>
      </c>
      <c r="B75" s="355"/>
      <c r="C75" s="355"/>
      <c r="D75" s="355"/>
      <c r="E75" s="355"/>
      <c r="F75" s="355"/>
      <c r="G75" s="355"/>
      <c r="H75" s="355"/>
    </row>
    <row r="76" spans="1:8" ht="16.5">
      <c r="A76" s="355" t="s">
        <v>437</v>
      </c>
      <c r="B76" s="355"/>
      <c r="C76" s="355"/>
      <c r="D76" s="355"/>
      <c r="E76" s="355"/>
      <c r="F76" s="355"/>
      <c r="G76" s="355"/>
      <c r="H76" s="355"/>
    </row>
    <row r="77" spans="1:8" ht="16.5">
      <c r="A77" s="355" t="s">
        <v>438</v>
      </c>
      <c r="B77" s="355"/>
      <c r="C77" s="355"/>
      <c r="D77" s="355"/>
      <c r="E77" s="355"/>
      <c r="F77" s="355"/>
      <c r="G77" s="355"/>
      <c r="H77" s="355"/>
    </row>
    <row r="78" spans="1:8" ht="16.5">
      <c r="A78" s="355"/>
      <c r="B78" s="355"/>
      <c r="C78" s="355"/>
      <c r="D78" s="355"/>
      <c r="E78" s="355"/>
      <c r="F78" s="355"/>
      <c r="G78" s="355"/>
      <c r="H78" s="355"/>
    </row>
    <row r="79" ht="16.5">
      <c r="A79" s="355" t="s">
        <v>383</v>
      </c>
    </row>
    <row r="80" ht="16.5">
      <c r="A80" s="356"/>
    </row>
    <row r="81" ht="16.5">
      <c r="A81" s="355"/>
    </row>
    <row r="82" ht="16.5">
      <c r="A82" s="355"/>
    </row>
    <row r="83" ht="16.5">
      <c r="A83" s="355"/>
    </row>
    <row r="84" ht="16.5">
      <c r="A84" s="355"/>
    </row>
    <row r="85" ht="16.5">
      <c r="A85" s="355"/>
    </row>
    <row r="86" ht="16.5">
      <c r="A86" s="355"/>
    </row>
    <row r="87" ht="16.5">
      <c r="A87" s="355"/>
    </row>
    <row r="88" ht="16.5">
      <c r="A88" s="355"/>
    </row>
    <row r="89" ht="16.5">
      <c r="A89" s="355"/>
    </row>
    <row r="90" ht="16.5">
      <c r="A90" s="355"/>
    </row>
    <row r="91" ht="16.5">
      <c r="A91" s="355"/>
    </row>
    <row r="92" ht="16.5">
      <c r="A92" s="355"/>
    </row>
    <row r="93" ht="16.5">
      <c r="A93" s="355"/>
    </row>
    <row r="94" ht="16.5">
      <c r="A94" s="355"/>
    </row>
    <row r="95" ht="16.5">
      <c r="A95" s="355"/>
    </row>
    <row r="96" ht="16.5">
      <c r="A96" s="355"/>
    </row>
    <row r="97" ht="16.5">
      <c r="A97" s="355"/>
    </row>
    <row r="98" ht="16.5">
      <c r="A98" s="355"/>
    </row>
    <row r="99" ht="16.5">
      <c r="A99" s="355"/>
    </row>
    <row r="100" ht="16.5">
      <c r="A100" s="355"/>
    </row>
    <row r="101" ht="16.5">
      <c r="A101" s="355"/>
    </row>
    <row r="103" ht="16.5">
      <c r="A103" s="355"/>
    </row>
    <row r="104" ht="16.5">
      <c r="A104" s="355"/>
    </row>
    <row r="105" ht="16.5">
      <c r="A105" s="355"/>
    </row>
    <row r="107" ht="16.5">
      <c r="A107" s="356"/>
    </row>
    <row r="108" ht="16.5">
      <c r="A108" s="356"/>
    </row>
    <row r="109" ht="16.5">
      <c r="A109"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4" t="s">
        <v>439</v>
      </c>
      <c r="B3" s="354"/>
      <c r="C3" s="354"/>
      <c r="D3" s="354"/>
      <c r="E3" s="354"/>
      <c r="F3" s="354"/>
      <c r="G3" s="354"/>
      <c r="H3" s="354"/>
      <c r="I3" s="354"/>
      <c r="J3" s="354"/>
      <c r="K3" s="354"/>
      <c r="L3" s="354"/>
    </row>
    <row r="4" spans="1:12" ht="16.5">
      <c r="A4" s="354"/>
      <c r="B4" s="354"/>
      <c r="C4" s="354"/>
      <c r="D4" s="354"/>
      <c r="E4" s="354"/>
      <c r="F4" s="354"/>
      <c r="G4" s="354"/>
      <c r="H4" s="354"/>
      <c r="I4" s="354"/>
      <c r="J4" s="354"/>
      <c r="K4" s="354"/>
      <c r="L4" s="354"/>
    </row>
    <row r="5" spans="1:12" ht="16.5">
      <c r="A5" s="355" t="s">
        <v>336</v>
      </c>
      <c r="I5" s="354"/>
      <c r="J5" s="354"/>
      <c r="K5" s="354"/>
      <c r="L5" s="354"/>
    </row>
    <row r="6" spans="1:12" ht="16.5">
      <c r="A6" s="355" t="str">
        <f>CONCATENATE("estimated ",inputPrYr!D6-1," 'total expenditures' exceed your ",inputPrYr!D6-1,"")</f>
        <v>estimated 2014 'total expenditures' exceed your 2014</v>
      </c>
      <c r="I6" s="354"/>
      <c r="J6" s="354"/>
      <c r="K6" s="354"/>
      <c r="L6" s="354"/>
    </row>
    <row r="7" spans="1:12" ht="16.5">
      <c r="A7" s="358" t="s">
        <v>440</v>
      </c>
      <c r="I7" s="354"/>
      <c r="J7" s="354"/>
      <c r="K7" s="354"/>
      <c r="L7" s="354"/>
    </row>
    <row r="8" spans="1:12" ht="16.5">
      <c r="A8" s="355"/>
      <c r="I8" s="354"/>
      <c r="J8" s="354"/>
      <c r="K8" s="354"/>
      <c r="L8" s="354"/>
    </row>
    <row r="9" spans="1:12" ht="16.5">
      <c r="A9" s="355" t="s">
        <v>441</v>
      </c>
      <c r="I9" s="354"/>
      <c r="J9" s="354"/>
      <c r="K9" s="354"/>
      <c r="L9" s="354"/>
    </row>
    <row r="10" spans="1:12" ht="16.5">
      <c r="A10" s="355" t="s">
        <v>442</v>
      </c>
      <c r="I10" s="354"/>
      <c r="J10" s="354"/>
      <c r="K10" s="354"/>
      <c r="L10" s="354"/>
    </row>
    <row r="11" spans="1:12" ht="16.5">
      <c r="A11" s="355" t="s">
        <v>443</v>
      </c>
      <c r="I11" s="354"/>
      <c r="J11" s="354"/>
      <c r="K11" s="354"/>
      <c r="L11" s="354"/>
    </row>
    <row r="12" spans="1:12" ht="16.5">
      <c r="A12" s="355" t="s">
        <v>444</v>
      </c>
      <c r="I12" s="354"/>
      <c r="J12" s="354"/>
      <c r="K12" s="354"/>
      <c r="L12" s="354"/>
    </row>
    <row r="13" spans="1:12" ht="16.5">
      <c r="A13" s="355" t="s">
        <v>445</v>
      </c>
      <c r="I13" s="354"/>
      <c r="J13" s="354"/>
      <c r="K13" s="354"/>
      <c r="L13" s="354"/>
    </row>
    <row r="14" spans="1:12" ht="16.5">
      <c r="A14" s="354"/>
      <c r="B14" s="354"/>
      <c r="C14" s="354"/>
      <c r="D14" s="354"/>
      <c r="E14" s="354"/>
      <c r="F14" s="354"/>
      <c r="G14" s="354"/>
      <c r="H14" s="354"/>
      <c r="I14" s="354"/>
      <c r="J14" s="354"/>
      <c r="K14" s="354"/>
      <c r="L14" s="354"/>
    </row>
    <row r="15" ht="16.5">
      <c r="A15" s="356" t="s">
        <v>446</v>
      </c>
    </row>
    <row r="16" ht="16.5">
      <c r="A16" s="356" t="s">
        <v>447</v>
      </c>
    </row>
    <row r="17" ht="16.5">
      <c r="A17" s="356"/>
    </row>
    <row r="18" spans="1:7" ht="16.5">
      <c r="A18" s="355" t="s">
        <v>448</v>
      </c>
      <c r="B18" s="355"/>
      <c r="C18" s="355"/>
      <c r="D18" s="355"/>
      <c r="E18" s="355"/>
      <c r="F18" s="355"/>
      <c r="G18" s="355"/>
    </row>
    <row r="19" spans="1:7" ht="16.5">
      <c r="A19" s="355" t="str">
        <f>CONCATENATE("your ",inputPrYr!D6-1," numbers to see what steps might be necessary to")</f>
        <v>your 2014 numbers to see what steps might be necessary to</v>
      </c>
      <c r="B19" s="355"/>
      <c r="C19" s="355"/>
      <c r="D19" s="355"/>
      <c r="E19" s="355"/>
      <c r="F19" s="355"/>
      <c r="G19" s="355"/>
    </row>
    <row r="20" spans="1:7" ht="16.5">
      <c r="A20" s="355" t="s">
        <v>449</v>
      </c>
      <c r="B20" s="355"/>
      <c r="C20" s="355"/>
      <c r="D20" s="355"/>
      <c r="E20" s="355"/>
      <c r="F20" s="355"/>
      <c r="G20" s="355"/>
    </row>
    <row r="21" spans="1:7" ht="16.5">
      <c r="A21" s="355" t="s">
        <v>450</v>
      </c>
      <c r="B21" s="355"/>
      <c r="C21" s="355"/>
      <c r="D21" s="355"/>
      <c r="E21" s="355"/>
      <c r="F21" s="355"/>
      <c r="G21" s="355"/>
    </row>
    <row r="22" ht="16.5">
      <c r="A22" s="355"/>
    </row>
    <row r="23" ht="16.5">
      <c r="A23" s="356" t="s">
        <v>451</v>
      </c>
    </row>
    <row r="24" ht="16.5">
      <c r="A24" s="356"/>
    </row>
    <row r="25" ht="16.5">
      <c r="A25" s="355" t="s">
        <v>452</v>
      </c>
    </row>
    <row r="26" spans="1:6" ht="16.5">
      <c r="A26" s="355" t="s">
        <v>453</v>
      </c>
      <c r="B26" s="355"/>
      <c r="C26" s="355"/>
      <c r="D26" s="355"/>
      <c r="E26" s="355"/>
      <c r="F26" s="355"/>
    </row>
    <row r="27" spans="1:6" ht="16.5">
      <c r="A27" s="355" t="s">
        <v>454</v>
      </c>
      <c r="B27" s="355"/>
      <c r="C27" s="355"/>
      <c r="D27" s="355"/>
      <c r="E27" s="355"/>
      <c r="F27" s="355"/>
    </row>
    <row r="28" spans="1:6" ht="16.5">
      <c r="A28" s="355" t="s">
        <v>455</v>
      </c>
      <c r="B28" s="355"/>
      <c r="C28" s="355"/>
      <c r="D28" s="355"/>
      <c r="E28" s="355"/>
      <c r="F28" s="355"/>
    </row>
    <row r="29" spans="1:6" ht="16.5">
      <c r="A29" s="355"/>
      <c r="B29" s="355"/>
      <c r="C29" s="355"/>
      <c r="D29" s="355"/>
      <c r="E29" s="355"/>
      <c r="F29" s="355"/>
    </row>
    <row r="30" spans="1:7" ht="16.5">
      <c r="A30" s="356" t="s">
        <v>456</v>
      </c>
      <c r="B30" s="356"/>
      <c r="C30" s="356"/>
      <c r="D30" s="356"/>
      <c r="E30" s="356"/>
      <c r="F30" s="356"/>
      <c r="G30" s="356"/>
    </row>
    <row r="31" spans="1:7" ht="16.5">
      <c r="A31" s="356" t="s">
        <v>457</v>
      </c>
      <c r="B31" s="356"/>
      <c r="C31" s="356"/>
      <c r="D31" s="356"/>
      <c r="E31" s="356"/>
      <c r="F31" s="356"/>
      <c r="G31" s="356"/>
    </row>
    <row r="32" spans="1:6" ht="16.5">
      <c r="A32" s="355"/>
      <c r="B32" s="355"/>
      <c r="C32" s="355"/>
      <c r="D32" s="355"/>
      <c r="E32" s="355"/>
      <c r="F32" s="355"/>
    </row>
    <row r="33" spans="1:6" ht="16.5">
      <c r="A33" s="349" t="str">
        <f>CONCATENATE("Well, let's look to see if any of your ",inputPrYr!D6-1," expenditures can")</f>
        <v>Well, let's look to see if any of your 2014 expenditures can</v>
      </c>
      <c r="B33" s="355"/>
      <c r="C33" s="355"/>
      <c r="D33" s="355"/>
      <c r="E33" s="355"/>
      <c r="F33" s="355"/>
    </row>
    <row r="34" spans="1:6" ht="16.5">
      <c r="A34" s="349" t="s">
        <v>458</v>
      </c>
      <c r="B34" s="355"/>
      <c r="C34" s="355"/>
      <c r="D34" s="355"/>
      <c r="E34" s="355"/>
      <c r="F34" s="355"/>
    </row>
    <row r="35" spans="1:6" ht="16.5">
      <c r="A35" s="349" t="s">
        <v>350</v>
      </c>
      <c r="B35" s="355"/>
      <c r="C35" s="355"/>
      <c r="D35" s="355"/>
      <c r="E35" s="355"/>
      <c r="F35" s="355"/>
    </row>
    <row r="36" spans="1:6" ht="16.5">
      <c r="A36" s="349" t="s">
        <v>351</v>
      </c>
      <c r="B36" s="355"/>
      <c r="C36" s="355"/>
      <c r="D36" s="355"/>
      <c r="E36" s="355"/>
      <c r="F36" s="355"/>
    </row>
    <row r="37" spans="1:6" ht="16.5">
      <c r="A37" s="349"/>
      <c r="B37" s="355"/>
      <c r="C37" s="355"/>
      <c r="D37" s="355"/>
      <c r="E37" s="355"/>
      <c r="F37" s="355"/>
    </row>
    <row r="38" spans="1:6" ht="16.5">
      <c r="A38" s="349" t="str">
        <f>CONCATENATE("Additionally, do your ",inputPrYr!D6-1," receipts contain a reimbursement")</f>
        <v>Additionally, do your 2014 receipts contain a reimbursement</v>
      </c>
      <c r="B38" s="355"/>
      <c r="C38" s="355"/>
      <c r="D38" s="355"/>
      <c r="E38" s="355"/>
      <c r="F38" s="355"/>
    </row>
    <row r="39" spans="1:6" ht="16.5">
      <c r="A39" s="349" t="s">
        <v>352</v>
      </c>
      <c r="B39" s="355"/>
      <c r="C39" s="355"/>
      <c r="D39" s="355"/>
      <c r="E39" s="355"/>
      <c r="F39" s="355"/>
    </row>
    <row r="40" spans="1:6" ht="16.5">
      <c r="A40" s="349" t="s">
        <v>353</v>
      </c>
      <c r="B40" s="355"/>
      <c r="C40" s="355"/>
      <c r="D40" s="355"/>
      <c r="E40" s="355"/>
      <c r="F40" s="355"/>
    </row>
    <row r="41" spans="1:6" ht="16.5">
      <c r="A41" s="349"/>
      <c r="B41" s="355"/>
      <c r="C41" s="355"/>
      <c r="D41" s="355"/>
      <c r="E41" s="355"/>
      <c r="F41" s="355"/>
    </row>
    <row r="42" spans="1:6" ht="16.5">
      <c r="A42" s="349" t="s">
        <v>459</v>
      </c>
      <c r="B42" s="355"/>
      <c r="C42" s="355"/>
      <c r="D42" s="355"/>
      <c r="E42" s="355"/>
      <c r="F42" s="355"/>
    </row>
    <row r="43" spans="1:6" ht="16.5">
      <c r="A43" s="349" t="s">
        <v>460</v>
      </c>
      <c r="B43" s="355"/>
      <c r="C43" s="355"/>
      <c r="D43" s="355"/>
      <c r="E43" s="355"/>
      <c r="F43" s="355"/>
    </row>
    <row r="44" spans="1:6" ht="16.5">
      <c r="A44" s="349" t="s">
        <v>461</v>
      </c>
      <c r="B44" s="355"/>
      <c r="C44" s="355"/>
      <c r="D44" s="355"/>
      <c r="E44" s="355"/>
      <c r="F44" s="355"/>
    </row>
    <row r="45" spans="1:6" ht="16.5">
      <c r="A45" s="349" t="s">
        <v>462</v>
      </c>
      <c r="B45" s="355"/>
      <c r="C45" s="355"/>
      <c r="D45" s="355"/>
      <c r="E45" s="355"/>
      <c r="F45" s="355"/>
    </row>
    <row r="46" spans="1:6" ht="16.5">
      <c r="A46" s="349" t="s">
        <v>463</v>
      </c>
      <c r="B46" s="355"/>
      <c r="C46" s="355"/>
      <c r="D46" s="355"/>
      <c r="E46" s="355"/>
      <c r="F46" s="355"/>
    </row>
    <row r="47" spans="1:6" ht="16.5">
      <c r="A47" s="349"/>
      <c r="B47" s="355"/>
      <c r="C47" s="355"/>
      <c r="D47" s="355"/>
      <c r="E47" s="355"/>
      <c r="F47" s="355"/>
    </row>
    <row r="48" spans="1:6" ht="16.5">
      <c r="A48" s="350" t="s">
        <v>464</v>
      </c>
      <c r="B48" s="355"/>
      <c r="C48" s="355"/>
      <c r="D48" s="355"/>
      <c r="E48" s="355"/>
      <c r="F48" s="355"/>
    </row>
    <row r="49" spans="1:6" ht="16.5">
      <c r="A49" s="350" t="s">
        <v>465</v>
      </c>
      <c r="B49" s="355"/>
      <c r="C49" s="355"/>
      <c r="D49" s="355"/>
      <c r="E49" s="355"/>
      <c r="F49" s="355"/>
    </row>
    <row r="50" spans="1:6" ht="16.5">
      <c r="A50" s="350" t="s">
        <v>466</v>
      </c>
      <c r="B50" s="355"/>
      <c r="C50" s="355"/>
      <c r="D50" s="355"/>
      <c r="E50" s="355"/>
      <c r="F50" s="355"/>
    </row>
    <row r="51" ht="16.5">
      <c r="A51" s="350" t="s">
        <v>467</v>
      </c>
    </row>
    <row r="52" ht="16.5">
      <c r="A52" s="350" t="s">
        <v>468</v>
      </c>
    </row>
    <row r="53" ht="16.5">
      <c r="A53" s="350" t="s">
        <v>469</v>
      </c>
    </row>
    <row r="55" ht="16.5">
      <c r="A55" s="355" t="s">
        <v>470</v>
      </c>
    </row>
    <row r="56" ht="16.5">
      <c r="A56" s="355" t="s">
        <v>471</v>
      </c>
    </row>
    <row r="57" ht="16.5">
      <c r="A57" s="355" t="s">
        <v>472</v>
      </c>
    </row>
    <row r="58" ht="16.5">
      <c r="A58" s="355" t="s">
        <v>473</v>
      </c>
    </row>
    <row r="59" ht="16.5">
      <c r="A59" s="355" t="s">
        <v>474</v>
      </c>
    </row>
    <row r="60" ht="16.5">
      <c r="A60" s="355" t="s">
        <v>475</v>
      </c>
    </row>
    <row r="62" ht="16.5">
      <c r="A62" s="355" t="s">
        <v>383</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4" t="s">
        <v>476</v>
      </c>
      <c r="B3" s="354"/>
      <c r="C3" s="354"/>
      <c r="D3" s="354"/>
      <c r="E3" s="354"/>
      <c r="F3" s="354"/>
      <c r="G3" s="354"/>
    </row>
    <row r="4" spans="1:7" ht="16.5">
      <c r="A4" s="354"/>
      <c r="B4" s="354"/>
      <c r="C4" s="354"/>
      <c r="D4" s="354"/>
      <c r="E4" s="354"/>
      <c r="F4" s="354"/>
      <c r="G4" s="354"/>
    </row>
    <row r="5" ht="16.5">
      <c r="A5" s="355" t="s">
        <v>385</v>
      </c>
    </row>
    <row r="6" ht="16.5">
      <c r="A6" s="355" t="str">
        <f>CONCATENATE(inputPrYr!D6-1," estimated expenditures show that at the end of this year")</f>
        <v>2014 estimated expenditures show that at the end of this year</v>
      </c>
    </row>
    <row r="7" ht="16.5">
      <c r="A7" s="355" t="s">
        <v>477</v>
      </c>
    </row>
    <row r="8" ht="16.5">
      <c r="A8" s="355" t="s">
        <v>478</v>
      </c>
    </row>
    <row r="10" ht="16.5">
      <c r="A10" t="s">
        <v>387</v>
      </c>
    </row>
    <row r="11" ht="16.5">
      <c r="A11" t="s">
        <v>388</v>
      </c>
    </row>
    <row r="12" ht="16.5">
      <c r="A12" t="s">
        <v>389</v>
      </c>
    </row>
    <row r="13" spans="1:7" ht="16.5">
      <c r="A13" s="354"/>
      <c r="B13" s="354"/>
      <c r="C13" s="354"/>
      <c r="D13" s="354"/>
      <c r="E13" s="354"/>
      <c r="F13" s="354"/>
      <c r="G13" s="354"/>
    </row>
    <row r="14" ht="16.5">
      <c r="A14" s="356" t="s">
        <v>479</v>
      </c>
    </row>
    <row r="15" ht="16.5">
      <c r="A15" s="355"/>
    </row>
    <row r="16" ht="16.5">
      <c r="A16" s="355" t="s">
        <v>480</v>
      </c>
    </row>
    <row r="17" ht="16.5">
      <c r="A17" s="355" t="s">
        <v>481</v>
      </c>
    </row>
    <row r="18" ht="16.5">
      <c r="A18" s="355" t="s">
        <v>482</v>
      </c>
    </row>
    <row r="19" ht="16.5">
      <c r="A19" s="355"/>
    </row>
    <row r="20" ht="16.5">
      <c r="A20" s="355" t="s">
        <v>483</v>
      </c>
    </row>
    <row r="21" ht="16.5">
      <c r="A21" s="355" t="s">
        <v>484</v>
      </c>
    </row>
    <row r="22" ht="16.5">
      <c r="A22" s="355" t="s">
        <v>485</v>
      </c>
    </row>
    <row r="23" ht="16.5">
      <c r="A23" s="355" t="s">
        <v>486</v>
      </c>
    </row>
    <row r="24" ht="16.5">
      <c r="A24" s="355"/>
    </row>
    <row r="25" ht="16.5">
      <c r="A25" s="356" t="s">
        <v>451</v>
      </c>
    </row>
    <row r="26" ht="16.5">
      <c r="A26" s="356"/>
    </row>
    <row r="27" ht="16.5">
      <c r="A27" s="355" t="s">
        <v>452</v>
      </c>
    </row>
    <row r="28" spans="1:6" ht="16.5">
      <c r="A28" s="355" t="s">
        <v>453</v>
      </c>
      <c r="B28" s="355"/>
      <c r="C28" s="355"/>
      <c r="D28" s="355"/>
      <c r="E28" s="355"/>
      <c r="F28" s="355"/>
    </row>
    <row r="29" spans="1:6" ht="16.5">
      <c r="A29" s="355" t="s">
        <v>454</v>
      </c>
      <c r="B29" s="355"/>
      <c r="C29" s="355"/>
      <c r="D29" s="355"/>
      <c r="E29" s="355"/>
      <c r="F29" s="355"/>
    </row>
    <row r="30" spans="1:6" ht="16.5">
      <c r="A30" s="355" t="s">
        <v>455</v>
      </c>
      <c r="B30" s="355"/>
      <c r="C30" s="355"/>
      <c r="D30" s="355"/>
      <c r="E30" s="355"/>
      <c r="F30" s="355"/>
    </row>
    <row r="31" ht="16.5">
      <c r="A31" s="355"/>
    </row>
    <row r="32" spans="1:7" ht="16.5">
      <c r="A32" s="356" t="s">
        <v>456</v>
      </c>
      <c r="B32" s="356"/>
      <c r="C32" s="356"/>
      <c r="D32" s="356"/>
      <c r="E32" s="356"/>
      <c r="F32" s="356"/>
      <c r="G32" s="356"/>
    </row>
    <row r="33" spans="1:7" ht="16.5">
      <c r="A33" s="356" t="s">
        <v>457</v>
      </c>
      <c r="B33" s="356"/>
      <c r="C33" s="356"/>
      <c r="D33" s="356"/>
      <c r="E33" s="356"/>
      <c r="F33" s="356"/>
      <c r="G33" s="356"/>
    </row>
    <row r="34" spans="1:7" ht="16.5">
      <c r="A34" s="356"/>
      <c r="B34" s="356"/>
      <c r="C34" s="356"/>
      <c r="D34" s="356"/>
      <c r="E34" s="356"/>
      <c r="F34" s="356"/>
      <c r="G34" s="356"/>
    </row>
    <row r="35" spans="1:7" ht="16.5">
      <c r="A35" s="355" t="s">
        <v>487</v>
      </c>
      <c r="B35" s="355"/>
      <c r="C35" s="355"/>
      <c r="D35" s="355"/>
      <c r="E35" s="355"/>
      <c r="F35" s="355"/>
      <c r="G35" s="355"/>
    </row>
    <row r="36" spans="1:7" ht="16.5">
      <c r="A36" s="355" t="s">
        <v>488</v>
      </c>
      <c r="B36" s="355"/>
      <c r="C36" s="355"/>
      <c r="D36" s="355"/>
      <c r="E36" s="355"/>
      <c r="F36" s="355"/>
      <c r="G36" s="355"/>
    </row>
    <row r="37" spans="1:7" ht="16.5">
      <c r="A37" s="355" t="s">
        <v>489</v>
      </c>
      <c r="B37" s="355"/>
      <c r="C37" s="355"/>
      <c r="D37" s="355"/>
      <c r="E37" s="355"/>
      <c r="F37" s="355"/>
      <c r="G37" s="355"/>
    </row>
    <row r="38" spans="1:7" ht="16.5">
      <c r="A38" s="355" t="s">
        <v>490</v>
      </c>
      <c r="B38" s="355"/>
      <c r="C38" s="355"/>
      <c r="D38" s="355"/>
      <c r="E38" s="355"/>
      <c r="F38" s="355"/>
      <c r="G38" s="355"/>
    </row>
    <row r="39" spans="1:7" ht="16.5">
      <c r="A39" s="355" t="s">
        <v>491</v>
      </c>
      <c r="B39" s="355"/>
      <c r="C39" s="355"/>
      <c r="D39" s="355"/>
      <c r="E39" s="355"/>
      <c r="F39" s="355"/>
      <c r="G39" s="355"/>
    </row>
    <row r="40" spans="1:7" ht="16.5">
      <c r="A40" s="356"/>
      <c r="B40" s="356"/>
      <c r="C40" s="356"/>
      <c r="D40" s="356"/>
      <c r="E40" s="356"/>
      <c r="F40" s="356"/>
      <c r="G40" s="356"/>
    </row>
    <row r="41" spans="1:6" ht="16.5">
      <c r="A41" s="349" t="str">
        <f>CONCATENATE("So, let's look to see if any of your ",inputPrYr!D6-1," expenditures can")</f>
        <v>So, let's look to see if any of your 2014 expenditures can</v>
      </c>
      <c r="B41" s="355"/>
      <c r="C41" s="355"/>
      <c r="D41" s="355"/>
      <c r="E41" s="355"/>
      <c r="F41" s="355"/>
    </row>
    <row r="42" spans="1:6" ht="16.5">
      <c r="A42" s="349" t="s">
        <v>458</v>
      </c>
      <c r="B42" s="355"/>
      <c r="C42" s="355"/>
      <c r="D42" s="355"/>
      <c r="E42" s="355"/>
      <c r="F42" s="355"/>
    </row>
    <row r="43" spans="1:6" ht="16.5">
      <c r="A43" s="349" t="s">
        <v>350</v>
      </c>
      <c r="B43" s="355"/>
      <c r="C43" s="355"/>
      <c r="D43" s="355"/>
      <c r="E43" s="355"/>
      <c r="F43" s="355"/>
    </row>
    <row r="44" spans="1:6" ht="16.5">
      <c r="A44" s="349" t="s">
        <v>351</v>
      </c>
      <c r="B44" s="355"/>
      <c r="C44" s="355"/>
      <c r="D44" s="355"/>
      <c r="E44" s="355"/>
      <c r="F44" s="355"/>
    </row>
    <row r="45" ht="16.5">
      <c r="A45" s="355"/>
    </row>
    <row r="46" spans="1:6" ht="16.5">
      <c r="A46" s="349" t="str">
        <f>CONCATENATE("Additionally, do your ",inputPrYr!D6-1," receipts contain a reimbursement")</f>
        <v>Additionally, do your 2014 receipts contain a reimbursement</v>
      </c>
      <c r="B46" s="355"/>
      <c r="C46" s="355"/>
      <c r="D46" s="355"/>
      <c r="E46" s="355"/>
      <c r="F46" s="355"/>
    </row>
    <row r="47" spans="1:6" ht="16.5">
      <c r="A47" s="349" t="s">
        <v>352</v>
      </c>
      <c r="B47" s="355"/>
      <c r="C47" s="355"/>
      <c r="D47" s="355"/>
      <c r="E47" s="355"/>
      <c r="F47" s="355"/>
    </row>
    <row r="48" spans="1:6" ht="16.5">
      <c r="A48" s="349" t="s">
        <v>353</v>
      </c>
      <c r="B48" s="355"/>
      <c r="C48" s="355"/>
      <c r="D48" s="355"/>
      <c r="E48" s="355"/>
      <c r="F48" s="355"/>
    </row>
    <row r="49" spans="1:7" ht="16.5">
      <c r="A49" s="355"/>
      <c r="B49" s="355"/>
      <c r="C49" s="355"/>
      <c r="D49" s="355"/>
      <c r="E49" s="355"/>
      <c r="F49" s="355"/>
      <c r="G49" s="355"/>
    </row>
    <row r="50" spans="1:7" ht="16.5">
      <c r="A50" s="355" t="s">
        <v>412</v>
      </c>
      <c r="B50" s="355"/>
      <c r="C50" s="355"/>
      <c r="D50" s="355"/>
      <c r="E50" s="355"/>
      <c r="F50" s="355"/>
      <c r="G50" s="355"/>
    </row>
    <row r="51" spans="1:7" ht="16.5">
      <c r="A51" s="355" t="s">
        <v>413</v>
      </c>
      <c r="B51" s="355"/>
      <c r="C51" s="355"/>
      <c r="D51" s="355"/>
      <c r="E51" s="355"/>
      <c r="F51" s="355"/>
      <c r="G51" s="355"/>
    </row>
    <row r="52" spans="1:7" ht="16.5">
      <c r="A52" s="355" t="s">
        <v>414</v>
      </c>
      <c r="B52" s="355"/>
      <c r="C52" s="355"/>
      <c r="D52" s="355"/>
      <c r="E52" s="355"/>
      <c r="F52" s="355"/>
      <c r="G52" s="355"/>
    </row>
    <row r="53" spans="1:7" ht="16.5">
      <c r="A53" s="355" t="s">
        <v>415</v>
      </c>
      <c r="B53" s="355"/>
      <c r="C53" s="355"/>
      <c r="D53" s="355"/>
      <c r="E53" s="355"/>
      <c r="F53" s="355"/>
      <c r="G53" s="355"/>
    </row>
    <row r="54" spans="1:7" ht="16.5">
      <c r="A54" s="355" t="s">
        <v>416</v>
      </c>
      <c r="B54" s="355"/>
      <c r="C54" s="355"/>
      <c r="D54" s="355"/>
      <c r="E54" s="355"/>
      <c r="F54" s="355"/>
      <c r="G54" s="355"/>
    </row>
    <row r="55" spans="1:7" ht="16.5">
      <c r="A55" s="355"/>
      <c r="B55" s="355"/>
      <c r="C55" s="355"/>
      <c r="D55" s="355"/>
      <c r="E55" s="355"/>
      <c r="F55" s="355"/>
      <c r="G55" s="355"/>
    </row>
    <row r="56" spans="1:6" ht="16.5">
      <c r="A56" s="349" t="s">
        <v>354</v>
      </c>
      <c r="B56" s="355"/>
      <c r="C56" s="355"/>
      <c r="D56" s="355"/>
      <c r="E56" s="355"/>
      <c r="F56" s="355"/>
    </row>
    <row r="57" spans="1:6" ht="16.5">
      <c r="A57" s="349" t="s">
        <v>355</v>
      </c>
      <c r="B57" s="355"/>
      <c r="C57" s="355"/>
      <c r="D57" s="355"/>
      <c r="E57" s="355"/>
      <c r="F57" s="355"/>
    </row>
    <row r="58" spans="1:6" ht="16.5">
      <c r="A58" s="349" t="s">
        <v>356</v>
      </c>
      <c r="B58" s="355"/>
      <c r="C58" s="355"/>
      <c r="D58" s="355"/>
      <c r="E58" s="355"/>
      <c r="F58" s="355"/>
    </row>
    <row r="59" spans="1:6" ht="16.5">
      <c r="A59" s="349"/>
      <c r="B59" s="355"/>
      <c r="C59" s="355"/>
      <c r="D59" s="355"/>
      <c r="E59" s="355"/>
      <c r="F59" s="355"/>
    </row>
    <row r="60" spans="1:7" ht="16.5">
      <c r="A60" s="355" t="s">
        <v>492</v>
      </c>
      <c r="B60" s="355"/>
      <c r="C60" s="355"/>
      <c r="D60" s="355"/>
      <c r="E60" s="355"/>
      <c r="F60" s="355"/>
      <c r="G60" s="355"/>
    </row>
    <row r="61" spans="1:7" ht="16.5">
      <c r="A61" s="355" t="s">
        <v>493</v>
      </c>
      <c r="B61" s="355"/>
      <c r="C61" s="355"/>
      <c r="D61" s="355"/>
      <c r="E61" s="355"/>
      <c r="F61" s="355"/>
      <c r="G61" s="355"/>
    </row>
    <row r="62" spans="1:7" ht="16.5">
      <c r="A62" s="355" t="s">
        <v>494</v>
      </c>
      <c r="B62" s="355"/>
      <c r="C62" s="355"/>
      <c r="D62" s="355"/>
      <c r="E62" s="355"/>
      <c r="F62" s="355"/>
      <c r="G62" s="355"/>
    </row>
    <row r="63" spans="1:7" ht="16.5">
      <c r="A63" s="355" t="s">
        <v>495</v>
      </c>
      <c r="B63" s="355"/>
      <c r="C63" s="355"/>
      <c r="D63" s="355"/>
      <c r="E63" s="355"/>
      <c r="F63" s="355"/>
      <c r="G63" s="355"/>
    </row>
    <row r="64" spans="1:7" ht="16.5">
      <c r="A64" s="355" t="s">
        <v>496</v>
      </c>
      <c r="B64" s="355"/>
      <c r="C64" s="355"/>
      <c r="D64" s="355"/>
      <c r="E64" s="355"/>
      <c r="F64" s="355"/>
      <c r="G64" s="355"/>
    </row>
    <row r="66" spans="1:6" ht="16.5">
      <c r="A66" s="349" t="s">
        <v>459</v>
      </c>
      <c r="B66" s="355"/>
      <c r="C66" s="355"/>
      <c r="D66" s="355"/>
      <c r="E66" s="355"/>
      <c r="F66" s="355"/>
    </row>
    <row r="67" spans="1:6" ht="16.5">
      <c r="A67" s="349" t="s">
        <v>460</v>
      </c>
      <c r="B67" s="355"/>
      <c r="C67" s="355"/>
      <c r="D67" s="355"/>
      <c r="E67" s="355"/>
      <c r="F67" s="355"/>
    </row>
    <row r="68" spans="1:6" ht="16.5">
      <c r="A68" s="349" t="s">
        <v>461</v>
      </c>
      <c r="B68" s="355"/>
      <c r="C68" s="355"/>
      <c r="D68" s="355"/>
      <c r="E68" s="355"/>
      <c r="F68" s="355"/>
    </row>
    <row r="69" spans="1:6" ht="16.5">
      <c r="A69" s="349" t="s">
        <v>462</v>
      </c>
      <c r="B69" s="355"/>
      <c r="C69" s="355"/>
      <c r="D69" s="355"/>
      <c r="E69" s="355"/>
      <c r="F69" s="355"/>
    </row>
    <row r="70" spans="1:6" ht="16.5">
      <c r="A70" s="349" t="s">
        <v>463</v>
      </c>
      <c r="B70" s="355"/>
      <c r="C70" s="355"/>
      <c r="D70" s="355"/>
      <c r="E70" s="355"/>
      <c r="F70" s="355"/>
    </row>
    <row r="71" ht="16.5">
      <c r="A71" s="355"/>
    </row>
    <row r="72" ht="16.5">
      <c r="A72" s="355" t="s">
        <v>383</v>
      </c>
    </row>
    <row r="73" ht="16.5">
      <c r="A73" s="355"/>
    </row>
    <row r="74" ht="16.5">
      <c r="A74" s="355"/>
    </row>
    <row r="75" ht="16.5">
      <c r="A75" s="355"/>
    </row>
    <row r="78" ht="16.5">
      <c r="A78" s="356"/>
    </row>
    <row r="80" ht="16.5">
      <c r="A80" s="355"/>
    </row>
    <row r="81" ht="16.5">
      <c r="A81" s="355"/>
    </row>
    <row r="82" ht="16.5">
      <c r="A82" s="355"/>
    </row>
    <row r="83" ht="16.5">
      <c r="A83" s="355"/>
    </row>
    <row r="84" ht="16.5">
      <c r="A84" s="355"/>
    </row>
    <row r="85" ht="16.5">
      <c r="A85" s="355"/>
    </row>
    <row r="86" ht="16.5">
      <c r="A86" s="355"/>
    </row>
    <row r="87" ht="16.5">
      <c r="A87" s="355"/>
    </row>
    <row r="88" ht="16.5">
      <c r="A88" s="355"/>
    </row>
    <row r="89" ht="16.5">
      <c r="A89" s="355"/>
    </row>
    <row r="90" ht="16.5">
      <c r="A90" s="355"/>
    </row>
    <row r="92" ht="16.5">
      <c r="A92" s="355"/>
    </row>
    <row r="93" ht="16.5">
      <c r="A93" s="355"/>
    </row>
    <row r="94" ht="16.5">
      <c r="A94" s="355"/>
    </row>
    <row r="95" ht="16.5">
      <c r="A95" s="355"/>
    </row>
    <row r="96" ht="16.5">
      <c r="A96" s="355"/>
    </row>
    <row r="97" ht="16.5">
      <c r="A97" s="355"/>
    </row>
    <row r="98" ht="16.5">
      <c r="A98" s="355"/>
    </row>
    <row r="99" ht="16.5">
      <c r="A99" s="355"/>
    </row>
    <row r="100" ht="16.5">
      <c r="A100" s="355"/>
    </row>
    <row r="101" ht="16.5">
      <c r="A101" s="355"/>
    </row>
    <row r="102" ht="16.5">
      <c r="A102" s="355"/>
    </row>
    <row r="103" ht="16.5">
      <c r="A103" s="355"/>
    </row>
    <row r="104" ht="16.5">
      <c r="A104" s="355"/>
    </row>
    <row r="105" ht="16.5">
      <c r="A105" s="355"/>
    </row>
    <row r="106" ht="16.5">
      <c r="A106" s="35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4" t="s">
        <v>497</v>
      </c>
      <c r="B3" s="354"/>
      <c r="C3" s="354"/>
      <c r="D3" s="354"/>
      <c r="E3" s="354"/>
      <c r="F3" s="354"/>
      <c r="G3" s="354"/>
    </row>
    <row r="4" spans="1:7" ht="16.5">
      <c r="A4" s="354" t="s">
        <v>498</v>
      </c>
      <c r="B4" s="354"/>
      <c r="C4" s="354"/>
      <c r="D4" s="354"/>
      <c r="E4" s="354"/>
      <c r="F4" s="354"/>
      <c r="G4" s="354"/>
    </row>
    <row r="5" spans="1:7" ht="16.5">
      <c r="A5" s="354"/>
      <c r="B5" s="354"/>
      <c r="C5" s="354"/>
      <c r="D5" s="354"/>
      <c r="E5" s="354"/>
      <c r="F5" s="354"/>
      <c r="G5" s="354"/>
    </row>
    <row r="6" spans="1:7" ht="16.5">
      <c r="A6" s="354"/>
      <c r="B6" s="354"/>
      <c r="C6" s="354"/>
      <c r="D6" s="354"/>
      <c r="E6" s="354"/>
      <c r="F6" s="354"/>
      <c r="G6" s="354"/>
    </row>
    <row r="7" ht="16.5">
      <c r="A7" s="355" t="s">
        <v>336</v>
      </c>
    </row>
    <row r="8" ht="16.5">
      <c r="A8" s="355" t="str">
        <f>CONCATENATE("estimated ",inputPrYr!D6," 'total expenditures' exceed your ",inputPrYr!D6,"")</f>
        <v>estimated 2015 'total expenditures' exceed your 2015</v>
      </c>
    </row>
    <row r="9" ht="16.5">
      <c r="A9" s="358" t="s">
        <v>499</v>
      </c>
    </row>
    <row r="10" ht="16.5">
      <c r="A10" s="355"/>
    </row>
    <row r="11" ht="16.5">
      <c r="A11" s="355" t="s">
        <v>500</v>
      </c>
    </row>
    <row r="12" ht="16.5">
      <c r="A12" s="355" t="s">
        <v>501</v>
      </c>
    </row>
    <row r="13" ht="16.5">
      <c r="A13" s="355" t="s">
        <v>502</v>
      </c>
    </row>
    <row r="14" ht="16.5">
      <c r="A14" s="355"/>
    </row>
    <row r="15" ht="16.5">
      <c r="A15" s="356" t="s">
        <v>503</v>
      </c>
    </row>
    <row r="16" spans="1:7" ht="16.5">
      <c r="A16" s="354"/>
      <c r="B16" s="354"/>
      <c r="C16" s="354"/>
      <c r="D16" s="354"/>
      <c r="E16" s="354"/>
      <c r="F16" s="354"/>
      <c r="G16" s="354"/>
    </row>
    <row r="17" spans="1:8" ht="16.5">
      <c r="A17" s="359" t="s">
        <v>504</v>
      </c>
      <c r="B17" s="351"/>
      <c r="C17" s="351"/>
      <c r="D17" s="351"/>
      <c r="E17" s="351"/>
      <c r="F17" s="351"/>
      <c r="G17" s="351"/>
      <c r="H17" s="351"/>
    </row>
    <row r="18" spans="1:7" ht="16.5">
      <c r="A18" s="355" t="s">
        <v>505</v>
      </c>
      <c r="B18" s="360"/>
      <c r="C18" s="360"/>
      <c r="D18" s="360"/>
      <c r="E18" s="360"/>
      <c r="F18" s="360"/>
      <c r="G18" s="360"/>
    </row>
    <row r="19" ht="16.5">
      <c r="A19" s="355" t="s">
        <v>506</v>
      </c>
    </row>
    <row r="20" ht="16.5">
      <c r="A20" s="355" t="s">
        <v>507</v>
      </c>
    </row>
    <row r="22" ht="16.5">
      <c r="A22" s="356" t="s">
        <v>508</v>
      </c>
    </row>
    <row r="24" ht="16.5">
      <c r="A24" s="355" t="s">
        <v>509</v>
      </c>
    </row>
    <row r="25" ht="16.5">
      <c r="A25" s="355" t="s">
        <v>510</v>
      </c>
    </row>
    <row r="26" ht="16.5">
      <c r="A26" s="355" t="s">
        <v>511</v>
      </c>
    </row>
    <row r="28" ht="16.5">
      <c r="A28" s="356" t="s">
        <v>512</v>
      </c>
    </row>
    <row r="30" ht="16.5">
      <c r="A30" t="s">
        <v>513</v>
      </c>
    </row>
    <row r="31" ht="16.5">
      <c r="A31" t="s">
        <v>514</v>
      </c>
    </row>
    <row r="32" ht="16.5">
      <c r="A32" t="s">
        <v>515</v>
      </c>
    </row>
    <row r="33" ht="16.5">
      <c r="A33" s="355" t="s">
        <v>516</v>
      </c>
    </row>
    <row r="35" ht="16.5">
      <c r="A35" t="s">
        <v>517</v>
      </c>
    </row>
    <row r="36" ht="16.5">
      <c r="A36" t="s">
        <v>518</v>
      </c>
    </row>
    <row r="37" ht="16.5">
      <c r="A37" t="s">
        <v>519</v>
      </c>
    </row>
    <row r="38" ht="16.5">
      <c r="A38" t="s">
        <v>520</v>
      </c>
    </row>
    <row r="40" ht="16.5">
      <c r="A40" t="s">
        <v>521</v>
      </c>
    </row>
    <row r="41" ht="16.5">
      <c r="A41" t="s">
        <v>522</v>
      </c>
    </row>
    <row r="42" ht="16.5">
      <c r="A42" t="s">
        <v>523</v>
      </c>
    </row>
    <row r="43" ht="16.5">
      <c r="A43" t="s">
        <v>524</v>
      </c>
    </row>
    <row r="44" ht="16.5">
      <c r="A44" t="s">
        <v>525</v>
      </c>
    </row>
    <row r="45" ht="16.5">
      <c r="A45" t="s">
        <v>526</v>
      </c>
    </row>
    <row r="47" ht="16.5">
      <c r="A47" t="s">
        <v>527</v>
      </c>
    </row>
    <row r="48" ht="16.5">
      <c r="A48" t="s">
        <v>528</v>
      </c>
    </row>
    <row r="49" ht="16.5">
      <c r="A49" s="355" t="s">
        <v>529</v>
      </c>
    </row>
    <row r="50" ht="16.5">
      <c r="A50" s="355" t="s">
        <v>530</v>
      </c>
    </row>
    <row r="52" ht="16.5">
      <c r="A52" t="s">
        <v>383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4" t="s">
        <v>629</v>
      </c>
    </row>
    <row r="3" ht="32.25">
      <c r="A3" s="465" t="s">
        <v>630</v>
      </c>
    </row>
    <row r="4" ht="16.5">
      <c r="A4" s="466" t="s">
        <v>631</v>
      </c>
    </row>
    <row r="7" ht="32.25">
      <c r="A7" s="465" t="s">
        <v>632</v>
      </c>
    </row>
    <row r="8" ht="16.5">
      <c r="A8" s="466" t="s">
        <v>633</v>
      </c>
    </row>
    <row r="11" ht="16.5">
      <c r="A11" s="467" t="s">
        <v>634</v>
      </c>
    </row>
    <row r="12" ht="16.5">
      <c r="A12" s="466" t="s">
        <v>635</v>
      </c>
    </row>
    <row r="15" ht="16.5">
      <c r="A15" s="467" t="s">
        <v>636</v>
      </c>
    </row>
    <row r="16" ht="16.5">
      <c r="A16" s="466" t="s">
        <v>637</v>
      </c>
    </row>
    <row r="19" ht="16.5">
      <c r="A19" s="467" t="s">
        <v>638</v>
      </c>
    </row>
    <row r="20" ht="16.5">
      <c r="A20" s="466" t="s">
        <v>639</v>
      </c>
    </row>
    <row r="23" ht="16.5">
      <c r="A23" s="467" t="s">
        <v>640</v>
      </c>
    </row>
    <row r="24" ht="16.5">
      <c r="A24" s="466" t="s">
        <v>641</v>
      </c>
    </row>
    <row r="27" ht="16.5">
      <c r="A27" s="467" t="s">
        <v>642</v>
      </c>
    </row>
    <row r="28" ht="16.5">
      <c r="A28" s="466" t="s">
        <v>643</v>
      </c>
    </row>
    <row r="31" ht="16.5">
      <c r="A31" s="467" t="s">
        <v>644</v>
      </c>
    </row>
    <row r="32" ht="16.5">
      <c r="A32" s="466" t="s">
        <v>645</v>
      </c>
    </row>
    <row r="35" ht="16.5">
      <c r="A35" s="467" t="s">
        <v>646</v>
      </c>
    </row>
    <row r="36" ht="16.5">
      <c r="A36" s="466" t="s">
        <v>647</v>
      </c>
    </row>
    <row r="39" ht="16.5">
      <c r="A39" s="467" t="s">
        <v>648</v>
      </c>
    </row>
    <row r="40" ht="16.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30" sqref="E30"/>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Clyde Mount Hope CD # 14 </v>
      </c>
      <c r="B1" s="60"/>
      <c r="C1" s="60"/>
      <c r="D1" s="60"/>
      <c r="E1" s="60">
        <f>inputPrYr!D6</f>
        <v>2015</v>
      </c>
    </row>
    <row r="2" spans="1:5" ht="16.5">
      <c r="A2" s="60" t="str">
        <f>inputPrYr!D4</f>
        <v>Cloud County </v>
      </c>
      <c r="B2" s="60"/>
      <c r="C2" s="60"/>
      <c r="D2" s="60"/>
      <c r="E2" s="60"/>
    </row>
    <row r="3" spans="1:5" ht="16.5">
      <c r="A3" s="62"/>
      <c r="B3" s="62"/>
      <c r="C3" s="62"/>
      <c r="D3" s="62"/>
      <c r="E3" s="62"/>
    </row>
    <row r="4" spans="1:5" ht="16.5">
      <c r="A4" s="648" t="s">
        <v>195</v>
      </c>
      <c r="B4" s="649"/>
      <c r="C4" s="649"/>
      <c r="D4" s="649"/>
      <c r="E4" s="649"/>
    </row>
    <row r="5" spans="1:5" ht="16.5">
      <c r="A5" s="62"/>
      <c r="B5" s="62"/>
      <c r="C5" s="62"/>
      <c r="D5" s="62"/>
      <c r="E5" s="62"/>
    </row>
    <row r="6" spans="1:5" ht="16.5">
      <c r="A6" s="63" t="str">
        <f>CONCATENATE("From the County Clerks ",E1," Budget Information:")</f>
        <v>From the County Clerks 2015 Budget Information:</v>
      </c>
      <c r="B6" s="64"/>
      <c r="C6" s="64"/>
      <c r="D6" s="18"/>
      <c r="E6" s="37"/>
    </row>
    <row r="7" spans="1:5" ht="16.5">
      <c r="A7" s="65" t="str">
        <f>CONCATENATE("Total Assessed Valuation for ",inputPrYr!D6-1,"")</f>
        <v>Total Assessed Valuation for 2014</v>
      </c>
      <c r="B7" s="40"/>
      <c r="C7" s="40"/>
      <c r="D7" s="40"/>
      <c r="E7" s="50">
        <v>4574740</v>
      </c>
    </row>
    <row r="8" spans="1:5" ht="16.5">
      <c r="A8" s="66" t="str">
        <f>CONCATENATE("New Improvements for ",inputPrYr!D6-1,"")</f>
        <v>New Improvements for 2014</v>
      </c>
      <c r="B8" s="67"/>
      <c r="C8" s="67"/>
      <c r="D8" s="67"/>
      <c r="E8" s="68">
        <v>46487</v>
      </c>
    </row>
    <row r="9" spans="1:5" ht="16.5">
      <c r="A9" s="66" t="str">
        <f>CONCATENATE("Personal Property excluding oil, gas, and mobile homes- ",inputPrYr!D6-1,"")</f>
        <v>Personal Property excluding oil, gas, and mobile homes- 2014</v>
      </c>
      <c r="B9" s="67"/>
      <c r="C9" s="67"/>
      <c r="D9" s="67"/>
      <c r="E9" s="68">
        <v>171042</v>
      </c>
    </row>
    <row r="10" spans="1:5" ht="16.5">
      <c r="A10" s="66" t="str">
        <f>CONCATENATE("Property that has changed in use for ",inputPrYr!D6-1,"")</f>
        <v>Property that has changed in use for 2014</v>
      </c>
      <c r="B10" s="67"/>
      <c r="C10" s="67"/>
      <c r="D10" s="67"/>
      <c r="E10" s="68">
        <v>0</v>
      </c>
    </row>
    <row r="11" spans="1:5" ht="16.5">
      <c r="A11" s="65" t="str">
        <f>CONCATENATE("Personal Property excluding oil, gas, and mobile homes- ",inputPrYr!D6-2,"")</f>
        <v>Personal Property excluding oil, gas, and mobile homes- 2013</v>
      </c>
      <c r="B11" s="40"/>
      <c r="C11" s="40"/>
      <c r="D11" s="40"/>
      <c r="E11" s="68">
        <v>219618</v>
      </c>
    </row>
    <row r="12" spans="1:5" ht="16.5">
      <c r="A12" s="66" t="str">
        <f>CONCATENATE("Neighborhood Revitalization - ",E1,"")</f>
        <v>Neighborhood Revitalization - 2015</v>
      </c>
      <c r="B12" s="67"/>
      <c r="C12" s="67"/>
      <c r="D12" s="67"/>
      <c r="E12" s="68"/>
    </row>
    <row r="13" spans="1:5" ht="16.5">
      <c r="A13" s="43"/>
      <c r="B13" s="69"/>
      <c r="C13" s="69"/>
      <c r="D13" s="69"/>
      <c r="E13" s="70"/>
    </row>
    <row r="14" spans="1:5" ht="16.5">
      <c r="A14" s="71" t="str">
        <f>CONCATENATE("Actual Tax Rates for the ",E1-1," Budget:")</f>
        <v>Actual Tax Rates for the 2014 Budget:</v>
      </c>
      <c r="B14" s="69"/>
      <c r="C14" s="69"/>
      <c r="D14" s="69"/>
      <c r="E14" s="72"/>
    </row>
    <row r="15" spans="1:5" ht="16.5">
      <c r="A15" s="658" t="s">
        <v>26</v>
      </c>
      <c r="B15" s="653"/>
      <c r="C15" s="62"/>
      <c r="D15" s="73" t="s">
        <v>63</v>
      </c>
      <c r="E15" s="72"/>
    </row>
    <row r="16" spans="1:5" ht="16.5">
      <c r="A16" s="65" t="s">
        <v>10</v>
      </c>
      <c r="B16" s="40"/>
      <c r="C16" s="69"/>
      <c r="D16" s="74">
        <v>0.956</v>
      </c>
      <c r="E16" s="72"/>
    </row>
    <row r="17" spans="1:5" ht="16.5">
      <c r="A17" s="66" t="s">
        <v>271</v>
      </c>
      <c r="B17" s="67"/>
      <c r="C17" s="69"/>
      <c r="D17" s="75"/>
      <c r="E17" s="72"/>
    </row>
    <row r="18" spans="1:5" ht="16.5">
      <c r="A18" s="66" t="str">
        <f>inputPrYr!B22</f>
        <v>No Fund Warrant</v>
      </c>
      <c r="B18" s="67"/>
      <c r="C18" s="69"/>
      <c r="D18" s="75">
        <v>1.127</v>
      </c>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205</v>
      </c>
      <c r="C22" s="78"/>
      <c r="D22" s="79">
        <f>SUM(D16:D21)</f>
        <v>2.083</v>
      </c>
      <c r="E22" s="77"/>
    </row>
    <row r="23" spans="1:5" ht="16.5">
      <c r="A23" s="77"/>
      <c r="B23" s="77"/>
      <c r="C23" s="77"/>
      <c r="D23" s="77"/>
      <c r="E23" s="77"/>
    </row>
    <row r="24" spans="1:5" ht="16.5">
      <c r="A24" s="40" t="str">
        <f>CONCATENATE("Final Assessed Valuation from the November 1, ",E1-2," Abstract")</f>
        <v>Final Assessed Valuation from the November 1, 2013 Abstract</v>
      </c>
      <c r="B24" s="80"/>
      <c r="C24" s="80"/>
      <c r="D24" s="80"/>
      <c r="E24" s="56">
        <v>4554913</v>
      </c>
    </row>
    <row r="25" spans="1:5" ht="16.5">
      <c r="A25" s="77"/>
      <c r="B25" s="77"/>
      <c r="C25" s="77"/>
      <c r="D25" s="77"/>
      <c r="E25" s="77"/>
    </row>
    <row r="26" spans="1:5" ht="16.5">
      <c r="A26" s="81" t="str">
        <f>CONCATENATE("From the County Treasurer's Budget Information - ",E1," Budget Year Estimates:")</f>
        <v>From the County Treasurer's Budget Information - 2015 Budget Year Estimates:</v>
      </c>
      <c r="B26" s="27"/>
      <c r="C26" s="27"/>
      <c r="D26" s="82"/>
      <c r="E26" s="37"/>
    </row>
    <row r="27" spans="1:5" ht="16.5">
      <c r="A27" s="65" t="s">
        <v>14</v>
      </c>
      <c r="B27" s="40"/>
      <c r="C27" s="40"/>
      <c r="D27" s="83"/>
      <c r="E27" s="35">
        <v>2000</v>
      </c>
    </row>
    <row r="28" spans="1:5" ht="16.5">
      <c r="A28" s="66" t="s">
        <v>15</v>
      </c>
      <c r="B28" s="67"/>
      <c r="C28" s="67"/>
      <c r="D28" s="84"/>
      <c r="E28" s="35">
        <v>36</v>
      </c>
    </row>
    <row r="29" spans="1:5" ht="16.5">
      <c r="A29" s="66" t="s">
        <v>171</v>
      </c>
      <c r="B29" s="67"/>
      <c r="C29" s="67"/>
      <c r="D29" s="84"/>
      <c r="E29" s="35">
        <v>189</v>
      </c>
    </row>
    <row r="30" spans="1:5" ht="16.5">
      <c r="A30" s="66" t="s">
        <v>159</v>
      </c>
      <c r="B30" s="67"/>
      <c r="C30" s="67"/>
      <c r="D30" s="84"/>
      <c r="E30" s="35"/>
    </row>
    <row r="31" spans="1:5" ht="16.5">
      <c r="A31" s="65"/>
      <c r="B31" s="40"/>
      <c r="C31" s="40"/>
      <c r="D31" s="83"/>
      <c r="E31" s="35"/>
    </row>
    <row r="32" spans="1:5" ht="16.5">
      <c r="A32" s="18" t="s">
        <v>172</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2012 Tax - (rate .01213 = 1.213%, key in 1.2)</v>
      </c>
      <c r="B34" s="40"/>
      <c r="C34" s="40"/>
      <c r="D34" s="44"/>
      <c r="E34" s="535">
        <v>0</v>
      </c>
    </row>
    <row r="35" spans="1:5" ht="16.5">
      <c r="A35" s="66" t="s">
        <v>707</v>
      </c>
      <c r="B35" s="86"/>
      <c r="C35" s="69"/>
      <c r="D35" s="69"/>
      <c r="E35" s="536">
        <v>0</v>
      </c>
    </row>
    <row r="36" spans="1:5" ht="16.5">
      <c r="A36" s="87" t="s">
        <v>173</v>
      </c>
      <c r="B36" s="87"/>
      <c r="C36" s="88"/>
      <c r="D36" s="88"/>
      <c r="E36" s="89"/>
    </row>
    <row r="37" spans="1:5" ht="16.5">
      <c r="A37" s="62"/>
      <c r="B37" s="62"/>
      <c r="C37" s="62"/>
      <c r="D37" s="62"/>
      <c r="E37" s="62"/>
    </row>
    <row r="38" spans="1:5" ht="16.5">
      <c r="A38" s="659" t="str">
        <f>CONCATENATE("From the ",E1-2," Budget Certificate Page")</f>
        <v>From the 2013 Budget Certificate Page</v>
      </c>
      <c r="B38" s="660"/>
      <c r="C38" s="62"/>
      <c r="D38" s="62"/>
      <c r="E38" s="62"/>
    </row>
    <row r="39" spans="1:5" ht="16.5">
      <c r="A39" s="90"/>
      <c r="B39" s="90" t="str">
        <f>CONCATENATE("",E1-2," Expenditure Amounts")</f>
        <v>2013 Expenditure Amounts</v>
      </c>
      <c r="C39" s="661" t="str">
        <f>CONCATENATE("Note: If the ",E1-2," budget was amended, then the")</f>
        <v>Note: If the 2013 budget was amended, then the</v>
      </c>
      <c r="D39" s="662"/>
      <c r="E39" s="662"/>
    </row>
    <row r="40" spans="1:5" ht="16.5">
      <c r="A40" s="91" t="s">
        <v>211</v>
      </c>
      <c r="B40" s="91" t="s">
        <v>212</v>
      </c>
      <c r="C40" s="92" t="s">
        <v>213</v>
      </c>
      <c r="D40" s="93"/>
      <c r="E40" s="93"/>
    </row>
    <row r="41" spans="1:5" ht="16.5">
      <c r="A41" s="94" t="str">
        <f>inputPrYr!B19</f>
        <v>General</v>
      </c>
      <c r="B41" s="56">
        <v>16350</v>
      </c>
      <c r="C41" s="92" t="s">
        <v>214</v>
      </c>
      <c r="D41" s="93"/>
      <c r="E41" s="93"/>
    </row>
    <row r="42" spans="1:5" ht="16.5">
      <c r="A42" s="94" t="str">
        <f>inputPrYr!B20</f>
        <v>Debt Service</v>
      </c>
      <c r="B42" s="56"/>
      <c r="C42" s="92"/>
      <c r="D42" s="93"/>
      <c r="E42" s="93"/>
    </row>
    <row r="43" spans="1:5" ht="16.5">
      <c r="A43" s="94" t="str">
        <f>inputPrYr!B22</f>
        <v>No Fund Warrant</v>
      </c>
      <c r="B43" s="56">
        <v>5592</v>
      </c>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6.5">
      <c r="J1" s="539" t="s">
        <v>711</v>
      </c>
    </row>
    <row r="2" spans="1:10" ht="54" customHeight="1">
      <c r="A2" s="663" t="s">
        <v>319</v>
      </c>
      <c r="B2" s="664"/>
      <c r="C2" s="664"/>
      <c r="D2" s="664"/>
      <c r="E2" s="664"/>
      <c r="F2" s="664"/>
      <c r="J2" s="539" t="s">
        <v>712</v>
      </c>
    </row>
    <row r="3" spans="1:10" ht="16.5">
      <c r="A3" s="537" t="s">
        <v>709</v>
      </c>
      <c r="B3" s="538" t="s">
        <v>812</v>
      </c>
      <c r="C3" s="538"/>
      <c r="J3" s="539" t="s">
        <v>713</v>
      </c>
    </row>
    <row r="4" spans="1:10" ht="16.5">
      <c r="A4" s="339"/>
      <c r="B4" s="339"/>
      <c r="C4" s="339"/>
      <c r="D4" s="340"/>
      <c r="E4" s="339"/>
      <c r="F4" s="339"/>
      <c r="J4" s="539" t="s">
        <v>714</v>
      </c>
    </row>
    <row r="5" spans="1:10" ht="16.5">
      <c r="A5" s="537" t="s">
        <v>710</v>
      </c>
      <c r="B5" s="538" t="s">
        <v>813</v>
      </c>
      <c r="C5" s="339"/>
      <c r="D5" s="340"/>
      <c r="E5" s="339"/>
      <c r="F5" s="339"/>
      <c r="J5" s="539" t="s">
        <v>715</v>
      </c>
    </row>
    <row r="6" spans="1:10" ht="16.5">
      <c r="A6" s="339"/>
      <c r="B6" s="339"/>
      <c r="C6" s="339"/>
      <c r="D6" s="340"/>
      <c r="E6" s="339"/>
      <c r="F6" s="339"/>
      <c r="J6" s="539" t="s">
        <v>716</v>
      </c>
    </row>
    <row r="7" spans="1:10" ht="16.5">
      <c r="A7" s="341" t="s">
        <v>320</v>
      </c>
      <c r="B7" s="342" t="s">
        <v>814</v>
      </c>
      <c r="C7" s="343"/>
      <c r="D7" s="341" t="s">
        <v>708</v>
      </c>
      <c r="E7" s="339"/>
      <c r="F7" s="339"/>
      <c r="J7" s="539" t="s">
        <v>717</v>
      </c>
    </row>
    <row r="8" spans="1:10" ht="16.5">
      <c r="A8" s="341"/>
      <c r="B8" s="344"/>
      <c r="C8" s="345"/>
      <c r="D8" s="540" t="e">
        <f>IF(B7="","",CONCATENATE("Latest date for notice to be published in your newspaper: ",G18," ",G22,", ",G23))</f>
        <v>#VALUE!</v>
      </c>
      <c r="E8" s="339"/>
      <c r="F8" s="339"/>
      <c r="J8" s="539" t="s">
        <v>718</v>
      </c>
    </row>
    <row r="9" spans="1:10" ht="16.5">
      <c r="A9" s="341" t="s">
        <v>321</v>
      </c>
      <c r="B9" s="342" t="s">
        <v>815</v>
      </c>
      <c r="C9" s="346"/>
      <c r="D9" s="341"/>
      <c r="E9" s="339"/>
      <c r="F9" s="339"/>
      <c r="J9" s="539" t="s">
        <v>719</v>
      </c>
    </row>
    <row r="10" spans="1:10" ht="16.5">
      <c r="A10" s="341"/>
      <c r="B10" s="341"/>
      <c r="C10" s="341"/>
      <c r="D10" s="341"/>
      <c r="E10" s="339"/>
      <c r="F10" s="339"/>
      <c r="J10" s="539" t="s">
        <v>720</v>
      </c>
    </row>
    <row r="11" spans="1:10" ht="16.5">
      <c r="A11" s="341" t="s">
        <v>322</v>
      </c>
      <c r="B11" s="347" t="s">
        <v>816</v>
      </c>
      <c r="C11" s="347"/>
      <c r="D11" s="347"/>
      <c r="E11" s="348"/>
      <c r="F11" s="339"/>
      <c r="J11" s="539" t="s">
        <v>721</v>
      </c>
    </row>
    <row r="12" spans="1:10" ht="16.5">
      <c r="A12" s="341"/>
      <c r="B12" s="341"/>
      <c r="C12" s="341"/>
      <c r="D12" s="341"/>
      <c r="E12" s="339"/>
      <c r="F12" s="339"/>
      <c r="J12" s="539" t="s">
        <v>722</v>
      </c>
    </row>
    <row r="13" spans="1:6" ht="16.5">
      <c r="A13" s="341"/>
      <c r="B13" s="341"/>
      <c r="C13" s="341"/>
      <c r="D13" s="341"/>
      <c r="E13" s="339"/>
      <c r="F13" s="339"/>
    </row>
    <row r="14" spans="1:6" ht="16.5">
      <c r="A14" s="341" t="s">
        <v>323</v>
      </c>
      <c r="B14" s="347" t="s">
        <v>816</v>
      </c>
      <c r="C14" s="347"/>
      <c r="D14" s="347"/>
      <c r="E14" s="348"/>
      <c r="F14" s="339"/>
    </row>
    <row r="17" spans="1:6" ht="16.5">
      <c r="A17" s="665" t="s">
        <v>324</v>
      </c>
      <c r="B17" s="665"/>
      <c r="C17" s="341"/>
      <c r="D17" s="341"/>
      <c r="E17" s="341"/>
      <c r="F17" s="339"/>
    </row>
    <row r="18" spans="1:7" ht="16.5">
      <c r="A18" s="341"/>
      <c r="B18" s="341"/>
      <c r="C18" s="341"/>
      <c r="D18" s="341"/>
      <c r="E18" s="341"/>
      <c r="F18" s="339"/>
      <c r="G18" s="539" t="e">
        <f ca="1">IF(B7="","",INDIRECT(G19))</f>
        <v>#VALUE!</v>
      </c>
    </row>
    <row r="19" spans="1:7" ht="16.5">
      <c r="A19" s="341" t="s">
        <v>320</v>
      </c>
      <c r="B19" s="344" t="s">
        <v>325</v>
      </c>
      <c r="C19" s="341"/>
      <c r="D19" s="341"/>
      <c r="E19" s="341"/>
      <c r="G19" s="541" t="e">
        <f>IF(B7="","",CONCATENATE("J",G21))</f>
        <v>#VALUE!</v>
      </c>
    </row>
    <row r="20" spans="1:7" ht="16.5">
      <c r="A20" s="341"/>
      <c r="B20" s="341"/>
      <c r="C20" s="341"/>
      <c r="D20" s="341"/>
      <c r="E20" s="341"/>
      <c r="G20" s="542" t="e">
        <f>B7-10</f>
        <v>#VALUE!</v>
      </c>
    </row>
    <row r="21" spans="1:7" ht="16.5">
      <c r="A21" s="341" t="s">
        <v>321</v>
      </c>
      <c r="B21" s="341" t="s">
        <v>326</v>
      </c>
      <c r="C21" s="341"/>
      <c r="D21" s="341"/>
      <c r="E21" s="341"/>
      <c r="G21" s="543" t="e">
        <f>IF(B7="","",MONTH(G20))</f>
        <v>#VALUE!</v>
      </c>
    </row>
    <row r="22" spans="1:7" ht="16.5">
      <c r="A22" s="341"/>
      <c r="B22" s="341"/>
      <c r="C22" s="341"/>
      <c r="D22" s="341"/>
      <c r="E22" s="341"/>
      <c r="G22" s="544" t="e">
        <f>IF(B7="","",DAY(G20))</f>
        <v>#VALUE!</v>
      </c>
    </row>
    <row r="23" spans="1:7" ht="16.5">
      <c r="A23" s="341" t="s">
        <v>322</v>
      </c>
      <c r="B23" s="341" t="s">
        <v>328</v>
      </c>
      <c r="C23" s="341"/>
      <c r="D23" s="341"/>
      <c r="E23" s="341"/>
      <c r="G23" s="545" t="e">
        <f>IF(B7="","",YEAR(G20))</f>
        <v>#VALUE!</v>
      </c>
    </row>
    <row r="24" spans="1:5" ht="16.5">
      <c r="A24" s="341"/>
      <c r="B24" s="341"/>
      <c r="C24" s="341"/>
      <c r="D24" s="341"/>
      <c r="E24" s="341"/>
    </row>
    <row r="25" spans="1:5" ht="16.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2015</v>
      </c>
    </row>
    <row r="4" spans="1:7" ht="15.75">
      <c r="A4" s="670" t="str">
        <f>CONCATENATE("To the Clerk of ",inputPrYr!D4,", State of Kansas")</f>
        <v>To the Clerk of Cloud County , State of Kansas</v>
      </c>
      <c r="B4" s="670"/>
      <c r="C4" s="670"/>
      <c r="D4" s="670"/>
      <c r="E4" s="670"/>
      <c r="F4" s="670"/>
      <c r="G4" s="670"/>
    </row>
    <row r="5" spans="1:7" ht="15.75">
      <c r="A5" s="97" t="s">
        <v>156</v>
      </c>
      <c r="B5" s="24"/>
      <c r="C5" s="24"/>
      <c r="D5" s="24"/>
      <c r="E5" s="24"/>
      <c r="F5" s="24"/>
      <c r="G5" s="24"/>
    </row>
    <row r="6" spans="1:7" ht="15.75">
      <c r="A6" s="650" t="str">
        <f>inputPrYr!D3</f>
        <v>Clyde Mount Hope CD # 14 </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2015; and (3) the</v>
      </c>
      <c r="B10" s="24"/>
      <c r="C10" s="24"/>
      <c r="D10" s="24"/>
      <c r="E10" s="24"/>
      <c r="F10" s="24"/>
      <c r="G10" s="24"/>
    </row>
    <row r="11" spans="1:7" ht="15.75">
      <c r="A11" s="97" t="str">
        <f>CONCATENATE("Amount(s) of ",G3-1," Ad Valorem Tax are within statutory  limitations for the ",G3," Budget.")</f>
        <v>Amount(s) of 2014 Ad Valorem Tax are within statutory  limitations for the 2015 Budget.</v>
      </c>
      <c r="B11" s="24"/>
      <c r="C11" s="24"/>
      <c r="D11" s="24"/>
      <c r="E11" s="24"/>
      <c r="F11" s="24"/>
      <c r="G11" s="24"/>
    </row>
    <row r="12" spans="1:7" ht="15.75">
      <c r="A12" s="17"/>
      <c r="B12" s="18"/>
      <c r="C12" s="18"/>
      <c r="D12" s="99"/>
      <c r="E12" s="100"/>
      <c r="F12" s="100"/>
      <c r="G12" s="100"/>
    </row>
    <row r="13" spans="1:7" ht="16.5">
      <c r="A13" s="18"/>
      <c r="B13" s="18"/>
      <c r="C13" s="18"/>
      <c r="D13" s="18"/>
      <c r="E13" s="671" t="str">
        <f>CONCATENATE("",G3," Adopted Budget")</f>
        <v>2015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2014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2015</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17-1344</v>
      </c>
      <c r="D23" s="120">
        <v>6</v>
      </c>
      <c r="E23" s="558">
        <f>IF(gen!$E$61&lt;&gt;0,gen!$E$61,"  ")</f>
        <v>17350</v>
      </c>
      <c r="F23" s="558">
        <f>IF(gen!$E$68&lt;&gt;0,gen!$E$68,"  ")</f>
        <v>7391</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No Fund Warrant</v>
      </c>
      <c r="B25" s="116"/>
      <c r="C25" s="111" t="str">
        <f>IF(inputPrYr!C22&gt;0,inputPrYr!C22,"  ")</f>
        <v>17-1374</v>
      </c>
      <c r="D25" s="120">
        <f>IF(levypage8!C80&gt;0,levypage8!C80," ")</f>
        <v>7</v>
      </c>
      <c r="E25" s="243">
        <f>IF(levypage8!$E$33&lt;&gt;0,levypage8!$E$33,"  ")</f>
        <v>5308</v>
      </c>
      <c r="F25" s="243">
        <f>IF(levypage8!$E$40&lt;&gt;0,levypage8!$E$40,"  ")</f>
        <v>500</v>
      </c>
      <c r="G25" s="559" t="str">
        <f>IF(AND(levypage8!E40=0,$G$32&gt;=0)," ",IF(AND(F25&gt;0,$G$32=0)," ",IF(AND(F25&gt;0,$G$32&gt;0),ROUND(F25/$G$32*1000,3))))</f>
        <v> </v>
      </c>
    </row>
    <row r="26" spans="1:7" ht="15.75">
      <c r="A26" s="121" t="str">
        <f>IF(inputPrYr!$B$23&gt;"  ",inputPrYr!$B$23,"  ")</f>
        <v>  </v>
      </c>
      <c r="B26" s="116"/>
      <c r="C26" s="111" t="str">
        <f>IF(inputPrYr!C23&gt;0,inputPrYr!C23,"  ")</f>
        <v>  </v>
      </c>
      <c r="D26" s="120">
        <f>IF(levypage8!C80&gt;0,levypage8!C80," ")</f>
        <v>7</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t="str">
        <f>IF((inputPrYr!$B$30&gt;" "),(NonBud!$A$3),"")</f>
        <v>Non-Budgeted Funds</v>
      </c>
      <c r="B29" s="125"/>
      <c r="C29" s="103"/>
      <c r="D29" s="120">
        <f>IF(NonBud!F33&gt;0,NonBud!F33,"")</f>
        <v>8</v>
      </c>
      <c r="E29" s="561"/>
      <c r="F29" s="562"/>
      <c r="G29" s="563"/>
    </row>
    <row r="30" spans="1:7" ht="15.75">
      <c r="A30" s="127" t="s">
        <v>134</v>
      </c>
      <c r="B30" s="67"/>
      <c r="C30" s="116"/>
      <c r="D30" s="128" t="s">
        <v>28</v>
      </c>
      <c r="E30" s="564">
        <f>SUM(E23:E28)</f>
        <v>22658</v>
      </c>
      <c r="F30" s="565">
        <f>SUM(F23:F28)</f>
        <v>7891</v>
      </c>
      <c r="G30" s="566">
        <f>IF(SUM(G23:G28)=0,"",SUM(G23:G28))</f>
      </c>
    </row>
    <row r="31" spans="1:7" ht="15.75">
      <c r="A31" s="119" t="s">
        <v>204</v>
      </c>
      <c r="B31" s="67"/>
      <c r="C31" s="116"/>
      <c r="D31" s="131">
        <f>summ!E41</f>
        <v>9</v>
      </c>
      <c r="E31" s="135" t="s">
        <v>199</v>
      </c>
      <c r="F31" s="383" t="str">
        <f>IF(F30&gt;computation!J34,"Yes","No")</f>
        <v>No</v>
      </c>
      <c r="G31" s="384" t="s">
        <v>136</v>
      </c>
    </row>
    <row r="32" spans="1:7" ht="16.5">
      <c r="A32" s="119" t="s">
        <v>219</v>
      </c>
      <c r="B32" s="133"/>
      <c r="C32" s="134"/>
      <c r="D32" s="131">
        <f>IF(Nhood!C35=0,"",Nhood!C35)</f>
      </c>
      <c r="E32" s="382"/>
      <c r="F32" s="69"/>
      <c r="G32" s="140"/>
    </row>
    <row r="33" spans="1:7" ht="15.75">
      <c r="A33" s="136" t="s">
        <v>198</v>
      </c>
      <c r="B33" s="67"/>
      <c r="C33" s="116"/>
      <c r="D33" s="131">
        <f>IF(Resolution!E45=0,"",Resolution!E45)</f>
        <v>9</v>
      </c>
      <c r="E33" s="60"/>
      <c r="F33" s="69"/>
      <c r="G33" s="675" t="str">
        <f>CONCATENATE("Nov. 1, ",G3-1," Total Assessed Valuation")</f>
        <v>Nov. 1, 2014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6.5">
      <c r="A38" s="20" t="s">
        <v>564</v>
      </c>
      <c r="B38" s="69"/>
      <c r="C38" s="69"/>
      <c r="D38" s="69"/>
      <c r="E38" s="553"/>
      <c r="F38" s="69"/>
      <c r="G38" s="69"/>
    </row>
    <row r="39" spans="1:7" ht="16.5">
      <c r="A39" s="520"/>
      <c r="B39" s="520"/>
      <c r="C39" s="69"/>
      <c r="D39" s="69" t="s">
        <v>729</v>
      </c>
      <c r="E39" s="554"/>
      <c r="F39" s="554"/>
      <c r="G39" s="69"/>
    </row>
    <row r="40" spans="1:7" ht="16.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2014</v>
      </c>
      <c r="D47" s="69" t="s">
        <v>729</v>
      </c>
      <c r="E47" s="69"/>
      <c r="F47" s="556"/>
      <c r="G47" s="556"/>
    </row>
    <row r="48" spans="1:7" ht="15.75">
      <c r="A48" s="141"/>
      <c r="B48" s="69"/>
      <c r="C48" s="17"/>
      <c r="D48" s="69"/>
      <c r="E48" s="69"/>
      <c r="F48" s="557"/>
      <c r="G48" s="557"/>
    </row>
    <row r="49" spans="1:7" ht="16.5">
      <c r="A49" s="677"/>
      <c r="B49" s="678"/>
      <c r="C49" s="18"/>
      <c r="D49" s="69" t="s">
        <v>729</v>
      </c>
      <c r="E49" s="69"/>
      <c r="F49" s="69"/>
      <c r="G49" s="69"/>
    </row>
    <row r="50" spans="1:7" ht="16.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Clyde Mount Hope CD # 14 </v>
      </c>
      <c r="D1" s="18"/>
      <c r="E1" s="18"/>
      <c r="F1" s="18"/>
      <c r="G1" s="18"/>
      <c r="H1" s="18"/>
      <c r="I1" s="18"/>
      <c r="J1" s="18">
        <f>inputPrYr!D6</f>
        <v>2015</v>
      </c>
    </row>
    <row r="2" spans="1:10" ht="15.75" customHeight="1">
      <c r="A2" s="18"/>
      <c r="B2" s="18"/>
      <c r="C2" s="18" t="str">
        <f>inputPrYr!D4</f>
        <v>Cloud County </v>
      </c>
      <c r="D2" s="18"/>
      <c r="E2" s="18"/>
      <c r="F2" s="18"/>
      <c r="G2" s="18"/>
      <c r="H2" s="18"/>
      <c r="I2" s="18"/>
      <c r="J2" s="18"/>
    </row>
    <row r="3" spans="1:10" ht="15.75">
      <c r="A3" s="652" t="str">
        <f>CONCATENATE("Computation to Determine Limit for ",J1,"")</f>
        <v>Computation to Determine Limit for 2015</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2014 Budget</v>
      </c>
      <c r="C5" s="18"/>
      <c r="D5" s="18"/>
      <c r="E5" s="37"/>
      <c r="F5" s="37"/>
      <c r="G5" s="37"/>
      <c r="H5" s="146" t="s">
        <v>92</v>
      </c>
      <c r="I5" s="37" t="s">
        <v>93</v>
      </c>
      <c r="J5" s="361">
        <f>inputPrYr!E24</f>
        <v>9482</v>
      </c>
    </row>
    <row r="6" spans="1:10" ht="15.75">
      <c r="A6" s="145" t="s">
        <v>94</v>
      </c>
      <c r="B6" s="18" t="str">
        <f>CONCATENATE("Debt Service Levy in ",J1-1," Budget")</f>
        <v>Debt Service Levy in 2014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9482</v>
      </c>
    </row>
    <row r="8" spans="1:10" ht="15.75">
      <c r="A8" s="18"/>
      <c r="B8" s="18"/>
      <c r="C8" s="18"/>
      <c r="D8" s="18"/>
      <c r="E8" s="37"/>
      <c r="F8" s="37"/>
      <c r="G8" s="37"/>
      <c r="H8" s="37"/>
      <c r="I8" s="37"/>
      <c r="J8" s="37"/>
    </row>
    <row r="9" spans="1:10" ht="15.75">
      <c r="A9" s="18"/>
      <c r="B9" s="25" t="str">
        <f>CONCATENATE("",J1-1," Valuation Information for Valuation Adjustments:")</f>
        <v>2014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2014:</v>
      </c>
      <c r="C11" s="18"/>
      <c r="D11" s="18"/>
      <c r="E11" s="146"/>
      <c r="F11" s="146" t="s">
        <v>92</v>
      </c>
      <c r="G11" s="148">
        <f>inputOth!E8</f>
        <v>46487</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2014:</v>
      </c>
      <c r="C13" s="18"/>
      <c r="D13" s="18"/>
      <c r="E13" s="146"/>
      <c r="F13" s="146"/>
      <c r="G13" s="149"/>
      <c r="H13" s="149"/>
      <c r="I13" s="37"/>
      <c r="J13" s="37"/>
    </row>
    <row r="14" spans="1:10" ht="15.75">
      <c r="A14" s="18"/>
      <c r="B14" s="18" t="s">
        <v>98</v>
      </c>
      <c r="C14" s="18" t="str">
        <f>CONCATENATE("Personal Property ",J1-1,"")</f>
        <v>Personal Property 2014</v>
      </c>
      <c r="D14" s="145" t="s">
        <v>92</v>
      </c>
      <c r="E14" s="148">
        <f>inputOth!E9</f>
        <v>171042</v>
      </c>
      <c r="F14" s="146"/>
      <c r="G14" s="37"/>
      <c r="H14" s="37"/>
      <c r="I14" s="149"/>
      <c r="J14" s="37"/>
    </row>
    <row r="15" spans="1:10" ht="15.75">
      <c r="A15" s="145"/>
      <c r="B15" s="18" t="s">
        <v>99</v>
      </c>
      <c r="C15" s="18" t="str">
        <f>CONCATENATE("Personal Property ",J1-2,"")</f>
        <v>Personal Property 2013</v>
      </c>
      <c r="D15" s="145" t="s">
        <v>95</v>
      </c>
      <c r="E15" s="41">
        <f>inputOth!E11</f>
        <v>219618</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2014:</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46487</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1,2014</v>
      </c>
      <c r="C22" s="18"/>
      <c r="D22" s="18"/>
      <c r="E22" s="148">
        <f>inputOth!E7</f>
        <v>4574740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4528253</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0.010265989996583671</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97</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9579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2015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9579</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2015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F39" sqref="F39"/>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Clyde Mount Hope CD # 14 </v>
      </c>
      <c r="C1" s="18"/>
      <c r="D1" s="18"/>
      <c r="E1" s="18"/>
      <c r="F1" s="18"/>
      <c r="G1" s="18"/>
      <c r="H1" s="18"/>
      <c r="I1" s="155"/>
      <c r="J1" s="18"/>
    </row>
    <row r="2" spans="1:10" ht="15.75">
      <c r="A2" s="18"/>
      <c r="B2" s="18" t="str">
        <f>inputPrYr!D4</f>
        <v>Cloud County </v>
      </c>
      <c r="C2" s="18"/>
      <c r="D2" s="18"/>
      <c r="E2" s="18"/>
      <c r="F2" s="18"/>
      <c r="G2" s="18">
        <f>inputPrYr!D6</f>
        <v>2015</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85" t="str">
        <f>CONCATENATE("",G2-1,"                    Budgeted Funds")</f>
        <v>2014                    Budgeted Funds</v>
      </c>
      <c r="C9" s="683" t="str">
        <f>CONCATENATE("Tax Levy Amount in ",G2-2," Budget")</f>
        <v>Tax Levy Amount in 2013 Budget</v>
      </c>
      <c r="D9" s="671" t="str">
        <f>CONCATENATE("Allocation for Year ",G2,"")</f>
        <v>Allocation for Year 2015</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4350</v>
      </c>
      <c r="D11" s="123">
        <f>IF(E17=0,0,E17-D12-D13-D14)</f>
        <v>918</v>
      </c>
      <c r="E11" s="123">
        <f>IF(E19=0,0,E19-E12-E13-E14)</f>
        <v>17</v>
      </c>
      <c r="F11" s="123">
        <f>IF(E21=0,0,E21-F12-F13-F14)</f>
        <v>87</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No Fund Warrant</v>
      </c>
      <c r="C13" s="123">
        <f>inputPrYr!E22</f>
        <v>5132</v>
      </c>
      <c r="D13" s="123">
        <f>IF($E$17=0,0,ROUND(C13*$C$24,0))</f>
        <v>1082</v>
      </c>
      <c r="E13" s="123">
        <f>IF($E$19=0,0,ROUND(C13*$D$26,0))</f>
        <v>19</v>
      </c>
      <c r="F13" s="123">
        <f>IF($E21=0,0,ROUND(C13*$E$28,0))</f>
        <v>102</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9482</v>
      </c>
      <c r="D15" s="130">
        <f>SUM(D11:D14)</f>
        <v>2000</v>
      </c>
      <c r="E15" s="130">
        <f>SUM(E11:E14)</f>
        <v>36</v>
      </c>
      <c r="F15" s="203">
        <f>SUM(F11:F14)</f>
        <v>189</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2000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36</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189</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0.21092596498628982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0.0037966673697532164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0.019932503691204386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12" sqref="E12"/>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2015</v>
      </c>
    </row>
    <row r="2" spans="1:6" ht="15.75">
      <c r="A2" s="165" t="str">
        <f>inputPrYr!D3</f>
        <v>Clyde Mount Hope CD # 14 </v>
      </c>
      <c r="B2" s="165"/>
      <c r="C2" s="18"/>
      <c r="D2" s="18"/>
      <c r="E2" s="155"/>
      <c r="F2" s="18"/>
    </row>
    <row r="3" spans="1:6" ht="15.75">
      <c r="A3" s="165" t="str">
        <f>inputPrYr!D4</f>
        <v>Cloud County </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2013</v>
      </c>
      <c r="D9" s="170">
        <f>F1-1</f>
        <v>2014</v>
      </c>
      <c r="E9" s="170">
        <f>F1</f>
        <v>2015</v>
      </c>
      <c r="F9" s="169" t="s">
        <v>165</v>
      </c>
    </row>
    <row r="10" spans="1:6" ht="15" customHeight="1">
      <c r="A10" s="172" t="s">
        <v>799</v>
      </c>
      <c r="B10" s="172" t="s">
        <v>800</v>
      </c>
      <c r="C10" s="173">
        <v>0</v>
      </c>
      <c r="D10" s="173"/>
      <c r="E10" s="173"/>
      <c r="F10" s="172"/>
    </row>
    <row r="11" spans="1:6" ht="15" customHeight="1">
      <c r="A11" s="46" t="s">
        <v>799</v>
      </c>
      <c r="B11" s="46" t="s">
        <v>810</v>
      </c>
      <c r="C11" s="140">
        <v>2000</v>
      </c>
      <c r="D11" s="140">
        <v>2000</v>
      </c>
      <c r="E11" s="140">
        <v>2000</v>
      </c>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2000</v>
      </c>
      <c r="D24" s="176">
        <f>SUM(D10:D23)</f>
        <v>2000</v>
      </c>
      <c r="E24" s="176">
        <f>SUM(E10:E23)</f>
        <v>2000</v>
      </c>
      <c r="F24" s="177"/>
      <c r="G24" s="61"/>
    </row>
    <row r="25" spans="1:7" ht="16.5">
      <c r="A25" s="30"/>
      <c r="B25" s="178" t="s">
        <v>550</v>
      </c>
      <c r="C25" s="179"/>
      <c r="D25" s="180"/>
      <c r="E25" s="180"/>
      <c r="F25" s="177"/>
      <c r="G25" s="61"/>
    </row>
    <row r="26" spans="1:7" ht="16.5">
      <c r="A26" s="30"/>
      <c r="B26" s="175" t="s">
        <v>166</v>
      </c>
      <c r="C26" s="176">
        <f>C24</f>
        <v>2000</v>
      </c>
      <c r="D26" s="176">
        <f>SUM(D24-D25)</f>
        <v>2000</v>
      </c>
      <c r="E26" s="176">
        <f>SUM(E24-E25)</f>
        <v>2000</v>
      </c>
      <c r="F26" s="177"/>
      <c r="G26" s="61"/>
    </row>
    <row r="27" spans="1:7" ht="16.5">
      <c r="A27" s="18"/>
      <c r="B27" s="18"/>
      <c r="C27" s="18"/>
      <c r="D27" s="52"/>
      <c r="E27" s="52"/>
      <c r="F27" s="52"/>
      <c r="G27" s="61"/>
    </row>
    <row r="28" spans="1:7" ht="16.5">
      <c r="A28" s="18"/>
      <c r="B28" s="18"/>
      <c r="C28" s="18"/>
      <c r="D28" s="52"/>
      <c r="E28" s="52"/>
      <c r="F28" s="52"/>
      <c r="G28" s="61"/>
    </row>
    <row r="29" spans="1:7" ht="16.5">
      <c r="A29" s="364" t="s">
        <v>554</v>
      </c>
      <c r="B29" s="365" t="str">
        <f>CONCATENATE("Adjustments are required only if the transfer is being made in ",D9," and/or ",E9," from a non-budgeted fund.")</f>
        <v>Adjustments are required only if the transfer is being made in 2014 and/or 2015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Shella Thoman</cp:lastModifiedBy>
  <cp:lastPrinted>2014-07-10T15:41:22Z</cp:lastPrinted>
  <dcterms:created xsi:type="dcterms:W3CDTF">1999-08-06T13:59:57Z</dcterms:created>
  <dcterms:modified xsi:type="dcterms:W3CDTF">2014-11-07T20:32:02Z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