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<sst xmlns="http://schemas.openxmlformats.org/spreadsheetml/2006/main" count="1185" uniqueCount="807">
  <si>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</si>
  <si>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</si>
  <si>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</si>
  <si>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</si>
  <si>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</si>
  <si>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</si>
  <si>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</si>
  <si>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</si>
  <si>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</si>
  <si>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</si>
  <si>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</si>
  <si>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</si>
  <si>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</si>
  <si>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</si>
  <si>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</si>
  <si>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</si>
  <si>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</si>
  <si>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</si>
  <si>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</si>
  <si>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</si>
  <si>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</si>
  <si>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</si>
  <si>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</si>
  <si>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</si>
  <si>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</si>
  <si>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</si>
  <si>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</si>
  <si>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</si>
  <si>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</si>
  <si>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</si>
  <si>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</si>
  <si>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</si>
  <si>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</si>
  <si>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</si>
  <si>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</si>
  <si>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</si>
  <si>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</si>
  <si>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</si>
  <si>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</si>
  <si>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</si>
  <si>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</si>
  <si>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</si>
  <si>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</si>
  <si>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</si>
  <si>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</si>
  <si>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</si>
  <si>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</si>
  <si>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</si>
  <si>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</si>
  <si>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</si>
  <si>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</si>
  <si>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</si>
  <si>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</si>
  <si>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</si>
  <si>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</si>
  <si>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</si>
  <si>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</si>
  <si>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</si>
  <si>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</si>
  <si>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</si>
  <si>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</si>
  <si>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</si>
  <si>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</si>
  <si>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</si>
  <si>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</si>
  <si>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</si>
  <si>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</si>
  <si>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</si>
  <si>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</si>
  <si>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</si>
  <si>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</si>
  <si>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</si>
  <si>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</si>
  <si>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</si>
  <si>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</si>
  <si>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</si>
  <si>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</si>
  <si>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</si>
  <si>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</si>
  <si>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</si>
  <si>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</si>
  <si>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</si>
  <si>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</si>
  <si>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</si>
  <si>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</si>
  <si>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</si>
  <si>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</si>
  <si>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</si>
  <si>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</si>
  <si>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</si>
  <si>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</si>
  <si>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</si>
  <si>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</si>
  <si>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</si>
  <si>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</si>
  <si>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</si>
  <si>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</si>
  <si>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</si>
  <si>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</si>
  <si>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</si>
  <si>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</si>
  <si>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</si>
  <si>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</si>
  <si>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</si>
  <si>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</si>
  <si>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</si>
  <si>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</si>
  <si>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</si>
  <si>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</si>
  <si>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</si>
  <si>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</si>
  <si>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</si>
  <si>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</si>
  <si>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</si>
  <si>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</si>
  <si>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</si>
  <si>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</si>
  <si>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</si>
  <si>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</si>
  <si>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</si>
  <si>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</si>
  <si>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</si>
  <si>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</si>
  <si>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</si>
  <si>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</si>
  <si>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</si>
  <si>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</si>
  <si>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</si>
  <si>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</si>
  <si>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</si>
  <si>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</si>
  <si>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</si>
  <si>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</si>
  <si>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</si>
  <si>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</si>
  <si>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</si>
  <si>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</si>
  <si>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</si>
  <si>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</si>
  <si>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</si>
  <si>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</si>
  <si>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</si>
  <si>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</si>
  <si>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</si>
  <si>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</si>
  <si>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</si>
  <si>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</si>
  <si>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</si>
  <si>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</si>
  <si>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</si>
  <si>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</si>
  <si>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</si>
  <si>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</si>
  <si>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</si>
  <si>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</si>
  <si>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</si>
  <si>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</si>
  <si>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</si>
  <si>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</si>
  <si>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</si>
  <si>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</si>
  <si>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</si>
  <si>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</si>
  <si>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</si>
  <si>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</si>
  <si>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</si>
  <si>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</si>
  <si>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</si>
  <si>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</si>
  <si>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</si>
  <si>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</si>
  <si>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</si>
  <si>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</si>
  <si>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</si>
  <si>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</si>
  <si>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</si>
  <si>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</si>
  <si>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</si>
  <si>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</si>
  <si>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</si>
  <si>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</si>
  <si>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</si>
  <si>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</si>
  <si>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</si>
  <si>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</si>
  <si>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</si>
  <si>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</si>
  <si>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</si>
  <si>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</si>
  <si>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</si>
  <si>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</si>
  <si>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</si>
  <si>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</si>
  <si>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</si>
  <si>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</si>
  <si>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</si>
  <si>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</si>
  <si>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</si>
  <si>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</si>
  <si>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</si>
  <si>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</si>
  <si>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</si>
  <si>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</si>
  <si>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</si>
  <si>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</si>
  <si>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</si>
  <si>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</si>
  <si>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</si>
  <si>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</si>
  <si>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</si>
  <si>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</si>
  <si>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</si>
  <si>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</si>
  <si>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</si>
  <si>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</si>
  <si>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</si>
  <si>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</si>
  <si>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</si>
  <si>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</si>
  <si>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</si>
  <si>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</si>
  <si>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</si>
  <si>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</si>
  <si>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</si>
  <si>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</si>
  <si>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</si>
  <si>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</si>
  <si>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</si>
  <si>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</si>
  <si>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</si>
  <si>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</si>
  <si>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</si>
  <si>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</si>
  <si>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</si>
  <si>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</si>
  <si>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</si>
  <si>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</si>
  <si>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</si>
  <si>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</si>
  <si>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</si>
  <si>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</si>
  <si>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</si>
  <si>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</si>
  <si>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</si>
  <si>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</si>
  <si>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</si>
  <si>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</si>
  <si>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</si>
  <si>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</si>
  <si>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</si>
  <si>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</si>
  <si>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</si>
  <si>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</si>
  <si>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</si>
  <si>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</si>
  <si>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</si>
  <si>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</si>
  <si>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</si>
  <si>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</si>
  <si>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</si>
  <si>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</si>
  <si>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</si>
  <si>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</si>
  <si>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</si>
  <si>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</si>
  <si>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</si>
  <si>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</si>
  <si>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</si>
  <si>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</si>
  <si>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</si>
  <si>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</si>
  <si>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</si>
  <si>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</si>
  <si>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</si>
  <si>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</si>
  <si>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</si>
  <si>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</si>
  <si>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</si>
  <si>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</si>
  <si>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</si>
  <si>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</si>
  <si>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</si>
  <si>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</si>
  <si>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</si>
  <si>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</si>
  <si>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</si>
  <si>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</si>
  <si>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</si>
  <si>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</si>
  <si>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</si>
  <si>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</si>
  <si>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</si>
  <si>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</si>
  <si>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</si>
  <si>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</si>
  <si>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</si>
  <si>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</si>
  <si>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</si>
  <si>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</si>
  <si>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</si>
  <si>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</si>
  <si>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</si>
  <si>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</si>
  <si>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</si>
  <si>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</si>
  <si>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</si>
  <si>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</si>
  <si>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</si>
  <si>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</si>
  <si>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</si>
  <si>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</si>
  <si>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</si>
  <si>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</si>
  <si>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</si>
  <si>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</si>
  <si>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</si>
  <si>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</si>
  <si>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</si>
  <si>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</si>
  <si>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</si>
  <si>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</si>
  <si>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</si>
  <si>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</si>
  <si>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</si>
  <si>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</si>
  <si>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</si>
  <si>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</si>
  <si>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</si>
  <si>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</si>
  <si>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</si>
  <si>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</si>
  <si>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</si>
  <si>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</si>
  <si>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</si>
  <si>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</si>
  <si>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</si>
  <si>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</si>
  <si>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</si>
  <si>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</si>
  <si>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</si>
  <si>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</si>
  <si>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</si>
  <si>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</si>
  <si>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</si>
  <si>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</si>
  <si>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</si>
  <si>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</si>
  <si>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</si>
  <si>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</si>
  <si>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</si>
  <si>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</si>
  <si>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</si>
  <si>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</si>
  <si>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</si>
  <si>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</si>
  <si>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</si>
  <si>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</si>
  <si>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</si>
  <si>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</si>
  <si>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</si>
  <si>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</si>
  <si>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</si>
  <si>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</si>
  <si>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</si>
  <si>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</si>
  <si>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</si>
  <si>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</si>
  <si>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</si>
  <si>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</si>
  <si>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</si>
  <si>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</si>
  <si>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</si>
  <si>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</si>
  <si>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</si>
  <si>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</si>
  <si>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</si>
  <si>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</si>
  <si>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</si>
  <si>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</si>
  <si>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</si>
  <si>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</si>
  <si>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</si>
  <si>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</si>
  <si>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</si>
  <si>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</si>
  <si>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</si>
  <si>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</si>
  <si>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</si>
  <si>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</si>
  <si>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</si>
  <si>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</si>
  <si>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</si>
  <si>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</si>
  <si>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</si>
  <si>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</si>
  <si>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</si>
  <si>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</si>
  <si>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</si>
  <si>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</si>
  <si>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</si>
  <si>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</si>
  <si>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</si>
  <si>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</si>
  <si>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</si>
  <si>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</si>
  <si>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</si>
  <si>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</si>
  <si>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</si>
  <si>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</si>
  <si>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</si>
  <si>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</si>
  <si>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</si>
  <si>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</si>
  <si>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</si>
  <si>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</si>
  <si>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</si>
  <si>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</si>
  <si>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</si>
  <si>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</si>
  <si>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</si>
  <si>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</si>
  <si>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</si>
  <si>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</si>
  <si>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</si>
  <si>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</si>
  <si>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</si>
  <si>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</si>
  <si>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</si>
  <si>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</si>
  <si>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</si>
  <si>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</si>
  <si>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</si>
  <si>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</si>
  <si>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</si>
  <si>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</si>
  <si>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</si>
  <si>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</si>
  <si>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</si>
  <si>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</si>
  <si>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</si>
  <si>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</si>
  <si>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</si>
  <si>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</si>
  <si>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</si>
  <si>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</si>
  <si>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</si>
  <si>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</si>
  <si>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</si>
  <si>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</si>
  <si>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</si>
  <si>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</si>
  <si>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</si>
  <si>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</si>
  <si>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</si>
  <si>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</si>
  <si>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</si>
  <si>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</si>
  <si>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</si>
  <si>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</si>
  <si>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</si>
  <si>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</si>
  <si>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</si>
  <si>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</si>
  <si>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</si>
  <si>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</si>
  <si>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</si>
  <si>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</si>
  <si>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</si>
  <si>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</si>
  <si>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</si>
  <si>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</si>
  <si>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</si>
  <si>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</si>
  <si>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</si>
  <si>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</si>
  <si>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</si>
  <si>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</si>
  <si>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</si>
  <si>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</si>
  <si>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</si>
  <si>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</si>
  <si>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</si>
  <si>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</si>
  <si>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</si>
  <si>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</si>
  <si>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</si>
  <si>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</si>
  <si>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</si>
  <si>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</si>
  <si>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</si>
  <si>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</si>
  <si>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</si>
  <si>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</si>
  <si>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</si>
  <si>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</si>
  <si>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</si>
  <si>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</si>
  <si>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</si>
  <si>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</si>
  <si>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</si>
  <si>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</si>
  <si>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</si>
  <si>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</si>
  <si>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</si>
  <si>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</si>
  <si>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</si>
  <si>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</si>
  <si>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</si>
  <si>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</si>
  <si>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</si>
  <si>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</si>
  <si>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</si>
  <si>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</si>
  <si>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</si>
  <si>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</si>
  <si>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</si>
  <si>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</si>
  <si>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</si>
  <si>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</si>
  <si>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</si>
  <si>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</si>
  <si>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</si>
  <si>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</si>
  <si>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</si>
  <si>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</si>
  <si>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</si>
  <si>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</si>
  <si>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</si>
  <si>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</si>
  <si>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</si>
  <si>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</si>
  <si>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</si>
  <si>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</si>
  <si>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</si>
  <si>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</si>
  <si>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</si>
  <si>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</si>
  <si>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</si>
  <si>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</si>
  <si>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</si>
  <si>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</si>
  <si>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</si>
  <si>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</si>
  <si>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</si>
  <si>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</si>
  <si>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</si>
  <si>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</si>
  <si>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</si>
  <si>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</si>
  <si>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</si>
  <si>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</si>
  <si>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</si>
  <si>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</si>
  <si>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</si>
  <si>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</si>
  <si>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</si>
  <si>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</si>
  <si>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</si>
  <si>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</si>
  <si>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</si>
  <si>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</si>
  <si>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</si>
  <si>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</si>
  <si>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</si>
  <si>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</si>
  <si>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</si>
  <si>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</si>
  <si>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</si>
  <si>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</si>
  <si>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</si>
  <si>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</si>
  <si>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</si>
  <si>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</si>
  <si>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</si>
  <si>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</si>
  <si>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</si>
  <si>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</si>
  <si>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</si>
  <si>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</si>
  <si>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</si>
  <si>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</si>
  <si>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</si>
  <si>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</si>
  <si>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</si>
  <si>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</si>
  <si>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</si>
  <si>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</si>
  <si>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</si>
  <si>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</si>
  <si>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</si>
  <si>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</si>
  <si>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</si>
  <si>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</si>
  <si>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</si>
  <si>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</si>
  <si>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</si>
  <si>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</si>
  <si>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</si>
  <si>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</si>
  <si>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</si>
  <si>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</si>
  <si>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</si>
  <si>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</si>
  <si>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</si>
  <si>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</si>
  <si>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</si>
  <si>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</si>
  <si>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</si>
  <si>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</si>
  <si>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</si>
  <si>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</si>
  <si>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</si>
  <si>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</si>
  <si>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</si>
  <si>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</si>
  <si>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</si>
  <si>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</si>
  <si>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</si>
  <si>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</si>
  <si>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</si>
  <si>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</si>
  <si>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</si>
  <si>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</si>
  <si>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</si>
  <si>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</si>
  <si>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</si>
  <si>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</si>
  <si>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</si>
  <si>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</si>
  <si>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</si>
  <si>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</si>
  <si>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</si>
  <si>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</si>
  <si>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</si>
  <si>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</si>
  <si>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</si>
  <si>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</si>
  <si>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</si>
  <si>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</si>
  <si>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</si>
  <si>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</si>
  <si>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</si>
  <si>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</si>
  <si>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</si>
  <si>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</si>
  <si>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</si>
  <si>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</si>
  <si>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</si>
  <si>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</si>
  <si>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</si>
  <si>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</si>
  <si>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</si>
  <si>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</si>
  <si>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</si>
  <si>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</si>
  <si>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</si>
  <si>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</si>
  <si>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</si>
  <si>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</si>
  <si>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</si>
  <si>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</si>
  <si>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</si>
  <si>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</si>
  <si>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</si>
  <si>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</si>
  <si>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</si>
  <si>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</si>
  <si>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</si>
  <si>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</si>
  <si>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</si>
  <si>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</si>
  <si>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</si>
  <si>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</si>
  <si>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</si>
  <si>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</si>
  <si>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</si>
  <si>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</si>
  <si>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</si>
  <si>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</si>
  <si>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</si>
  <si>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</si>
  <si>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</si>
  <si>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</si>
  <si>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</si>
  <si>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</si>
  <si>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</si>
  <si>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</si>
  <si>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</si>
  <si>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</si>
  <si>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</si>
  <si>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</si>
  <si>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</si>
  <si>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</si>
  <si>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</si>
  <si>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</si>
  <si>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</si>
  <si>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</si>
  <si>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</si>
  <si>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</si>
  <si>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</si>
  <si>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</si>
  <si>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</si>
  <si>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</si>
  <si>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</si>
  <si>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</si>
  <si>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</si>
  <si>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</si>
  <si>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</si>
  <si>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</si>
  <si>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</si>
  <si>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</si>
  <si>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</si>
  <si>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</si>
  <si>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</si>
  <si>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</si>
  <si>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</si>
  <si>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</si>
  <si>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</si>
  <si>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</si>
  <si>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</si>
  <si>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</si>
  <si>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</si>
  <si>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</si>
  <si>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</si>
  <si>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</si>
  <si>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</si>
  <si>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</si>
  <si>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</si>
  <si>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</si>
  <si>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</si>
  <si>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</si>
  <si>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</si>
  <si>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</si>
  <si>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</si>
  <si>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</si>
  <si>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</si>
  <si>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</si>
  <si>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</si>
  <si>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</si>
  <si>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</si>
  <si>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</si>
  <si>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</si>
  <si>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</si>
  <si>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</si>
  <si>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</si>
  <si>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</si>
  <si>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</si>
  <si>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</si>
  <si>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</si>
  <si>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</si>
  <si>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</si>
  <si>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</si>
  <si>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</si>
  <si>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</si>
  <si>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</si>
  <si>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</si>
  <si>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</si>
  <si>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</si>
  <si>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</si>
  <si>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</si>
  <si>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</si>
  <si>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</si>
  <si>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</si>
  <si>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</si>
  <si>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</si>
  <si>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</si>
  <si>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</si>
  <si>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</si>
  <si>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</si>
  <si>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</si>
  <si>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</si>
  <si>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</si>
  <si>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</si>
  <si>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</si>
  <si>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</si>
  <si>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</si>
  <si>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</si>
  <si>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</si>
  <si>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</si>
  <si>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</si>
  <si>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</si>
  <si>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</si>
  <si>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</si>
  <si>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</si>
  <si>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</si>
  <si>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</si>
  <si>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</si>
  <si>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</si>
  <si>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</si>
  <si>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</si>
  <si>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</si>
  <si>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</si>
  <si>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</si>
  <si>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</si>
  <si>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Buckeye Cemetery</t>
  </si>
  <si>
    <t>Ellsworth County</t>
  </si>
  <si>
    <t>Mowing</t>
  </si>
  <si>
    <t>Weed</t>
  </si>
  <si>
    <t>Reset Headstones</t>
  </si>
  <si>
    <t>Transfer</t>
  </si>
  <si>
    <t>Maintenance</t>
  </si>
  <si>
    <t>Layouts</t>
  </si>
  <si>
    <t>Janet Andrews, Treasurer</t>
  </si>
  <si>
    <t>August 15, 2014</t>
  </si>
  <si>
    <t>7:00 p.m.</t>
  </si>
  <si>
    <t>Lawrence Rush Residence</t>
  </si>
  <si>
    <t>County Clerk's Office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</si>
</sst>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9">
      <selection activeCell="M49" sqref="M49"/>
    </sheetView>
  </sheetViews>
  <sheetFormatPr defaultColWidth="8.8984375" defaultRowHeight="15"/>
  <cols>
    <col min="1" max="1" width="81.69921875" style="76" customWidth="1"/>
    <col min="2" max="16384" width="8.8984375" style="76" customWidth="1"/>
  </cols>
  <sheetData>
    <row r="1" spans="1:2" ht="15">
      <c r="A1" s="293" t="s">
        <v>77</v>
      </c>
      <c r="B1" s="294"/>
    </row>
    <row r="2" spans="1:2" ht="15">
      <c r="A2" s="293"/>
      <c r="B2" s="294"/>
    </row>
    <row r="3" ht="35.25" customHeight="1">
      <c r="A3" s="601" t="s">
        <v>753</v>
      </c>
    </row>
    <row r="4" ht="15">
      <c r="A4" s="295"/>
    </row>
    <row r="5" ht="15">
      <c r="A5" s="295" t="s">
        <v>206</v>
      </c>
    </row>
    <row r="6" ht="15">
      <c r="A6" s="295"/>
    </row>
    <row r="7" ht="57.75" customHeight="1">
      <c r="A7" s="296" t="s">
        <v>244</v>
      </c>
    </row>
    <row r="8" ht="15">
      <c r="A8" s="295"/>
    </row>
    <row r="9" spans="1:2" ht="15">
      <c r="A9" s="297" t="s">
        <v>200</v>
      </c>
      <c r="B9" s="294"/>
    </row>
    <row r="10" spans="1:2" ht="15">
      <c r="A10" s="297"/>
      <c r="B10" s="294"/>
    </row>
    <row r="11" spans="1:2" ht="15">
      <c r="A11" s="295" t="s">
        <v>201</v>
      </c>
      <c r="B11" s="294"/>
    </row>
    <row r="12" ht="14.25" customHeight="1">
      <c r="A12" s="120"/>
    </row>
    <row r="13" s="287" customFormat="1" ht="42" customHeight="1">
      <c r="A13" s="298" t="s">
        <v>245</v>
      </c>
    </row>
    <row r="16" ht="15">
      <c r="A16" s="297" t="s">
        <v>5</v>
      </c>
    </row>
    <row r="17" ht="15">
      <c r="A17" s="120"/>
    </row>
    <row r="18" ht="1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
      <c r="A25" s="120"/>
    </row>
    <row r="26" ht="1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
      <c r="A41" s="287"/>
    </row>
    <row r="42" ht="70.5" customHeight="1">
      <c r="A42" s="287" t="s">
        <v>507</v>
      </c>
    </row>
    <row r="43" ht="84" customHeight="1">
      <c r="A43" s="287" t="s">
        <v>789</v>
      </c>
    </row>
    <row r="44" ht="39" customHeight="1">
      <c r="A44" s="287" t="s">
        <v>749</v>
      </c>
    </row>
    <row r="45" ht="1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Buckeye Cemetery</v>
      </c>
      <c r="C1" s="3"/>
      <c r="D1" s="3"/>
      <c r="E1" s="3"/>
      <c r="F1" s="3"/>
      <c r="G1" s="3"/>
      <c r="H1" s="3"/>
      <c r="I1" s="3"/>
      <c r="J1" s="3"/>
      <c r="K1" s="3"/>
      <c r="L1" s="154">
        <f>inputPrYr!D6</f>
        <v>2015</v>
      </c>
    </row>
    <row r="2" spans="2:12" ht="15">
      <c r="B2" s="3" t="str">
        <f>inputPrYr!$D$4</f>
        <v>Ellsworth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85</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693</v>
      </c>
      <c r="C6" s="83" t="s">
        <v>60</v>
      </c>
      <c r="D6" s="83" t="s">
        <v>68</v>
      </c>
      <c r="E6" s="83"/>
      <c r="F6" s="83" t="s">
        <v>31</v>
      </c>
      <c r="G6" s="159"/>
      <c r="H6" s="160"/>
      <c r="I6" s="159" t="s">
        <v>61</v>
      </c>
      <c r="J6" s="160"/>
      <c r="K6" s="159" t="s">
        <v>61</v>
      </c>
      <c r="L6" s="160"/>
    </row>
    <row r="7" spans="2:12" s="157" customFormat="1" ht="15">
      <c r="B7" s="86" t="s">
        <v>62</v>
      </c>
      <c r="C7" s="86" t="s">
        <v>62</v>
      </c>
      <c r="D7" s="86" t="s">
        <v>63</v>
      </c>
      <c r="E7" s="86" t="s">
        <v>31</v>
      </c>
      <c r="F7" s="86" t="s">
        <v>123</v>
      </c>
      <c r="G7" s="161" t="s">
        <v>64</v>
      </c>
      <c r="H7" s="162"/>
      <c r="I7" s="161">
        <f>L1-1</f>
        <v>2014</v>
      </c>
      <c r="J7" s="162"/>
      <c r="K7" s="161">
        <f>L1</f>
        <v>2015</v>
      </c>
      <c r="L7" s="162"/>
    </row>
    <row r="8" spans="2:12" s="157" customFormat="1" ht="1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
      <c r="B9" s="18" t="s">
        <v>159</v>
      </c>
      <c r="C9" s="164"/>
      <c r="D9" s="18"/>
      <c r="E9" s="18"/>
      <c r="F9" s="18"/>
      <c r="G9" s="165"/>
      <c r="H9" s="165"/>
      <c r="I9" s="18"/>
      <c r="J9" s="18"/>
      <c r="K9" s="18"/>
      <c r="L9" s="18"/>
    </row>
    <row r="10" spans="2:12" s="157" customFormat="1" ht="15">
      <c r="B10" s="166"/>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160</v>
      </c>
      <c r="C12" s="172"/>
      <c r="D12" s="173"/>
      <c r="E12" s="174"/>
      <c r="F12" s="175">
        <f>SUM(F10:F11)</f>
        <v>0</v>
      </c>
      <c r="G12" s="176"/>
      <c r="H12" s="176"/>
      <c r="I12" s="175">
        <f>SUM(I10:I11)</f>
        <v>0</v>
      </c>
      <c r="J12" s="175">
        <f>SUM(J10:J11)</f>
        <v>0</v>
      </c>
      <c r="K12" s="175">
        <f>SUM(K10:K11)</f>
        <v>0</v>
      </c>
      <c r="L12" s="175">
        <f>SUM(L10:L11)</f>
        <v>0</v>
      </c>
    </row>
    <row r="13" spans="2:12" s="157" customFormat="1" ht="15">
      <c r="B13" s="171" t="s">
        <v>161</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162</v>
      </c>
      <c r="C16" s="172"/>
      <c r="D16" s="173"/>
      <c r="E16" s="174"/>
      <c r="F16" s="104">
        <f>SUM(F14:F15)</f>
        <v>0</v>
      </c>
      <c r="G16" s="176"/>
      <c r="H16" s="176"/>
      <c r="I16" s="175">
        <f>SUM(I14:I15)</f>
        <v>0</v>
      </c>
      <c r="J16" s="175">
        <f>SUM(J14:J15)</f>
        <v>0</v>
      </c>
      <c r="K16" s="175">
        <f>SUM(K14:K15)</f>
        <v>0</v>
      </c>
      <c r="L16" s="175">
        <f>SUM(L14:L15)</f>
        <v>0</v>
      </c>
    </row>
    <row r="17" spans="2:12" s="157" customFormat="1" ht="15">
      <c r="B17" s="171" t="s">
        <v>163</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164</v>
      </c>
      <c r="C20" s="177"/>
      <c r="D20" s="178"/>
      <c r="E20" s="30"/>
      <c r="F20" s="175">
        <f>SUM(F18:F19)</f>
        <v>0</v>
      </c>
      <c r="G20" s="512"/>
      <c r="H20" s="176"/>
      <c r="I20" s="175">
        <f>SUM(I18:I19)</f>
        <v>0</v>
      </c>
      <c r="J20" s="175">
        <f>SUM(J18:J19)</f>
        <v>0</v>
      </c>
      <c r="K20" s="175">
        <f>SUM(K18:K19)</f>
        <v>0</v>
      </c>
      <c r="L20" s="175">
        <f>SUM(L18:L19)</f>
        <v>0</v>
      </c>
    </row>
    <row r="21" spans="2:12" s="157" customFormat="1" ht="1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
      <c r="B23" s="707" t="s">
        <v>80</v>
      </c>
      <c r="C23" s="671"/>
      <c r="D23" s="671"/>
      <c r="E23" s="671"/>
      <c r="F23" s="671"/>
      <c r="G23" s="671"/>
      <c r="H23" s="671"/>
      <c r="I23" s="671"/>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67</v>
      </c>
      <c r="E25" s="184"/>
      <c r="F25" s="83" t="s">
        <v>13</v>
      </c>
      <c r="G25" s="184"/>
      <c r="H25" s="184"/>
      <c r="I25" s="184"/>
      <c r="J25" s="185"/>
      <c r="K25" s="186"/>
      <c r="L25" s="182"/>
    </row>
    <row r="26" spans="2:12" s="183" customFormat="1" ht="15">
      <c r="B26" s="187"/>
      <c r="C26" s="86"/>
      <c r="D26" s="86" t="s">
        <v>62</v>
      </c>
      <c r="E26" s="86" t="s">
        <v>68</v>
      </c>
      <c r="F26" s="86" t="s">
        <v>31</v>
      </c>
      <c r="G26" s="86" t="s">
        <v>69</v>
      </c>
      <c r="H26" s="86" t="s">
        <v>70</v>
      </c>
      <c r="I26" s="86" t="s">
        <v>70</v>
      </c>
      <c r="J26" s="182"/>
      <c r="K26" s="182"/>
      <c r="L26" s="182"/>
    </row>
    <row r="27" spans="2:12" s="183" customFormat="1" ht="15">
      <c r="B27" s="86" t="s">
        <v>695</v>
      </c>
      <c r="C27" s="86" t="s">
        <v>71</v>
      </c>
      <c r="D27" s="86" t="s">
        <v>72</v>
      </c>
      <c r="E27" s="86" t="s">
        <v>63</v>
      </c>
      <c r="F27" s="86" t="s">
        <v>73</v>
      </c>
      <c r="G27" s="86" t="s">
        <v>112</v>
      </c>
      <c r="H27" s="86" t="s">
        <v>74</v>
      </c>
      <c r="I27" s="86" t="s">
        <v>74</v>
      </c>
      <c r="J27" s="182"/>
      <c r="K27" s="182"/>
      <c r="L27" s="182"/>
    </row>
    <row r="28" spans="2:12" s="183" customFormat="1" ht="15">
      <c r="B28" s="95" t="s">
        <v>696</v>
      </c>
      <c r="C28" s="95" t="s">
        <v>60</v>
      </c>
      <c r="D28" s="188" t="s">
        <v>75</v>
      </c>
      <c r="E28" s="95" t="s">
        <v>43</v>
      </c>
      <c r="F28" s="188" t="s">
        <v>124</v>
      </c>
      <c r="G28" s="163" t="str">
        <f>F8</f>
        <v>Jan 1,2014</v>
      </c>
      <c r="H28" s="95">
        <f>L1-1</f>
        <v>2014</v>
      </c>
      <c r="I28" s="95">
        <f>L1</f>
        <v>2015</v>
      </c>
      <c r="J28" s="182"/>
      <c r="K28" s="182"/>
      <c r="L28" s="182"/>
    </row>
    <row r="29" spans="2:12" s="183" customFormat="1" ht="15">
      <c r="B29" s="19"/>
      <c r="C29" s="350"/>
      <c r="D29" s="189"/>
      <c r="E29" s="168"/>
      <c r="F29" s="20"/>
      <c r="G29" s="20"/>
      <c r="H29" s="20"/>
      <c r="I29" s="20"/>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
      <c r="B41" s="515"/>
      <c r="C41" s="190"/>
      <c r="D41" s="190"/>
      <c r="E41" s="516" t="s">
        <v>86</v>
      </c>
      <c r="F41" s="191">
        <f>SUM(F29:F40)</f>
        <v>0</v>
      </c>
      <c r="G41" s="192">
        <f>SUM(G29:G40)</f>
        <v>0</v>
      </c>
      <c r="H41" s="192">
        <f>SUM(H29:H40)</f>
        <v>0</v>
      </c>
      <c r="I41" s="192">
        <f>SUM(I29:I40)</f>
        <v>0</v>
      </c>
      <c r="J41" s="158"/>
      <c r="K41" s="158"/>
      <c r="L41" s="58"/>
    </row>
    <row r="42" spans="2:12" ht="15">
      <c r="B42" s="37"/>
      <c r="C42" s="37"/>
      <c r="D42" s="37"/>
      <c r="E42" s="37"/>
      <c r="F42" s="37"/>
      <c r="G42" s="37"/>
      <c r="H42" s="37"/>
      <c r="I42" s="37"/>
      <c r="J42" s="3"/>
      <c r="K42" s="3"/>
      <c r="L42" s="3"/>
    </row>
    <row r="43" spans="2:12" ht="1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8">
      <selection activeCell="E40" sqref="E4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Buckeye Cemetery</v>
      </c>
      <c r="C1" s="194"/>
      <c r="D1" s="3"/>
      <c r="E1" s="154">
        <f>inputPrYr!$D$6</f>
        <v>2015</v>
      </c>
    </row>
    <row r="2" spans="2:5" ht="15">
      <c r="B2" s="3" t="str">
        <f>inputPrYr!D4</f>
        <v>Ellsworth County</v>
      </c>
      <c r="C2" s="194"/>
      <c r="D2" s="3"/>
      <c r="E2" s="115"/>
    </row>
    <row r="3" spans="2:6" ht="15">
      <c r="B3" s="457" t="s">
        <v>81</v>
      </c>
      <c r="C3" s="194"/>
      <c r="D3" s="3"/>
      <c r="E3" s="115"/>
      <c r="F3" s="531"/>
    </row>
    <row r="4" spans="2:5" ht="15">
      <c r="B4" s="3"/>
      <c r="C4" s="81"/>
      <c r="D4" s="81"/>
      <c r="E4" s="81"/>
    </row>
    <row r="5" spans="2:5" ht="15">
      <c r="B5" s="2" t="s">
        <v>32</v>
      </c>
      <c r="C5" s="339" t="s">
        <v>226</v>
      </c>
      <c r="D5" s="340" t="s">
        <v>225</v>
      </c>
      <c r="E5" s="195" t="s">
        <v>222</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116</v>
      </c>
      <c r="C7" s="335">
        <v>0</v>
      </c>
      <c r="D7" s="342">
        <f>C62</f>
        <v>0</v>
      </c>
      <c r="E7" s="30">
        <f>D62</f>
        <v>0</v>
      </c>
    </row>
    <row r="8" spans="2:5" ht="15">
      <c r="B8" s="198" t="s">
        <v>118</v>
      </c>
      <c r="C8" s="199"/>
      <c r="D8" s="199"/>
      <c r="E8" s="104"/>
    </row>
    <row r="9" spans="2:5" ht="15">
      <c r="B9" s="100" t="s">
        <v>33</v>
      </c>
      <c r="C9" s="335">
        <v>4119</v>
      </c>
      <c r="D9" s="342">
        <f>IF(inputPrYr!H18&gt;0,inputPrYr!G19,inputPrYr!E19)</f>
        <v>4234</v>
      </c>
      <c r="E9" s="109" t="s">
        <v>28</v>
      </c>
    </row>
    <row r="10" spans="2:5" ht="15">
      <c r="B10" s="100" t="s">
        <v>34</v>
      </c>
      <c r="C10" s="335">
        <v>32</v>
      </c>
      <c r="D10" s="335"/>
      <c r="E10" s="170"/>
    </row>
    <row r="11" spans="2:5" ht="15">
      <c r="B11" s="100" t="s">
        <v>35</v>
      </c>
      <c r="C11" s="335">
        <v>286</v>
      </c>
      <c r="D11" s="335">
        <v>235</v>
      </c>
      <c r="E11" s="30">
        <f>mvalloc!D11</f>
        <v>281</v>
      </c>
    </row>
    <row r="12" spans="2:5" ht="15">
      <c r="B12" s="100" t="s">
        <v>36</v>
      </c>
      <c r="C12" s="335">
        <v>6</v>
      </c>
      <c r="D12" s="335">
        <v>10</v>
      </c>
      <c r="E12" s="30">
        <f>mvalloc!E11</f>
        <v>6</v>
      </c>
    </row>
    <row r="13" spans="2:5" ht="15">
      <c r="B13" s="199" t="s">
        <v>109</v>
      </c>
      <c r="C13" s="335">
        <v>42</v>
      </c>
      <c r="D13" s="335">
        <v>35</v>
      </c>
      <c r="E13" s="30">
        <f>mvalloc!F11</f>
        <v>33</v>
      </c>
    </row>
    <row r="14" spans="2:5" ht="15">
      <c r="B14" s="199" t="s">
        <v>141</v>
      </c>
      <c r="C14" s="335"/>
      <c r="D14" s="335"/>
      <c r="E14" s="30">
        <f>inputOth!E30</f>
        <v>0</v>
      </c>
    </row>
    <row r="15" spans="2:5" ht="15">
      <c r="B15" s="200" t="s">
        <v>37</v>
      </c>
      <c r="C15" s="335"/>
      <c r="D15" s="335"/>
      <c r="E15" s="170"/>
    </row>
    <row r="16" spans="2:5" ht="15">
      <c r="B16" s="200"/>
      <c r="C16" s="335"/>
      <c r="D16" s="335"/>
      <c r="E16" s="170"/>
    </row>
    <row r="17" spans="2:5" ht="15">
      <c r="B17" s="200"/>
      <c r="C17" s="335"/>
      <c r="D17" s="335"/>
      <c r="E17" s="170"/>
    </row>
    <row r="18" spans="2:5" ht="15">
      <c r="B18" s="200"/>
      <c r="C18" s="335"/>
      <c r="D18" s="335"/>
      <c r="E18" s="170"/>
    </row>
    <row r="19" spans="2:5" ht="15">
      <c r="B19" s="200"/>
      <c r="C19" s="335"/>
      <c r="D19" s="335"/>
      <c r="E19" s="170"/>
    </row>
    <row r="20" spans="2:5" ht="15">
      <c r="B20" s="200"/>
      <c r="C20" s="335"/>
      <c r="D20" s="335"/>
      <c r="E20" s="170"/>
    </row>
    <row r="21" spans="2:5" ht="15">
      <c r="B21" s="200"/>
      <c r="C21" s="335"/>
      <c r="D21" s="335"/>
      <c r="E21" s="170"/>
    </row>
    <row r="22" spans="2:5" ht="15">
      <c r="B22" s="200"/>
      <c r="C22" s="335"/>
      <c r="D22" s="335"/>
      <c r="E22" s="170"/>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38</v>
      </c>
      <c r="C30" s="335"/>
      <c r="D30" s="335"/>
      <c r="E30" s="170"/>
    </row>
    <row r="31" spans="2:5" ht="15">
      <c r="B31" s="202" t="s">
        <v>196</v>
      </c>
      <c r="C31" s="200"/>
      <c r="D31" s="200"/>
      <c r="E31" s="170"/>
    </row>
    <row r="32" spans="2:5" ht="15">
      <c r="B32" s="202" t="s">
        <v>533</v>
      </c>
      <c r="C32" s="336">
        <f>IF(C33*0.1&lt;C31,"Exceed 10% Rule","")</f>
      </c>
      <c r="D32" s="336">
        <f>IF(D33*0.1&lt;D31,"Exceed 10% Rule","")</f>
      </c>
      <c r="E32" s="355">
        <f>IF(E33*0.1+E68&lt;E31,"Exceed 10% Rule","")</f>
      </c>
    </row>
    <row r="33" spans="2:5" ht="15">
      <c r="B33" s="205" t="s">
        <v>39</v>
      </c>
      <c r="C33" s="337">
        <f>SUM(C9:C31)</f>
        <v>4485</v>
      </c>
      <c r="D33" s="337">
        <f>SUM(D9:D31)</f>
        <v>4514</v>
      </c>
      <c r="E33" s="206">
        <f>SUM(E9:E31)</f>
        <v>320</v>
      </c>
    </row>
    <row r="34" spans="2:5" ht="15">
      <c r="B34" s="205" t="s">
        <v>40</v>
      </c>
      <c r="C34" s="337">
        <f>C7+C33</f>
        <v>4485</v>
      </c>
      <c r="D34" s="337">
        <f>D7+D33</f>
        <v>4514</v>
      </c>
      <c r="E34" s="206">
        <f>E7+E33</f>
        <v>320</v>
      </c>
    </row>
    <row r="35" spans="2:5" ht="15">
      <c r="B35" s="100" t="s">
        <v>41</v>
      </c>
      <c r="C35" s="102"/>
      <c r="D35" s="102"/>
      <c r="E35" s="21"/>
    </row>
    <row r="36" spans="2:5" ht="15">
      <c r="B36" s="200" t="s">
        <v>796</v>
      </c>
      <c r="C36" s="335">
        <v>2600</v>
      </c>
      <c r="D36" s="335">
        <v>2600</v>
      </c>
      <c r="E36" s="170">
        <v>2600</v>
      </c>
    </row>
    <row r="37" spans="2:5" ht="15">
      <c r="B37" s="200" t="s">
        <v>797</v>
      </c>
      <c r="C37" s="335">
        <v>84</v>
      </c>
      <c r="D37" s="335"/>
      <c r="E37" s="170"/>
    </row>
    <row r="38" spans="2:5" ht="15">
      <c r="B38" s="200" t="s">
        <v>798</v>
      </c>
      <c r="C38" s="335">
        <v>500</v>
      </c>
      <c r="D38" s="335">
        <v>500</v>
      </c>
      <c r="E38" s="170"/>
    </row>
    <row r="39" spans="2:5" ht="15">
      <c r="B39" s="200" t="s">
        <v>799</v>
      </c>
      <c r="C39" s="335">
        <v>700</v>
      </c>
      <c r="D39" s="335">
        <v>1000</v>
      </c>
      <c r="E39" s="170">
        <v>1394</v>
      </c>
    </row>
    <row r="40" spans="2:5" ht="15">
      <c r="B40" s="200" t="s">
        <v>800</v>
      </c>
      <c r="C40" s="335">
        <v>351</v>
      </c>
      <c r="D40" s="335">
        <v>414</v>
      </c>
      <c r="E40" s="170">
        <v>400</v>
      </c>
    </row>
    <row r="41" spans="2:5" ht="15">
      <c r="B41" s="200" t="s">
        <v>801</v>
      </c>
      <c r="C41" s="335">
        <v>250</v>
      </c>
      <c r="D41" s="335"/>
      <c r="E41" s="170">
        <v>250</v>
      </c>
    </row>
    <row r="42" spans="2:5" ht="15">
      <c r="B42" s="200"/>
      <c r="C42" s="335"/>
      <c r="D42" s="335"/>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
      <c r="B52" s="200"/>
      <c r="C52" s="335"/>
      <c r="D52" s="335"/>
      <c r="E52" s="170"/>
      <c r="F52" s="1"/>
      <c r="G52" s="717" t="str">
        <f>CONCATENATE("Desired Carryover Into ",E1+1,"")</f>
        <v>Desired Carryover Into 2016</v>
      </c>
      <c r="H52" s="718"/>
      <c r="I52" s="718"/>
      <c r="J52" s="719"/>
      <c r="K52" s="1"/>
    </row>
    <row r="53" spans="2:11" ht="15">
      <c r="B53" s="200"/>
      <c r="C53" s="335"/>
      <c r="D53" s="335"/>
      <c r="E53" s="170"/>
      <c r="F53" s="1"/>
      <c r="G53" s="442"/>
      <c r="H53" s="53"/>
      <c r="I53" s="449"/>
      <c r="J53" s="441"/>
      <c r="K53" s="1"/>
    </row>
    <row r="54" spans="2:11" ht="15">
      <c r="B54" s="200"/>
      <c r="C54" s="335"/>
      <c r="D54" s="335"/>
      <c r="E54" s="170"/>
      <c r="F54" s="1"/>
      <c r="G54" s="440" t="s">
        <v>635</v>
      </c>
      <c r="H54" s="449"/>
      <c r="I54" s="449"/>
      <c r="J54" s="439">
        <v>0</v>
      </c>
      <c r="K54" s="1"/>
    </row>
    <row r="55" spans="2:11" ht="15">
      <c r="B55" s="200"/>
      <c r="C55" s="335"/>
      <c r="D55" s="335"/>
      <c r="E55" s="170"/>
      <c r="F55" s="1"/>
      <c r="G55" s="442" t="s">
        <v>636</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700</v>
      </c>
      <c r="H57" s="546"/>
      <c r="I57" s="546"/>
      <c r="J57" s="547">
        <f>IF(J54&gt;0,J56-E65,0)</f>
        <v>0</v>
      </c>
      <c r="K57" s="1"/>
    </row>
    <row r="58" spans="2:11" ht="15">
      <c r="B58" s="102" t="s">
        <v>197</v>
      </c>
      <c r="C58" s="335"/>
      <c r="D58" s="335"/>
      <c r="E58" s="175">
        <f>Nhood!E7</f>
      </c>
      <c r="F58" s="1"/>
      <c r="G58" s="1"/>
      <c r="H58" s="1"/>
      <c r="I58" s="1"/>
      <c r="J58" s="1"/>
      <c r="K58" s="1"/>
    </row>
    <row r="59" spans="2:11" ht="15">
      <c r="B59" s="102" t="s">
        <v>196</v>
      </c>
      <c r="C59" s="335"/>
      <c r="D59" s="335"/>
      <c r="E59" s="20"/>
      <c r="F59" s="1"/>
      <c r="G59" s="717" t="str">
        <f>CONCATENATE("Projected Carryover Into ",E1+1,"")</f>
        <v>Projected Carryover Into 2016</v>
      </c>
      <c r="H59" s="718"/>
      <c r="I59" s="718"/>
      <c r="J59" s="719"/>
      <c r="K59" s="1"/>
    </row>
    <row r="60" spans="2:11" ht="15">
      <c r="B60" s="102" t="s">
        <v>532</v>
      </c>
      <c r="C60" s="336">
        <f>IF(C61*0.1&lt;C59,"Exceed 10% Rule","")</f>
      </c>
      <c r="D60" s="336">
        <f>IF(D61*0.1&lt;D59,"Exceed 10% Rule","")</f>
      </c>
      <c r="E60" s="355">
        <f>IF(E61*0.1&lt;E59,"Exceed 10% Rule","")</f>
      </c>
      <c r="F60" s="1"/>
      <c r="G60" s="461"/>
      <c r="H60" s="53"/>
      <c r="I60" s="53"/>
      <c r="J60" s="450"/>
      <c r="K60" s="1"/>
    </row>
    <row r="61" spans="2:11" ht="15">
      <c r="B61" s="205" t="s">
        <v>42</v>
      </c>
      <c r="C61" s="337">
        <f>SUM(C36:C59)</f>
        <v>4485</v>
      </c>
      <c r="D61" s="337">
        <f>SUM(D36:D59)</f>
        <v>4514</v>
      </c>
      <c r="E61" s="206">
        <f>SUM(E36:E59)</f>
        <v>4644</v>
      </c>
      <c r="F61" s="1"/>
      <c r="G61" s="456">
        <f>D62</f>
        <v>0</v>
      </c>
      <c r="H61" s="455" t="str">
        <f>CONCATENATE("",E1-1," Ending Cash Balance (est.)")</f>
        <v>2014 Ending Cash Balance (est.)</v>
      </c>
      <c r="I61" s="548"/>
      <c r="J61" s="450"/>
      <c r="K61" s="1"/>
    </row>
    <row r="62" spans="2:11" ht="15">
      <c r="B62" s="100" t="s">
        <v>117</v>
      </c>
      <c r="C62" s="338">
        <f>C34-C61</f>
        <v>0</v>
      </c>
      <c r="D62" s="338">
        <f>D34-D61</f>
        <v>0</v>
      </c>
      <c r="E62" s="109" t="s">
        <v>28</v>
      </c>
      <c r="F62" s="1"/>
      <c r="G62" s="456">
        <f>E33</f>
        <v>320</v>
      </c>
      <c r="H62" s="449" t="str">
        <f>CONCATENATE("",E1," Non-AV Receipts (est.)")</f>
        <v>2015 Non-AV Receipts (est.)</v>
      </c>
      <c r="I62" s="548"/>
      <c r="J62" s="450"/>
      <c r="K62" s="1"/>
    </row>
    <row r="63" spans="2:11" ht="15">
      <c r="B63" s="2" t="str">
        <f>CONCATENATE("",E1-2,"/",E1-1,"/",E1," Budget Authority Amount:")</f>
        <v>2013/2014/2015 Budget Authority Amount:</v>
      </c>
      <c r="C63" s="215">
        <f>inputOth!B41</f>
        <v>4475</v>
      </c>
      <c r="D63" s="524">
        <f>inputPrYr!D19</f>
        <v>4514</v>
      </c>
      <c r="E63" s="30">
        <f>E61</f>
        <v>4644</v>
      </c>
      <c r="F63" s="223"/>
      <c r="G63" s="448">
        <f>IF(E67&gt;0,E66,E68)</f>
        <v>4324</v>
      </c>
      <c r="H63" s="449" t="str">
        <f>CONCATENATE("",E1," Ad Valorem Tax (est.)")</f>
        <v>2015 Ad Valorem Tax (est.)</v>
      </c>
      <c r="I63" s="449"/>
      <c r="J63" s="450"/>
      <c r="K63" s="549">
        <f>IF(G63=E68,"","Note: Does not include Delinquent Taxes")</f>
      </c>
    </row>
    <row r="64" spans="2:11" ht="15">
      <c r="B64" s="115"/>
      <c r="C64" s="713" t="s">
        <v>629</v>
      </c>
      <c r="D64" s="714"/>
      <c r="E64" s="20"/>
      <c r="F64" s="550">
        <f>IF(E61/0.95-E61&lt;E64,"Exceeds 5%","")</f>
      </c>
      <c r="G64" s="456">
        <f>SUM(G61:G63)</f>
        <v>4644</v>
      </c>
      <c r="H64" s="449" t="str">
        <f>CONCATENATE("Total ",E1," Resources Available")</f>
        <v>Total 2015 Resources Available</v>
      </c>
      <c r="I64" s="548"/>
      <c r="J64" s="450"/>
      <c r="K64" s="1"/>
    </row>
    <row r="65" spans="2:11" ht="15">
      <c r="B65" s="354" t="str">
        <f>CONCATENATE(C81,"     ",D81)</f>
        <v>See Tab A     </v>
      </c>
      <c r="C65" s="715" t="s">
        <v>630</v>
      </c>
      <c r="D65" s="716"/>
      <c r="E65" s="30">
        <f>E61+E64</f>
        <v>4644</v>
      </c>
      <c r="F65" s="1"/>
      <c r="G65" s="447"/>
      <c r="H65" s="449"/>
      <c r="I65" s="449"/>
      <c r="J65" s="450"/>
      <c r="K65" s="1"/>
    </row>
    <row r="66" spans="2:11" ht="15">
      <c r="B66" s="354" t="str">
        <f>CONCATENATE(C82,"     ",D82)</f>
        <v>     </v>
      </c>
      <c r="C66" s="460"/>
      <c r="D66" s="459" t="s">
        <v>631</v>
      </c>
      <c r="E66" s="27">
        <f>IF(E65-E34&gt;0,E65-E34,0)</f>
        <v>4324</v>
      </c>
      <c r="F66" s="1"/>
      <c r="G66" s="448">
        <f>ROUND(C61*0.05+C61,0)</f>
        <v>4709</v>
      </c>
      <c r="H66" s="449" t="str">
        <f>CONCATENATE("Less ",E1-2," Expenditures + 5%")</f>
        <v>Less 2013 Expenditures + 5%</v>
      </c>
      <c r="I66" s="548"/>
      <c r="J66" s="450"/>
      <c r="K66" s="1"/>
    </row>
    <row r="67" spans="2:11" ht="15">
      <c r="B67" s="127"/>
      <c r="C67" s="458" t="s">
        <v>632</v>
      </c>
      <c r="D67" s="560">
        <f>inputOth!$E$35</f>
        <v>0</v>
      </c>
      <c r="E67" s="30">
        <f>ROUND(IF(D67&gt;0,(E66*D67),0),0)</f>
        <v>0</v>
      </c>
      <c r="F67" s="1"/>
      <c r="G67" s="446">
        <f>G64-G66</f>
        <v>-65</v>
      </c>
      <c r="H67" s="445" t="str">
        <f>CONCATENATE("Projected ",E1+1," Carryover (est.)")</f>
        <v>Projected 2016 Carryover (est.)</v>
      </c>
      <c r="I67" s="551"/>
      <c r="J67" s="444"/>
      <c r="K67" s="1"/>
    </row>
    <row r="68" spans="2:11" ht="15">
      <c r="B68" s="3"/>
      <c r="C68" s="711" t="str">
        <f>CONCATENATE("Amount of  ",$E$1-1," Ad Valorem Tax")</f>
        <v>Amount of  2014 Ad Valorem Tax</v>
      </c>
      <c r="D68" s="712"/>
      <c r="E68" s="27">
        <f>E66+E67</f>
        <v>4324</v>
      </c>
      <c r="F68" s="1"/>
      <c r="G68" s="1"/>
      <c r="H68" s="1"/>
      <c r="I68" s="1"/>
      <c r="J68" s="1"/>
      <c r="K68" s="1"/>
    </row>
    <row r="69" spans="2:11" ht="15">
      <c r="B69" s="3"/>
      <c r="C69" s="3"/>
      <c r="D69" s="3"/>
      <c r="E69" s="3"/>
      <c r="F69" s="1"/>
      <c r="G69" s="708" t="s">
        <v>701</v>
      </c>
      <c r="H69" s="709"/>
      <c r="I69" s="709"/>
      <c r="J69" s="710"/>
      <c r="K69" s="1"/>
    </row>
    <row r="70" spans="2:11" ht="15">
      <c r="B70" s="3"/>
      <c r="C70" s="3"/>
      <c r="D70" s="3"/>
      <c r="E70" s="3"/>
      <c r="F70" s="1"/>
      <c r="G70" s="552"/>
      <c r="H70" s="455"/>
      <c r="I70" s="534"/>
      <c r="J70" s="553"/>
      <c r="K70" s="1"/>
    </row>
    <row r="71" spans="2:11" ht="15">
      <c r="B71" s="3"/>
      <c r="C71" s="3"/>
      <c r="D71" s="3"/>
      <c r="E71" s="3"/>
      <c r="F71" s="1"/>
      <c r="G71" s="554">
        <f>summ!H16</f>
        <v>2.04</v>
      </c>
      <c r="H71" s="455" t="str">
        <f>CONCATENATE("",E1," Fund Mill Rate")</f>
        <v>2015 Fund Mill Rate</v>
      </c>
      <c r="I71" s="534"/>
      <c r="J71" s="553"/>
      <c r="K71" s="1"/>
    </row>
    <row r="72" spans="2:11" ht="15">
      <c r="B72" s="3"/>
      <c r="C72" s="3"/>
      <c r="D72" s="3"/>
      <c r="E72" s="3"/>
      <c r="F72" s="555"/>
      <c r="G72" s="556">
        <f>summ!E16</f>
        <v>1.967</v>
      </c>
      <c r="H72" s="455" t="str">
        <f>CONCATENATE("",E1-1," Fund Mill Rate")</f>
        <v>2014 Fund Mill Rate</v>
      </c>
      <c r="I72" s="534"/>
      <c r="J72" s="553"/>
      <c r="K72" s="1"/>
    </row>
    <row r="73" spans="2:11" ht="15">
      <c r="B73" s="3"/>
      <c r="C73" s="194"/>
      <c r="D73" s="194"/>
      <c r="E73" s="194"/>
      <c r="F73" s="539"/>
      <c r="G73" s="557">
        <f>summ!H23</f>
        <v>2.04</v>
      </c>
      <c r="H73" s="455" t="str">
        <f>CONCATENATE("Total ",E1," Mill Rate")</f>
        <v>Total 2015 Mill Rate</v>
      </c>
      <c r="I73" s="534"/>
      <c r="J73" s="553"/>
      <c r="K73" s="1"/>
    </row>
    <row r="74" spans="2:11" ht="15">
      <c r="B74" s="115"/>
      <c r="C74" s="3" t="s">
        <v>205</v>
      </c>
      <c r="D74" s="3"/>
      <c r="E74" s="3"/>
      <c r="F74" s="539"/>
      <c r="G74" s="556">
        <f>summ!E23</f>
        <v>1.967</v>
      </c>
      <c r="H74" s="558" t="str">
        <f>CONCATENATE("Total ",E1-1," Mill Rate")</f>
        <v>Total 2014 Mill Rate</v>
      </c>
      <c r="I74" s="559"/>
      <c r="J74" s="59"/>
      <c r="K74" s="1"/>
    </row>
    <row r="76" spans="2:9" ht="15">
      <c r="B76" s="46"/>
      <c r="G76" s="634" t="s">
        <v>769</v>
      </c>
      <c r="H76" s="593"/>
      <c r="I76" s="592" t="str">
        <f>cert!F31</f>
        <v>No</v>
      </c>
    </row>
    <row r="81" spans="3:4" ht="15" hidden="1">
      <c r="C81" s="76" t="str">
        <f>IF(C61&gt;C63,"See Tab A","")</f>
        <v>See Tab A</v>
      </c>
      <c r="D81" s="76">
        <f>IF(D61&gt;D63,"See Tab C","")</f>
      </c>
    </row>
    <row r="82" spans="3:4" ht="1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Buckeye Cemetery</v>
      </c>
      <c r="C1" s="3"/>
      <c r="D1" s="3"/>
      <c r="E1" s="208">
        <f>inputPrYr!$D$6</f>
        <v>2015</v>
      </c>
    </row>
    <row r="2" spans="2:5" ht="15">
      <c r="B2" s="128" t="str">
        <f>inputPrYr!D4</f>
        <v>Ellsworth County</v>
      </c>
      <c r="C2" s="3"/>
      <c r="D2" s="3"/>
      <c r="E2" s="208"/>
    </row>
    <row r="3" spans="2:6" ht="15">
      <c r="B3" s="457" t="s">
        <v>81</v>
      </c>
      <c r="C3" s="194"/>
      <c r="D3" s="194"/>
      <c r="E3" s="209"/>
      <c r="F3" s="531"/>
    </row>
    <row r="4" spans="2:5" ht="15">
      <c r="B4" s="28" t="s">
        <v>32</v>
      </c>
      <c r="C4" s="339" t="s">
        <v>224</v>
      </c>
      <c r="D4" s="340" t="s">
        <v>225</v>
      </c>
      <c r="E4" s="195" t="s">
        <v>222</v>
      </c>
    </row>
    <row r="5" spans="2:5" ht="15">
      <c r="B5" s="357" t="s">
        <v>249</v>
      </c>
      <c r="C5" s="347" t="str">
        <f>CONCATENATE("Actual for ",E1-2,"")</f>
        <v>Actual for 2013</v>
      </c>
      <c r="D5" s="347" t="str">
        <f>CONCATENATE("Estimate for ",E1-1,"")</f>
        <v>Estimate for 2014</v>
      </c>
      <c r="E5" s="142" t="str">
        <f>CONCATENATE("Year for ",E1,"")</f>
        <v>Year for 2015</v>
      </c>
    </row>
    <row r="6" spans="2:5" ht="15">
      <c r="B6" s="94" t="s">
        <v>116</v>
      </c>
      <c r="C6" s="344"/>
      <c r="D6" s="348">
        <f>C54</f>
        <v>0</v>
      </c>
      <c r="E6" s="211">
        <f>D54</f>
        <v>0</v>
      </c>
    </row>
    <row r="7" spans="2:5" ht="15">
      <c r="B7" s="212" t="s">
        <v>118</v>
      </c>
      <c r="C7" s="346"/>
      <c r="D7" s="348"/>
      <c r="E7" s="211"/>
    </row>
    <row r="8" spans="2:5" ht="15">
      <c r="B8" s="94" t="s">
        <v>33</v>
      </c>
      <c r="C8" s="335"/>
      <c r="D8" s="346">
        <f>IF(inputPrYr!H18&gt;0,inputPrYr!G20,inputPrYr!E20)</f>
        <v>0</v>
      </c>
      <c r="E8" s="213" t="s">
        <v>28</v>
      </c>
    </row>
    <row r="9" spans="2:5" ht="15">
      <c r="B9" s="94" t="s">
        <v>34</v>
      </c>
      <c r="C9" s="335"/>
      <c r="D9" s="335"/>
      <c r="E9" s="214"/>
    </row>
    <row r="10" spans="2:5" ht="15">
      <c r="B10" s="94" t="s">
        <v>35</v>
      </c>
      <c r="C10" s="335"/>
      <c r="D10" s="335"/>
      <c r="E10" s="215">
        <f>mvalloc!D12</f>
        <v>0</v>
      </c>
    </row>
    <row r="11" spans="2:5" ht="15">
      <c r="B11" s="94" t="s">
        <v>36</v>
      </c>
      <c r="C11" s="335"/>
      <c r="D11" s="335"/>
      <c r="E11" s="215">
        <f>mvalloc!E12</f>
        <v>0</v>
      </c>
    </row>
    <row r="12" spans="2:5" ht="15">
      <c r="B12" s="216" t="s">
        <v>109</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140</v>
      </c>
      <c r="C25" s="335"/>
      <c r="D25" s="335"/>
      <c r="E25" s="214"/>
    </row>
    <row r="26" spans="2:5" ht="15">
      <c r="B26" s="219" t="s">
        <v>38</v>
      </c>
      <c r="C26" s="335"/>
      <c r="D26" s="335"/>
      <c r="E26" s="214"/>
    </row>
    <row r="27" spans="2:5" ht="15">
      <c r="B27" s="202" t="s">
        <v>196</v>
      </c>
      <c r="C27" s="344"/>
      <c r="D27" s="344"/>
      <c r="E27" s="214"/>
    </row>
    <row r="28" spans="2:5" ht="15">
      <c r="B28" s="202" t="s">
        <v>533</v>
      </c>
      <c r="C28" s="336">
        <f>IF(C29*0.1&lt;C27,"Exceed 10% Rule","")</f>
      </c>
      <c r="D28" s="336">
        <f>IF(D29*0.1&lt;D27,"Exceed 10% Rule","")</f>
      </c>
      <c r="E28" s="355">
        <f>IF(E29*0.1+E60&lt;E27,"Exceed 10% Rule","")</f>
      </c>
    </row>
    <row r="29" spans="2:5" ht="15">
      <c r="B29" s="205" t="s">
        <v>39</v>
      </c>
      <c r="C29" s="345">
        <f>SUM(C8:C27)</f>
        <v>0</v>
      </c>
      <c r="D29" s="345">
        <f>SUM(D8:D27)</f>
        <v>0</v>
      </c>
      <c r="E29" s="220">
        <f>SUM(E8:E27)</f>
        <v>0</v>
      </c>
    </row>
    <row r="30" spans="2:5" ht="15">
      <c r="B30" s="205" t="s">
        <v>40</v>
      </c>
      <c r="C30" s="345">
        <f>C6+C29</f>
        <v>0</v>
      </c>
      <c r="D30" s="345">
        <f>D6+D29</f>
        <v>0</v>
      </c>
      <c r="E30" s="221">
        <f>E6+E29</f>
        <v>0</v>
      </c>
    </row>
    <row r="31" spans="2:5" ht="15">
      <c r="B31" s="212" t="s">
        <v>41</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
      <c r="B44" s="222"/>
      <c r="C44" s="335"/>
      <c r="D44" s="335"/>
      <c r="E44" s="214"/>
      <c r="F44" s="561"/>
      <c r="G44" s="717" t="str">
        <f>CONCATENATE("Desired Carryover Into ",E1+1,"")</f>
        <v>Desired Carryover Into 2016</v>
      </c>
      <c r="H44" s="718"/>
      <c r="I44" s="718"/>
      <c r="J44" s="719"/>
      <c r="K44" s="561"/>
    </row>
    <row r="45" spans="2:11" ht="15">
      <c r="B45" s="222"/>
      <c r="C45" s="335"/>
      <c r="D45" s="335"/>
      <c r="E45" s="214"/>
      <c r="F45" s="561"/>
      <c r="G45" s="442"/>
      <c r="H45" s="53"/>
      <c r="I45" s="449"/>
      <c r="J45" s="441"/>
      <c r="K45" s="561"/>
    </row>
    <row r="46" spans="2:11" ht="15">
      <c r="B46" s="222"/>
      <c r="C46" s="335"/>
      <c r="D46" s="335"/>
      <c r="E46" s="214"/>
      <c r="F46" s="561"/>
      <c r="G46" s="440" t="s">
        <v>635</v>
      </c>
      <c r="H46" s="449"/>
      <c r="I46" s="449"/>
      <c r="J46" s="439">
        <v>0</v>
      </c>
      <c r="K46" s="561"/>
    </row>
    <row r="47" spans="2:11" ht="15">
      <c r="B47" s="222"/>
      <c r="C47" s="335"/>
      <c r="D47" s="335"/>
      <c r="E47" s="214"/>
      <c r="F47" s="561"/>
      <c r="G47" s="442" t="s">
        <v>636</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700</v>
      </c>
      <c r="H49" s="546"/>
      <c r="I49" s="546"/>
      <c r="J49" s="547">
        <f>IF(J46&gt;0,J48-E57,0)</f>
        <v>0</v>
      </c>
      <c r="K49" s="561"/>
    </row>
    <row r="50" spans="2:11" ht="15">
      <c r="B50" s="102" t="s">
        <v>197</v>
      </c>
      <c r="C50" s="344"/>
      <c r="D50" s="344"/>
      <c r="E50" s="148">
        <f>Nhood!E8</f>
      </c>
      <c r="F50" s="561"/>
      <c r="G50" s="561"/>
      <c r="H50" s="561"/>
      <c r="I50" s="561"/>
      <c r="J50" s="561"/>
      <c r="K50" s="561"/>
    </row>
    <row r="51" spans="2:11" ht="15">
      <c r="B51" s="102" t="s">
        <v>196</v>
      </c>
      <c r="C51" s="344"/>
      <c r="D51" s="344"/>
      <c r="E51" s="214"/>
      <c r="F51" s="561"/>
      <c r="G51" s="717" t="str">
        <f>CONCATENATE("Projected Carryover Into ",E1+1,"")</f>
        <v>Projected Carryover Into 2016</v>
      </c>
      <c r="H51" s="720"/>
      <c r="I51" s="720"/>
      <c r="J51" s="721"/>
      <c r="K51" s="561"/>
    </row>
    <row r="52" spans="2:11" ht="15">
      <c r="B52" s="102" t="s">
        <v>532</v>
      </c>
      <c r="C52" s="336">
        <f>IF(C53*0.1&lt;C51,"Exceed 10% Rule","")</f>
      </c>
      <c r="D52" s="336">
        <f>IF(D53*0.1&lt;D51,"Exceed 10% Rule","")</f>
      </c>
      <c r="E52" s="355">
        <f>IF(E53*0.1&lt;E51,"Exceed 10% Rule","")</f>
      </c>
      <c r="F52" s="561"/>
      <c r="G52" s="442"/>
      <c r="H52" s="449"/>
      <c r="I52" s="449"/>
      <c r="J52" s="563"/>
      <c r="K52" s="561"/>
    </row>
    <row r="53" spans="2:11" ht="1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
      <c r="B54" s="94" t="s">
        <v>117</v>
      </c>
      <c r="C54" s="343">
        <f>C30-C53</f>
        <v>0</v>
      </c>
      <c r="D54" s="343">
        <f>D30-D53</f>
        <v>0</v>
      </c>
      <c r="E54" s="213" t="s">
        <v>28</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
      <c r="B57" s="354" t="str">
        <f>CONCATENATE(C68,"     ",D68)</f>
        <v>     </v>
      </c>
      <c r="C57" s="715" t="s">
        <v>630</v>
      </c>
      <c r="D57" s="716"/>
      <c r="E57" s="30">
        <f>E53+E56</f>
        <v>0</v>
      </c>
      <c r="F57"/>
      <c r="G57" s="447"/>
      <c r="H57" s="449"/>
      <c r="I57" s="449"/>
      <c r="J57" s="563"/>
      <c r="K57" s="561"/>
    </row>
    <row r="58" spans="2:11" ht="1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
      <c r="B60" s="3"/>
      <c r="C60" s="711" t="str">
        <f>CONCATENATE("Amount of  ",$E$1-1," Ad Valorem Tax")</f>
        <v>Amount of  2014 Ad Valorem Tax</v>
      </c>
      <c r="D60" s="712"/>
      <c r="E60" s="27">
        <f>E58+E59</f>
        <v>0</v>
      </c>
      <c r="F60"/>
      <c r="G60" s="561"/>
      <c r="H60" s="561"/>
      <c r="I60" s="561"/>
      <c r="J60" s="561"/>
      <c r="K60" s="561"/>
    </row>
    <row r="61" spans="2:11" ht="15">
      <c r="B61" s="127"/>
      <c r="C61" s="3"/>
      <c r="D61" s="3"/>
      <c r="E61" s="3"/>
      <c r="F61"/>
      <c r="G61" s="708" t="s">
        <v>701</v>
      </c>
      <c r="H61" s="709"/>
      <c r="I61" s="709"/>
      <c r="J61" s="710"/>
      <c r="K61" s="561"/>
    </row>
    <row r="62" spans="2:11" ht="15">
      <c r="B62" s="115" t="s">
        <v>44</v>
      </c>
      <c r="C62" s="224"/>
      <c r="D62" s="3"/>
      <c r="E62" s="3"/>
      <c r="F62"/>
      <c r="G62" s="552"/>
      <c r="H62" s="455"/>
      <c r="I62" s="534"/>
      <c r="J62" s="553"/>
      <c r="K62" s="561"/>
    </row>
    <row r="63" spans="6:11" ht="15">
      <c r="F63"/>
      <c r="G63" s="554" t="str">
        <f>summ!H17</f>
        <v> </v>
      </c>
      <c r="H63" s="455" t="str">
        <f>CONCATENATE("",E1," Fund Mill Rate")</f>
        <v>2015 Fund Mill Rate</v>
      </c>
      <c r="I63" s="534"/>
      <c r="J63" s="553"/>
      <c r="K63" s="561"/>
    </row>
    <row r="64" spans="6:11" ht="15">
      <c r="F64"/>
      <c r="G64" s="556" t="str">
        <f>summ!E17</f>
        <v>  </v>
      </c>
      <c r="H64" s="455" t="str">
        <f>CONCATENATE("",E1-1," Fund Mill Rate")</f>
        <v>2014 Fund Mill Rate</v>
      </c>
      <c r="I64" s="534"/>
      <c r="J64" s="553"/>
      <c r="K64" s="561"/>
    </row>
    <row r="65" spans="6:11" ht="15">
      <c r="F65"/>
      <c r="G65" s="557">
        <f>summ!H23</f>
        <v>2.04</v>
      </c>
      <c r="H65" s="455" t="str">
        <f>CONCATENATE("Total ",E1," Mill Rate")</f>
        <v>Total 2015 Mill Rate</v>
      </c>
      <c r="I65" s="534"/>
      <c r="J65" s="553"/>
      <c r="K65" s="561"/>
    </row>
    <row r="66" spans="6:11" ht="15">
      <c r="F66"/>
      <c r="G66" s="556">
        <f>summ!E23</f>
        <v>1.967</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Buckeye Cemetery</v>
      </c>
      <c r="C1" s="3"/>
      <c r="D1" s="3"/>
      <c r="E1" s="154">
        <f>inputPrYr!D6</f>
        <v>2015</v>
      </c>
    </row>
    <row r="2" spans="2:5" ht="15">
      <c r="B2" s="3" t="str">
        <f>inputPrYr!D4</f>
        <v>Ellsworth County</v>
      </c>
      <c r="C2" s="3"/>
      <c r="D2" s="3"/>
      <c r="E2" s="115"/>
    </row>
    <row r="3" spans="2:6" ht="15">
      <c r="B3" s="10" t="s">
        <v>81</v>
      </c>
      <c r="C3" s="194"/>
      <c r="D3" s="194"/>
      <c r="E3" s="3"/>
      <c r="F3" s="531"/>
    </row>
    <row r="4" spans="2:5" ht="15">
      <c r="B4" s="3"/>
      <c r="C4" s="87"/>
      <c r="D4" s="87"/>
      <c r="E4" s="87"/>
    </row>
    <row r="5" spans="2:5" ht="15">
      <c r="B5" s="2" t="s">
        <v>32</v>
      </c>
      <c r="C5" s="339" t="s">
        <v>224</v>
      </c>
      <c r="D5" s="340" t="s">
        <v>223</v>
      </c>
      <c r="E5" s="195" t="s">
        <v>222</v>
      </c>
    </row>
    <row r="6" spans="2:5" ht="15">
      <c r="B6" s="356">
        <f>inputPrYr!B22</f>
        <v>0</v>
      </c>
      <c r="C6" s="341" t="str">
        <f>CONCATENATE("Actual for ",$E$1-2,"")</f>
        <v>Actual for 2013</v>
      </c>
      <c r="D6" s="341" t="str">
        <f>CONCATENATE("Estimate for ",E1-1,"")</f>
        <v>Estimate for 2014</v>
      </c>
      <c r="E6" s="196" t="str">
        <f>CONCATENATE("Year for ",E1,"")</f>
        <v>Year for 2015</v>
      </c>
    </row>
    <row r="7" spans="2:5" ht="15">
      <c r="B7" s="100" t="s">
        <v>116</v>
      </c>
      <c r="C7" s="335"/>
      <c r="D7" s="342">
        <f>C34</f>
        <v>0</v>
      </c>
      <c r="E7" s="30">
        <f>D34</f>
        <v>0</v>
      </c>
    </row>
    <row r="8" spans="2:5" ht="15">
      <c r="B8" s="198" t="s">
        <v>118</v>
      </c>
      <c r="C8" s="199"/>
      <c r="D8" s="199"/>
      <c r="E8" s="104"/>
    </row>
    <row r="9" spans="2:5" ht="15">
      <c r="B9" s="100" t="s">
        <v>33</v>
      </c>
      <c r="C9" s="335"/>
      <c r="D9" s="342">
        <f>IF(inputPrYr!H18&gt;0,inputPrYr!G22,inputPrYr!E22)</f>
        <v>0</v>
      </c>
      <c r="E9" s="109" t="s">
        <v>28</v>
      </c>
    </row>
    <row r="10" spans="2:5" ht="15">
      <c r="B10" s="100" t="s">
        <v>34</v>
      </c>
      <c r="C10" s="335"/>
      <c r="D10" s="335"/>
      <c r="E10" s="170"/>
    </row>
    <row r="11" spans="2:5" ht="15">
      <c r="B11" s="100" t="s">
        <v>35</v>
      </c>
      <c r="C11" s="335"/>
      <c r="D11" s="335"/>
      <c r="E11" s="30">
        <f>mvalloc!D13</f>
        <v>0</v>
      </c>
    </row>
    <row r="12" spans="2:5" ht="15">
      <c r="B12" s="100" t="s">
        <v>36</v>
      </c>
      <c r="C12" s="335"/>
      <c r="D12" s="335"/>
      <c r="E12" s="30">
        <f>mvalloc!E13</f>
        <v>0</v>
      </c>
    </row>
    <row r="13" spans="2:5" ht="15">
      <c r="B13" s="199" t="s">
        <v>109</v>
      </c>
      <c r="C13" s="335"/>
      <c r="D13" s="335"/>
      <c r="E13" s="30">
        <f>mvalloc!F13</f>
        <v>0</v>
      </c>
    </row>
    <row r="14" spans="2:5" ht="15">
      <c r="B14" s="200"/>
      <c r="C14" s="335"/>
      <c r="D14" s="335"/>
      <c r="E14" s="170"/>
    </row>
    <row r="15" spans="2:5" ht="15">
      <c r="B15" s="200"/>
      <c r="C15" s="335"/>
      <c r="D15" s="335"/>
      <c r="E15" s="170"/>
    </row>
    <row r="16" spans="2:5" ht="15">
      <c r="B16" s="200"/>
      <c r="C16" s="335"/>
      <c r="D16" s="335"/>
      <c r="E16" s="170"/>
    </row>
    <row r="17" spans="2:5" ht="15">
      <c r="B17" s="200"/>
      <c r="C17" s="335"/>
      <c r="D17" s="335"/>
      <c r="E17" s="170"/>
    </row>
    <row r="18" spans="2:5" ht="15">
      <c r="B18" s="201" t="s">
        <v>38</v>
      </c>
      <c r="C18" s="335"/>
      <c r="D18" s="335"/>
      <c r="E18" s="170"/>
    </row>
    <row r="19" spans="2:5" ht="15">
      <c r="B19" s="202" t="s">
        <v>196</v>
      </c>
      <c r="C19" s="335"/>
      <c r="D19" s="335"/>
      <c r="E19" s="20"/>
    </row>
    <row r="20" spans="2:5" ht="15">
      <c r="B20" s="202" t="s">
        <v>533</v>
      </c>
      <c r="C20" s="336">
        <f>IF(C21*0.1&lt;C19,"Exceed 10% Rule","")</f>
      </c>
      <c r="D20" s="336">
        <f>IF(D21*0.1&lt;D19,"Exceed 10% Rule","")</f>
      </c>
      <c r="E20" s="355">
        <f>IF(E21*0.1+E40&lt;E19,"Exceed 10% Rule","")</f>
      </c>
    </row>
    <row r="21" spans="2:5" ht="15">
      <c r="B21" s="205" t="s">
        <v>39</v>
      </c>
      <c r="C21" s="337">
        <f>SUM(C9:C19)</f>
        <v>0</v>
      </c>
      <c r="D21" s="337">
        <f>SUM(D9:D19)</f>
        <v>0</v>
      </c>
      <c r="E21" s="206">
        <f>SUM(E9:E19)</f>
        <v>0</v>
      </c>
    </row>
    <row r="22" spans="2:5" ht="15">
      <c r="B22" s="205" t="s">
        <v>40</v>
      </c>
      <c r="C22" s="337">
        <f>C7+C21</f>
        <v>0</v>
      </c>
      <c r="D22" s="337">
        <f>D7+D21</f>
        <v>0</v>
      </c>
      <c r="E22" s="206">
        <f>E7+E21</f>
        <v>0</v>
      </c>
    </row>
    <row r="23" spans="2:5" ht="15">
      <c r="B23" s="100" t="s">
        <v>41</v>
      </c>
      <c r="C23" s="102"/>
      <c r="D23" s="102"/>
      <c r="E23" s="21"/>
    </row>
    <row r="24" spans="2:5" ht="15">
      <c r="B24" s="200"/>
      <c r="C24" s="335"/>
      <c r="D24" s="335"/>
      <c r="E24" s="170"/>
    </row>
    <row r="25" spans="2:11" ht="15">
      <c r="B25" s="200"/>
      <c r="C25" s="335"/>
      <c r="D25" s="335"/>
      <c r="E25" s="170"/>
      <c r="F25" s="1"/>
      <c r="G25" s="717" t="str">
        <f>CONCATENATE("Desired Carryover Into ",E3+1,"")</f>
        <v>Desired Carryover Into 1</v>
      </c>
      <c r="H25" s="718"/>
      <c r="I25" s="718"/>
      <c r="J25" s="719"/>
      <c r="K25" s="1"/>
    </row>
    <row r="26" spans="2:11" ht="15">
      <c r="B26" s="200"/>
      <c r="C26" s="335"/>
      <c r="D26" s="335"/>
      <c r="E26" s="170"/>
      <c r="F26" s="1"/>
      <c r="G26" s="442"/>
      <c r="H26" s="53"/>
      <c r="I26" s="449"/>
      <c r="J26" s="441"/>
      <c r="K26" s="1"/>
    </row>
    <row r="27" spans="2:11" ht="15">
      <c r="B27" s="200"/>
      <c r="C27" s="335"/>
      <c r="D27" s="335"/>
      <c r="E27" s="170"/>
      <c r="F27" s="1"/>
      <c r="G27" s="440" t="s">
        <v>635</v>
      </c>
      <c r="H27" s="449"/>
      <c r="I27" s="449"/>
      <c r="J27" s="439">
        <v>0</v>
      </c>
      <c r="K27" s="1"/>
    </row>
    <row r="28" spans="2:11" ht="15">
      <c r="B28" s="200"/>
      <c r="C28" s="335"/>
      <c r="D28" s="335"/>
      <c r="E28" s="170"/>
      <c r="F28" s="1"/>
      <c r="G28" s="442" t="s">
        <v>636</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197</v>
      </c>
      <c r="C30" s="335"/>
      <c r="D30" s="335"/>
      <c r="E30" s="175">
        <f>Nhood!E9</f>
      </c>
      <c r="F30" s="1"/>
      <c r="G30" s="545" t="s">
        <v>700</v>
      </c>
      <c r="H30" s="546"/>
      <c r="I30" s="546"/>
      <c r="J30" s="547">
        <f>IF(J27&gt;0,J29-E37,0)</f>
        <v>0</v>
      </c>
      <c r="K30" s="1"/>
    </row>
    <row r="31" spans="2:11" ht="15">
      <c r="B31" s="102" t="s">
        <v>196</v>
      </c>
      <c r="C31" s="200"/>
      <c r="D31" s="200"/>
      <c r="E31" s="170"/>
      <c r="F31" s="1"/>
      <c r="G31" s="1"/>
      <c r="H31" s="1"/>
      <c r="I31" s="1"/>
      <c r="J31" s="561"/>
      <c r="K31" s="1"/>
    </row>
    <row r="32" spans="2:11" ht="1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
      <c r="B33" s="205" t="s">
        <v>42</v>
      </c>
      <c r="C33" s="337">
        <f>SUM(C24:C31)</f>
        <v>0</v>
      </c>
      <c r="D33" s="337">
        <f>SUM(D24:D31)</f>
        <v>0</v>
      </c>
      <c r="E33" s="206">
        <f>SUM(E24:E31)</f>
        <v>0</v>
      </c>
      <c r="F33" s="1"/>
      <c r="G33" s="442"/>
      <c r="H33" s="449"/>
      <c r="I33" s="449"/>
      <c r="J33" s="566"/>
      <c r="K33" s="1"/>
    </row>
    <row r="34" spans="2:11" ht="1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
      <c r="B38" s="354" t="str">
        <f>CONCATENATE(C88,"     ",D88)</f>
        <v>     </v>
      </c>
      <c r="C38" s="460"/>
      <c r="D38" s="459" t="s">
        <v>631</v>
      </c>
      <c r="E38" s="27">
        <f>IF(E37-E22&gt;0,E37-E22,0)</f>
        <v>0</v>
      </c>
      <c r="F38" s="1"/>
      <c r="G38" s="447"/>
      <c r="H38" s="449"/>
      <c r="I38" s="449"/>
      <c r="J38" s="566"/>
      <c r="K38" s="1"/>
    </row>
    <row r="39" spans="2:11" ht="1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
      <c r="B45" s="100" t="s">
        <v>116</v>
      </c>
      <c r="C45" s="335"/>
      <c r="D45" s="342">
        <f>C72</f>
        <v>0</v>
      </c>
      <c r="E45" s="30">
        <f>D72</f>
        <v>0</v>
      </c>
      <c r="F45" s="1"/>
      <c r="G45" s="556" t="str">
        <f>summ!E18</f>
        <v>  </v>
      </c>
      <c r="H45" s="455" t="str">
        <f>CONCATENATE("",E3-1," Fund Mill Rate")</f>
        <v>-1 Fund Mill Rate</v>
      </c>
      <c r="I45" s="534"/>
      <c r="J45" s="553"/>
      <c r="K45" s="1"/>
    </row>
    <row r="46" spans="2:11" ht="15">
      <c r="B46" s="198" t="s">
        <v>118</v>
      </c>
      <c r="C46" s="199"/>
      <c r="D46" s="199"/>
      <c r="E46" s="104"/>
      <c r="F46" s="1"/>
      <c r="G46" s="557">
        <f>summ!H23</f>
        <v>2.04</v>
      </c>
      <c r="H46" s="455" t="str">
        <f>CONCATENATE("Total ",E3," Mill Rate")</f>
        <v>Total  Mill Rate</v>
      </c>
      <c r="I46" s="534"/>
      <c r="J46" s="553"/>
      <c r="K46" s="1"/>
    </row>
    <row r="47" spans="2:11" ht="15">
      <c r="B47" s="100" t="s">
        <v>33</v>
      </c>
      <c r="C47" s="335"/>
      <c r="D47" s="342">
        <f>IF(inputPrYr!H18&gt;0,inputPrYr!G23,inputPrYr!E23)</f>
        <v>0</v>
      </c>
      <c r="E47" s="109" t="s">
        <v>28</v>
      </c>
      <c r="F47" s="1"/>
      <c r="G47" s="556">
        <f>summ!E23</f>
        <v>1.967</v>
      </c>
      <c r="H47" s="558" t="str">
        <f>CONCATENATE("Total ",E3-1," Mill Rate")</f>
        <v>Total -1 Mill Rate</v>
      </c>
      <c r="I47" s="559"/>
      <c r="J47" s="59"/>
      <c r="K47" s="1"/>
    </row>
    <row r="48" spans="2:11" ht="15">
      <c r="B48" s="100" t="s">
        <v>34</v>
      </c>
      <c r="C48" s="335"/>
      <c r="D48" s="335"/>
      <c r="E48" s="170"/>
      <c r="F48" s="1"/>
      <c r="G48" s="1"/>
      <c r="H48" s="1"/>
      <c r="I48" s="1"/>
      <c r="J48" s="1"/>
      <c r="K48" s="1"/>
    </row>
    <row r="49" spans="2:11" ht="15">
      <c r="B49" s="100" t="s">
        <v>35</v>
      </c>
      <c r="C49" s="335"/>
      <c r="D49" s="335"/>
      <c r="E49" s="30">
        <f>mvalloc!D14</f>
        <v>0</v>
      </c>
      <c r="F49" s="1"/>
      <c r="G49" s="636" t="s">
        <v>769</v>
      </c>
      <c r="H49" s="597"/>
      <c r="I49" s="596" t="str">
        <f>cert!F31</f>
        <v>No</v>
      </c>
      <c r="J49" s="1"/>
      <c r="K49" s="1"/>
    </row>
    <row r="50" spans="2:11" ht="15">
      <c r="B50" s="100" t="s">
        <v>36</v>
      </c>
      <c r="C50" s="335"/>
      <c r="D50" s="335"/>
      <c r="E50" s="30">
        <f>mvalloc!E14</f>
        <v>0</v>
      </c>
      <c r="F50" s="1"/>
      <c r="G50" s="1"/>
      <c r="H50" s="1"/>
      <c r="I50" s="1"/>
      <c r="J50" s="1"/>
      <c r="K50" s="1"/>
    </row>
    <row r="51" spans="2:11" ht="15">
      <c r="B51" s="199" t="s">
        <v>109</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38</v>
      </c>
      <c r="C56" s="335"/>
      <c r="D56" s="335"/>
      <c r="E56" s="170"/>
      <c r="F56" s="1"/>
      <c r="G56" s="1"/>
      <c r="H56" s="1"/>
      <c r="I56" s="1"/>
      <c r="J56" s="1"/>
      <c r="K56" s="1"/>
    </row>
    <row r="57" spans="2:11" ht="15">
      <c r="B57" s="202" t="s">
        <v>196</v>
      </c>
      <c r="C57" s="200"/>
      <c r="D57" s="200"/>
      <c r="E57" s="170"/>
      <c r="F57" s="1"/>
      <c r="G57" s="1"/>
      <c r="H57" s="1"/>
      <c r="I57" s="1"/>
      <c r="J57" s="1"/>
      <c r="K57" s="1"/>
    </row>
    <row r="58" spans="2:11" ht="15">
      <c r="B58" s="202" t="s">
        <v>533</v>
      </c>
      <c r="C58" s="336">
        <f>IF(C59*0.1&lt;C57,"Exceed 10% Rule","")</f>
      </c>
      <c r="D58" s="336">
        <f>IF(D59*0.1&lt;D57,"Exceed 10% Rule","")</f>
      </c>
      <c r="E58" s="355">
        <f>IF(E59*0.1+E78&lt;E57,"Exceed 10% Rule","")</f>
      </c>
      <c r="F58" s="1"/>
      <c r="G58" s="1"/>
      <c r="H58" s="1"/>
      <c r="I58" s="1"/>
      <c r="J58" s="1"/>
      <c r="K58" s="1"/>
    </row>
    <row r="59" spans="2:11" ht="15">
      <c r="B59" s="205" t="s">
        <v>39</v>
      </c>
      <c r="C59" s="337">
        <f>SUM(C47:C57)</f>
        <v>0</v>
      </c>
      <c r="D59" s="337">
        <f>SUM(D47:D57)</f>
        <v>0</v>
      </c>
      <c r="E59" s="206">
        <f>SUM(E47:E57)</f>
        <v>0</v>
      </c>
      <c r="F59" s="1"/>
      <c r="G59" s="1"/>
      <c r="H59" s="1"/>
      <c r="I59" s="1"/>
      <c r="J59" s="1"/>
      <c r="K59" s="1"/>
    </row>
    <row r="60" spans="2:11" ht="15">
      <c r="B60" s="205" t="s">
        <v>40</v>
      </c>
      <c r="C60" s="337">
        <f>C45+C59</f>
        <v>0</v>
      </c>
      <c r="D60" s="337">
        <f>D45+D59</f>
        <v>0</v>
      </c>
      <c r="E60" s="206">
        <f>E45+E59</f>
        <v>0</v>
      </c>
      <c r="F60" s="1"/>
      <c r="G60" s="1"/>
      <c r="H60" s="1"/>
      <c r="I60" s="1"/>
      <c r="J60" s="1"/>
      <c r="K60" s="1"/>
    </row>
    <row r="61" spans="2:11" ht="15">
      <c r="B61" s="100" t="s">
        <v>41</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
      <c r="B65" s="200"/>
      <c r="C65" s="335"/>
      <c r="D65" s="335"/>
      <c r="E65" s="170"/>
      <c r="F65" s="1"/>
      <c r="G65" s="717" t="str">
        <f>CONCATENATE("Desired Carryover Into ",E3+1,"")</f>
        <v>Desired Carryover Into 1</v>
      </c>
      <c r="H65" s="718"/>
      <c r="I65" s="718"/>
      <c r="J65" s="719"/>
      <c r="K65" s="1"/>
    </row>
    <row r="66" spans="2:11" ht="15">
      <c r="B66" s="200"/>
      <c r="C66" s="335"/>
      <c r="D66" s="335"/>
      <c r="E66" s="170"/>
      <c r="F66" s="1"/>
      <c r="G66" s="442"/>
      <c r="H66" s="53"/>
      <c r="I66" s="449"/>
      <c r="J66" s="441"/>
      <c r="K66" s="1"/>
    </row>
    <row r="67" spans="2:11" ht="15">
      <c r="B67" s="200"/>
      <c r="C67" s="335"/>
      <c r="D67" s="335"/>
      <c r="E67" s="170"/>
      <c r="F67" s="1"/>
      <c r="G67" s="440" t="s">
        <v>635</v>
      </c>
      <c r="H67" s="449"/>
      <c r="I67" s="449"/>
      <c r="J67" s="439">
        <v>0</v>
      </c>
      <c r="K67" s="1"/>
    </row>
    <row r="68" spans="2:11" ht="15">
      <c r="B68" s="102" t="s">
        <v>197</v>
      </c>
      <c r="C68" s="335"/>
      <c r="D68" s="335"/>
      <c r="E68" s="175">
        <f>Nhood!E10</f>
      </c>
      <c r="F68" s="1"/>
      <c r="G68" s="442" t="s">
        <v>636</v>
      </c>
      <c r="H68" s="53"/>
      <c r="I68" s="53"/>
      <c r="J68" s="562">
        <f>IF(J67=0,"",ROUND((J67+E81-G80)/inputOth!E7*1000,3)-G85)</f>
      </c>
      <c r="K68" s="1"/>
    </row>
    <row r="69" spans="2:11" ht="1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
      <c r="B71" s="205" t="s">
        <v>42</v>
      </c>
      <c r="C71" s="337">
        <f>SUM(C62:C69)</f>
        <v>0</v>
      </c>
      <c r="D71" s="337">
        <f>SUM(D62:D69)</f>
        <v>0</v>
      </c>
      <c r="E71" s="206">
        <f>SUM(E62:E69)</f>
        <v>0</v>
      </c>
      <c r="F71" s="1"/>
      <c r="G71" s="1"/>
      <c r="H71" s="1"/>
      <c r="I71" s="1"/>
      <c r="J71" s="561"/>
      <c r="K71" s="1"/>
    </row>
    <row r="72" spans="2:11" ht="15">
      <c r="B72" s="100" t="s">
        <v>117</v>
      </c>
      <c r="C72" s="338">
        <f>C60-C71</f>
        <v>0</v>
      </c>
      <c r="D72" s="338">
        <f>D60-D71</f>
        <v>0</v>
      </c>
      <c r="E72" s="109" t="s">
        <v>28</v>
      </c>
      <c r="F72" s="1"/>
      <c r="G72" s="717" t="str">
        <f>CONCATENATE("Projected Carryover Into ",E3+1,"")</f>
        <v>Projected Carryover Into 1</v>
      </c>
      <c r="H72" s="722"/>
      <c r="I72" s="722"/>
      <c r="J72" s="721"/>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
      <c r="B74" s="115"/>
      <c r="C74" s="713" t="s">
        <v>629</v>
      </c>
      <c r="D74" s="714"/>
      <c r="E74" s="20"/>
      <c r="F74" s="574">
        <f>IF(E71/0.95-E71&lt;E74,"Exceeds 5%","")</f>
      </c>
      <c r="G74" s="456">
        <f>D72</f>
        <v>0</v>
      </c>
      <c r="H74" s="455" t="str">
        <f>CONCATENATE("",E3-1," Ending Cash Balance (est.)")</f>
        <v>-1 Ending Cash Balance (est.)</v>
      </c>
      <c r="I74" s="548"/>
      <c r="J74" s="450"/>
      <c r="K74" s="1"/>
    </row>
    <row r="75" spans="2:11" ht="15">
      <c r="B75" s="354" t="str">
        <f>CONCATENATE(C89,"     ",D89)</f>
        <v>     </v>
      </c>
      <c r="C75" s="715" t="s">
        <v>630</v>
      </c>
      <c r="D75" s="716"/>
      <c r="E75" s="30">
        <f>E71+E74</f>
        <v>0</v>
      </c>
      <c r="F75" s="1"/>
      <c r="G75" s="456">
        <f>E59</f>
        <v>0</v>
      </c>
      <c r="H75" s="449" t="str">
        <f>CONCATENATE("",E3," Non-AV Receipts (est.)")</f>
        <v> Non-AV Receipts (est.)</v>
      </c>
      <c r="I75" s="548"/>
      <c r="J75" s="450"/>
      <c r="K75" s="1"/>
    </row>
    <row r="76" spans="2:11" ht="1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
      <c r="B78" s="3"/>
      <c r="C78" s="711" t="str">
        <f>CONCATENATE("Amount of  ",$E$3-1," Ad Valorem Tax")</f>
        <v>Amount of  -1 Ad Valorem Tax</v>
      </c>
      <c r="D78" s="712"/>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44</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
      <c r="F82" s="1"/>
      <c r="G82" s="708" t="s">
        <v>701</v>
      </c>
      <c r="H82" s="709"/>
      <c r="I82" s="709"/>
      <c r="J82" s="710"/>
      <c r="K82" s="1"/>
    </row>
    <row r="83" spans="6:11" ht="15">
      <c r="F83" s="1"/>
      <c r="G83" s="552"/>
      <c r="H83" s="455"/>
      <c r="I83" s="534"/>
      <c r="J83" s="553"/>
      <c r="K83" s="1"/>
    </row>
    <row r="84" spans="6:11" ht="15">
      <c r="F84" s="1"/>
      <c r="G84" s="554" t="str">
        <f>summ!H19</f>
        <v> </v>
      </c>
      <c r="H84" s="455" t="str">
        <f>CONCATENATE("",E3," Fund Mill Rate")</f>
        <v> Fund Mill Rate</v>
      </c>
      <c r="I84" s="534"/>
      <c r="J84" s="553"/>
      <c r="K84" s="1"/>
    </row>
    <row r="85" spans="6:11" ht="15">
      <c r="F85" s="1"/>
      <c r="G85" s="556" t="str">
        <f>summ!E19</f>
        <v>  </v>
      </c>
      <c r="H85" s="455" t="str">
        <f>CONCATENATE("",E3-1," Fund Mill Rate")</f>
        <v>-1 Fund Mill Rate</v>
      </c>
      <c r="I85" s="534"/>
      <c r="J85" s="553"/>
      <c r="K85" s="1"/>
    </row>
    <row r="86" spans="6:11" ht="15.75" customHeight="1">
      <c r="F86" s="1"/>
      <c r="G86" s="557">
        <f>summ!H23</f>
        <v>2.04</v>
      </c>
      <c r="H86" s="455" t="str">
        <f>CONCATENATE("Total ",E3," Mill Rate")</f>
        <v>Total  Mill Rate</v>
      </c>
      <c r="I86" s="534"/>
      <c r="J86" s="553"/>
      <c r="K86" s="1"/>
    </row>
    <row r="87" spans="3:11" ht="15.75" customHeight="1">
      <c r="C87" s="76">
        <f>IF(C33&gt;C35,"See Tab A","")</f>
      </c>
      <c r="D87" s="76">
        <f>IF(D33&gt;D35,"See Tab C","")</f>
      </c>
      <c r="F87" s="1"/>
      <c r="G87" s="556">
        <f>summ!E23</f>
        <v>1.967</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Buckeye Cemetery</v>
      </c>
      <c r="C1" s="194"/>
      <c r="D1" s="3"/>
      <c r="E1" s="154">
        <f>inputPrYr!D6</f>
        <v>2015</v>
      </c>
    </row>
    <row r="2" spans="2:5" ht="15">
      <c r="B2" s="3" t="str">
        <f>inputPrYr!D4</f>
        <v>Ellsworth County</v>
      </c>
      <c r="C2" s="194"/>
      <c r="D2" s="3"/>
      <c r="E2" s="115"/>
    </row>
    <row r="3" spans="2:5" ht="15">
      <c r="B3" s="10" t="s">
        <v>82</v>
      </c>
      <c r="C3" s="194"/>
      <c r="D3" s="194"/>
      <c r="E3" s="115"/>
    </row>
    <row r="4" spans="2:5" ht="15">
      <c r="B4" s="3"/>
      <c r="C4" s="87"/>
      <c r="D4" s="87"/>
      <c r="E4" s="87"/>
    </row>
    <row r="5" spans="2:5" ht="15">
      <c r="B5" s="2" t="s">
        <v>32</v>
      </c>
      <c r="C5" s="226" t="s">
        <v>224</v>
      </c>
      <c r="D5" s="195" t="s">
        <v>225</v>
      </c>
      <c r="E5" s="195" t="s">
        <v>222</v>
      </c>
    </row>
    <row r="6" spans="2:5" ht="15">
      <c r="B6" s="356">
        <f>inputPrYr!B26</f>
        <v>0</v>
      </c>
      <c r="C6" s="196" t="str">
        <f>CONCATENATE("Actual for ",E1-2,"")</f>
        <v>Actual for 2013</v>
      </c>
      <c r="D6" s="196" t="str">
        <f>CONCATENATE("Estimate for ",E1-1,"")</f>
        <v>Estimate for 2014</v>
      </c>
      <c r="E6" s="196" t="str">
        <f>CONCATENATE("Year for ",E1,"")</f>
        <v>Year for 2015</v>
      </c>
    </row>
    <row r="7" spans="2:5" ht="15">
      <c r="B7" s="100" t="s">
        <v>116</v>
      </c>
      <c r="C7" s="20"/>
      <c r="D7" s="30">
        <f>C32</f>
        <v>0</v>
      </c>
      <c r="E7" s="30">
        <f>D32</f>
        <v>0</v>
      </c>
    </row>
    <row r="8" spans="2:5" ht="15">
      <c r="B8" s="198" t="s">
        <v>118</v>
      </c>
      <c r="C8" s="21"/>
      <c r="D8" s="21"/>
      <c r="E8" s="21"/>
    </row>
    <row r="9" spans="2:5" ht="15">
      <c r="B9" s="200"/>
      <c r="C9" s="170"/>
      <c r="D9" s="170"/>
      <c r="E9" s="170"/>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38</v>
      </c>
      <c r="C16" s="170"/>
      <c r="D16" s="170"/>
      <c r="E16" s="170"/>
    </row>
    <row r="17" spans="2:5" ht="15">
      <c r="B17" s="202" t="s">
        <v>196</v>
      </c>
      <c r="C17" s="170"/>
      <c r="D17" s="203"/>
      <c r="E17" s="203"/>
    </row>
    <row r="18" spans="2:5" ht="15">
      <c r="B18" s="202" t="s">
        <v>533</v>
      </c>
      <c r="C18" s="355">
        <f>IF(C19*0.1&lt;C17,"Exceed 10% Rule","")</f>
      </c>
      <c r="D18" s="204">
        <f>IF(D19*0.1&lt;D17,"Exceed 10% Rule","")</f>
      </c>
      <c r="E18" s="204">
        <f>IF(E19*0.1&lt;E17,"Exceed 10% Rule","")</f>
      </c>
    </row>
    <row r="19" spans="2:5" ht="15">
      <c r="B19" s="205" t="s">
        <v>39</v>
      </c>
      <c r="C19" s="206">
        <f>SUM(C9:C17)</f>
        <v>0</v>
      </c>
      <c r="D19" s="206">
        <f>SUM(D9:D17)</f>
        <v>0</v>
      </c>
      <c r="E19" s="206">
        <f>SUM(E9:E17)</f>
        <v>0</v>
      </c>
    </row>
    <row r="20" spans="2:5" ht="15">
      <c r="B20" s="205" t="s">
        <v>40</v>
      </c>
      <c r="C20" s="206">
        <f>C19+C7</f>
        <v>0</v>
      </c>
      <c r="D20" s="206">
        <f>D19+D7</f>
        <v>0</v>
      </c>
      <c r="E20" s="206">
        <f>E19+E7</f>
        <v>0</v>
      </c>
    </row>
    <row r="21" spans="2:5" ht="15">
      <c r="B21" s="100" t="s">
        <v>41</v>
      </c>
      <c r="C21" s="21"/>
      <c r="D21" s="21"/>
      <c r="E21" s="21"/>
    </row>
    <row r="22" spans="2:5" ht="15">
      <c r="B22" s="200"/>
      <c r="C22" s="170"/>
      <c r="D22" s="170"/>
      <c r="E22" s="170"/>
    </row>
    <row r="23" spans="2:5" ht="15">
      <c r="B23" s="200"/>
      <c r="C23" s="170"/>
      <c r="D23" s="170"/>
      <c r="E23" s="170"/>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196</v>
      </c>
      <c r="C29" s="20"/>
      <c r="D29" s="197"/>
      <c r="E29" s="197"/>
    </row>
    <row r="30" spans="2:5" ht="15">
      <c r="B30" s="102" t="s">
        <v>532</v>
      </c>
      <c r="C30" s="355">
        <f>IF(C31*0.1&lt;C29,"Exceed 10% Rule","")</f>
      </c>
      <c r="D30" s="204">
        <f>IF(D31*0.1&lt;D29,"Exceed 10% Rule","")</f>
      </c>
      <c r="E30" s="204">
        <f>IF(E31*0.1&lt;E29,"Exceed 10% Rule","")</f>
      </c>
    </row>
    <row r="31" spans="2:5" ht="15">
      <c r="B31" s="205" t="s">
        <v>42</v>
      </c>
      <c r="C31" s="206">
        <f>SUM(C22:C29)</f>
        <v>0</v>
      </c>
      <c r="D31" s="206">
        <f>SUM(D22:D29)</f>
        <v>0</v>
      </c>
      <c r="E31" s="206">
        <f>SUM(E22:E29)</f>
        <v>0</v>
      </c>
    </row>
    <row r="32" spans="2:5" ht="15">
      <c r="B32" s="100" t="s">
        <v>117</v>
      </c>
      <c r="C32" s="27">
        <f>C20-C31</f>
        <v>0</v>
      </c>
      <c r="D32" s="27">
        <f>D20-D31</f>
        <v>0</v>
      </c>
      <c r="E32" s="27">
        <f>E20-E31</f>
        <v>0</v>
      </c>
    </row>
    <row r="33" spans="2:5" ht="15">
      <c r="B33" s="2" t="str">
        <f>CONCATENATE("",E1-2,"/",E1-1,"/",E1," Budget Authority Amount:")</f>
        <v>2013/2014/2015 Budget Authority Amount:</v>
      </c>
      <c r="C33" s="215">
        <f>inputOth!B45</f>
        <v>0</v>
      </c>
      <c r="D33" s="215">
        <f>inputPrYr!D26</f>
        <v>0</v>
      </c>
      <c r="E33" s="525">
        <f>E31</f>
        <v>0</v>
      </c>
    </row>
    <row r="34" spans="2:5" ht="15">
      <c r="B34" s="115"/>
      <c r="C34" s="207">
        <f>IF(C31&gt;C33,"See Tab A","")</f>
      </c>
      <c r="D34" s="207">
        <f>IF(D31&gt;D33,"See Tab C","")</f>
      </c>
      <c r="E34" s="613">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
      <c r="B40" s="100" t="s">
        <v>116</v>
      </c>
      <c r="C40" s="20"/>
      <c r="D40" s="30">
        <f>C65</f>
        <v>0</v>
      </c>
      <c r="E40" s="30">
        <f>D65</f>
        <v>0</v>
      </c>
    </row>
    <row r="41" spans="2:5" ht="15">
      <c r="B41" s="198" t="s">
        <v>118</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38</v>
      </c>
      <c r="C49" s="170"/>
      <c r="D49" s="170"/>
      <c r="E49" s="170"/>
    </row>
    <row r="50" spans="2:5" ht="15">
      <c r="B50" s="202" t="s">
        <v>196</v>
      </c>
      <c r="C50" s="170"/>
      <c r="D50" s="203"/>
      <c r="E50" s="203"/>
    </row>
    <row r="51" spans="2:5" ht="15">
      <c r="B51" s="202" t="s">
        <v>533</v>
      </c>
      <c r="C51" s="355">
        <f>IF(C52*0.1&lt;C50,"Exceed 10% Rule","")</f>
      </c>
      <c r="D51" s="204">
        <f>IF(D52*0.1&lt;D50,"Exceed 10% Rule","")</f>
      </c>
      <c r="E51" s="204">
        <f>IF(E52*0.1&lt;E50,"Exceed 10% Rule","")</f>
      </c>
    </row>
    <row r="52" spans="2:5" ht="15">
      <c r="B52" s="205" t="s">
        <v>39</v>
      </c>
      <c r="C52" s="206">
        <f>SUM(C42:C50)</f>
        <v>0</v>
      </c>
      <c r="D52" s="206">
        <f>SUM(D42:D50)</f>
        <v>0</v>
      </c>
      <c r="E52" s="206">
        <f>SUM(E42:E50)</f>
        <v>0</v>
      </c>
    </row>
    <row r="53" spans="2:5" ht="15">
      <c r="B53" s="205" t="s">
        <v>40</v>
      </c>
      <c r="C53" s="206">
        <f>C52+C40</f>
        <v>0</v>
      </c>
      <c r="D53" s="206">
        <f>D52+D40</f>
        <v>0</v>
      </c>
      <c r="E53" s="206">
        <f>E52+E40</f>
        <v>0</v>
      </c>
    </row>
    <row r="54" spans="2:5" ht="15">
      <c r="B54" s="100" t="s">
        <v>41</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196</v>
      </c>
      <c r="C62" s="20"/>
      <c r="D62" s="197"/>
      <c r="E62" s="197"/>
    </row>
    <row r="63" spans="2:5" ht="15">
      <c r="B63" s="102" t="s">
        <v>532</v>
      </c>
      <c r="C63" s="355">
        <f>IF(C64*0.1&lt;C62,"Exceed 10% Rule","")</f>
      </c>
      <c r="D63" s="204">
        <f>IF(D64*0.1&lt;D62,"Exceed 10% Rule","")</f>
      </c>
      <c r="E63" s="204">
        <f>IF(E64*0.1&lt;E62,"Exceed 10% Rule","")</f>
      </c>
    </row>
    <row r="64" spans="2:5" ht="15">
      <c r="B64" s="205" t="s">
        <v>42</v>
      </c>
      <c r="C64" s="206">
        <f>SUM(C55:C62)</f>
        <v>0</v>
      </c>
      <c r="D64" s="206">
        <f>SUM(D55:D62)</f>
        <v>0</v>
      </c>
      <c r="E64" s="206">
        <f>SUM(E55:E62)</f>
        <v>0</v>
      </c>
    </row>
    <row r="65" spans="2:5" ht="15">
      <c r="B65" s="100" t="s">
        <v>117</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13">
        <f>IF(E65&lt;0,"See Tab E","")</f>
      </c>
    </row>
    <row r="68" spans="2:5" ht="15">
      <c r="B68" s="115"/>
      <c r="C68" s="207">
        <f>IF(C65&lt;0,"See Tab B","")</f>
      </c>
      <c r="D68" s="207">
        <f>IF(D65&lt;0,"See Tab D","")</f>
      </c>
      <c r="E68" s="3"/>
    </row>
    <row r="69" spans="2:5" ht="15">
      <c r="B69" s="3"/>
      <c r="C69" s="3"/>
      <c r="D69" s="194"/>
      <c r="E69" s="194"/>
    </row>
    <row r="70" spans="2:5" ht="1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Buckeye Cemetery</v>
      </c>
      <c r="B1" s="227"/>
      <c r="C1" s="45"/>
      <c r="D1" s="45"/>
      <c r="E1" s="45"/>
      <c r="F1" s="228" t="s">
        <v>209</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210</v>
      </c>
      <c r="B3" s="45"/>
      <c r="C3" s="45"/>
      <c r="D3" s="45"/>
      <c r="E3" s="45"/>
      <c r="F3" s="227"/>
      <c r="G3" s="45"/>
      <c r="H3" s="45"/>
      <c r="I3" s="45"/>
      <c r="J3" s="45"/>
      <c r="K3" s="45"/>
    </row>
    <row r="4" spans="1:11" ht="15">
      <c r="A4" s="45" t="s">
        <v>211</v>
      </c>
      <c r="B4" s="45"/>
      <c r="C4" s="45" t="s">
        <v>212</v>
      </c>
      <c r="D4" s="45"/>
      <c r="E4" s="45" t="s">
        <v>213</v>
      </c>
      <c r="F4" s="227"/>
      <c r="G4" s="45" t="s">
        <v>214</v>
      </c>
      <c r="H4" s="45"/>
      <c r="I4" s="45" t="s">
        <v>215</v>
      </c>
      <c r="J4" s="45"/>
      <c r="K4" s="45"/>
    </row>
    <row r="5" spans="1:11" ht="15">
      <c r="A5" s="723">
        <f>inputPrYr!B30</f>
        <v>0</v>
      </c>
      <c r="B5" s="724"/>
      <c r="C5" s="723">
        <f>inputPrYr!B31</f>
        <v>0</v>
      </c>
      <c r="D5" s="724"/>
      <c r="E5" s="723">
        <f>inputPrYr!B32</f>
        <v>0</v>
      </c>
      <c r="F5" s="724"/>
      <c r="G5" s="723">
        <f>inputPrYr!B33</f>
        <v>0</v>
      </c>
      <c r="H5" s="724"/>
      <c r="I5" s="723">
        <f>inputPrYr!B34</f>
        <v>0</v>
      </c>
      <c r="J5" s="724"/>
      <c r="K5" s="231"/>
    </row>
    <row r="6" spans="1:11" ht="15">
      <c r="A6" s="232" t="s">
        <v>216</v>
      </c>
      <c r="B6" s="233"/>
      <c r="C6" s="234" t="s">
        <v>216</v>
      </c>
      <c r="D6" s="235"/>
      <c r="E6" s="234" t="s">
        <v>216</v>
      </c>
      <c r="F6" s="236"/>
      <c r="G6" s="234" t="s">
        <v>216</v>
      </c>
      <c r="H6" s="230"/>
      <c r="I6" s="234" t="s">
        <v>216</v>
      </c>
      <c r="J6" s="45"/>
      <c r="K6" s="237" t="s">
        <v>13</v>
      </c>
    </row>
    <row r="7" spans="1:11" ht="15">
      <c r="A7" s="238" t="s">
        <v>217</v>
      </c>
      <c r="B7" s="239"/>
      <c r="C7" s="240" t="s">
        <v>217</v>
      </c>
      <c r="D7" s="239"/>
      <c r="E7" s="240" t="s">
        <v>217</v>
      </c>
      <c r="F7" s="239"/>
      <c r="G7" s="240" t="s">
        <v>217</v>
      </c>
      <c r="H7" s="239"/>
      <c r="I7" s="240" t="s">
        <v>217</v>
      </c>
      <c r="J7" s="239"/>
      <c r="K7" s="241">
        <f>SUM(B7+D7+F7+H7+J7)</f>
        <v>0</v>
      </c>
    </row>
    <row r="8" spans="1:11" ht="15">
      <c r="A8" s="242" t="s">
        <v>118</v>
      </c>
      <c r="B8" s="243"/>
      <c r="C8" s="242" t="s">
        <v>118</v>
      </c>
      <c r="D8" s="244"/>
      <c r="E8" s="242" t="s">
        <v>118</v>
      </c>
      <c r="F8" s="227"/>
      <c r="G8" s="242" t="s">
        <v>118</v>
      </c>
      <c r="H8" s="45"/>
      <c r="I8" s="242" t="s">
        <v>118</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
      <c r="A19" s="242" t="s">
        <v>41</v>
      </c>
      <c r="B19" s="243"/>
      <c r="C19" s="242" t="s">
        <v>41</v>
      </c>
      <c r="D19" s="244"/>
      <c r="E19" s="242" t="s">
        <v>41</v>
      </c>
      <c r="F19" s="227"/>
      <c r="G19" s="242" t="s">
        <v>41</v>
      </c>
      <c r="H19" s="45"/>
      <c r="I19" s="242" t="s">
        <v>41</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
      <c r="A31" s="45"/>
      <c r="B31" s="257"/>
      <c r="C31" s="45"/>
      <c r="D31" s="227"/>
      <c r="E31" s="45"/>
      <c r="F31" s="45"/>
      <c r="G31" s="258" t="s">
        <v>220</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44</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8" t="s">
        <v>264</v>
      </c>
    </row>
    <row r="2" ht="15">
      <c r="A2" s="76"/>
    </row>
    <row r="3" ht="15">
      <c r="A3" s="76"/>
    </row>
    <row r="4" ht="56.25" customHeight="1">
      <c r="A4" s="289" t="s">
        <v>265</v>
      </c>
    </row>
    <row r="5" ht="15">
      <c r="A5" s="290"/>
    </row>
    <row r="6" ht="15">
      <c r="A6" s="76"/>
    </row>
    <row r="7" ht="50.25" customHeight="1">
      <c r="A7" s="289" t="s">
        <v>266</v>
      </c>
    </row>
    <row r="8" ht="15">
      <c r="A8" s="76"/>
    </row>
    <row r="9" ht="15">
      <c r="A9" s="76"/>
    </row>
    <row r="10" ht="52.5" customHeight="1">
      <c r="A10" s="289" t="s">
        <v>267</v>
      </c>
    </row>
    <row r="11" ht="15">
      <c r="A11" s="76"/>
    </row>
    <row r="12" ht="15">
      <c r="A12" s="76"/>
    </row>
    <row r="13" ht="52.5" customHeight="1">
      <c r="A13" s="289" t="s">
        <v>268</v>
      </c>
    </row>
    <row r="14" ht="15">
      <c r="A14" s="290"/>
    </row>
    <row r="15" ht="15">
      <c r="A15" s="290"/>
    </row>
    <row r="16" ht="51" customHeight="1">
      <c r="A16" s="435" t="s">
        <v>621</v>
      </c>
    </row>
    <row r="17" ht="15">
      <c r="A17" s="290"/>
    </row>
    <row r="18" ht="15">
      <c r="A18" s="290"/>
    </row>
    <row r="19" ht="37.5" customHeight="1">
      <c r="A19" s="289" t="s">
        <v>269</v>
      </c>
    </row>
    <row r="20" ht="15">
      <c r="A20" s="76"/>
    </row>
    <row r="21" ht="15">
      <c r="A21" s="76"/>
    </row>
    <row r="22" ht="30.75">
      <c r="A22" s="289" t="s">
        <v>270</v>
      </c>
    </row>
    <row r="23" ht="15">
      <c r="A23" s="290"/>
    </row>
    <row r="24" ht="15">
      <c r="A24" s="76"/>
    </row>
    <row r="25" ht="67.5" customHeight="1">
      <c r="A25" s="289" t="s">
        <v>271</v>
      </c>
    </row>
    <row r="26" ht="68.25" customHeight="1">
      <c r="A26" s="291" t="s">
        <v>272</v>
      </c>
    </row>
    <row r="27" ht="15">
      <c r="A27" s="76"/>
    </row>
    <row r="28" ht="15">
      <c r="A28" s="76"/>
    </row>
    <row r="29" ht="51" customHeight="1">
      <c r="A29" s="436" t="s">
        <v>622</v>
      </c>
    </row>
    <row r="30" ht="15">
      <c r="A30" s="76"/>
    </row>
    <row r="31" ht="15">
      <c r="A31" s="290"/>
    </row>
    <row r="32" ht="69" customHeight="1">
      <c r="A32" s="436" t="s">
        <v>623</v>
      </c>
    </row>
    <row r="33" ht="15">
      <c r="A33" s="290"/>
    </row>
    <row r="34" ht="15">
      <c r="A34" s="290"/>
    </row>
    <row r="35" ht="52.5" customHeight="1">
      <c r="A35" s="436" t="s">
        <v>624</v>
      </c>
    </row>
    <row r="36" ht="15">
      <c r="A36" s="290"/>
    </row>
    <row r="37" ht="15">
      <c r="A37" s="290"/>
    </row>
    <row r="38" ht="59.25" customHeight="1">
      <c r="A38" s="289" t="s">
        <v>273</v>
      </c>
    </row>
    <row r="39" ht="15">
      <c r="A39" s="76"/>
    </row>
    <row r="40" ht="15">
      <c r="A40" s="76"/>
    </row>
    <row r="41" ht="53.25" customHeight="1">
      <c r="A41" s="289" t="s">
        <v>274</v>
      </c>
    </row>
    <row r="42" ht="15">
      <c r="A42" s="290"/>
    </row>
    <row r="43" ht="1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5">
      <selection activeCell="A5" sqref="A5:H5"/>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70" t="s">
        <v>83</v>
      </c>
      <c r="B1" s="670"/>
      <c r="C1" s="670"/>
      <c r="D1" s="670"/>
      <c r="E1" s="670"/>
      <c r="F1" s="670"/>
      <c r="G1" s="670"/>
      <c r="H1" s="733"/>
    </row>
    <row r="2" spans="1:8" ht="15">
      <c r="A2" s="3"/>
      <c r="B2" s="3"/>
      <c r="C2" s="3"/>
      <c r="D2" s="3"/>
      <c r="E2" s="3"/>
      <c r="F2" s="3"/>
      <c r="G2" s="3"/>
      <c r="H2" s="3"/>
    </row>
    <row r="3" spans="1:9" ht="15">
      <c r="A3" s="736" t="s">
        <v>110</v>
      </c>
      <c r="B3" s="736"/>
      <c r="C3" s="736"/>
      <c r="D3" s="736"/>
      <c r="E3" s="736"/>
      <c r="F3" s="736"/>
      <c r="G3" s="736"/>
      <c r="H3" s="736"/>
      <c r="I3" s="37">
        <f>inputPrYr!D6</f>
        <v>2015</v>
      </c>
    </row>
    <row r="4" spans="1:8" ht="15">
      <c r="A4" s="668" t="str">
        <f>inputPrYr!D3</f>
        <v>Buckeye Cemetery</v>
      </c>
      <c r="B4" s="668"/>
      <c r="C4" s="668"/>
      <c r="D4" s="668"/>
      <c r="E4" s="668"/>
      <c r="F4" s="668"/>
      <c r="G4" s="668"/>
      <c r="H4" s="668"/>
    </row>
    <row r="5" spans="1:8" ht="15">
      <c r="A5" s="737" t="str">
        <f>inputPrYr!D4</f>
        <v>Ellsworth County</v>
      </c>
      <c r="B5" s="737"/>
      <c r="C5" s="737"/>
      <c r="D5" s="737"/>
      <c r="E5" s="737"/>
      <c r="F5" s="737"/>
      <c r="G5" s="737"/>
      <c r="H5" s="737"/>
    </row>
    <row r="6" spans="1:8" ht="15">
      <c r="A6" s="686" t="str">
        <f>CONCATENATE("will meet on ",inputBudSum!B7," at ",inputBudSum!B9," at ",inputBudSum!B11," for the purpose of hearing and")</f>
        <v>will meet on August 15, 2014 at 7:00 p.m. at Lawrence Rush Residence for the purpose of hearing and</v>
      </c>
      <c r="B6" s="686"/>
      <c r="C6" s="686"/>
      <c r="D6" s="686"/>
      <c r="E6" s="686"/>
      <c r="F6" s="686"/>
      <c r="G6" s="686"/>
      <c r="H6" s="686"/>
    </row>
    <row r="7" spans="1:8" ht="15">
      <c r="A7" s="78" t="s">
        <v>306</v>
      </c>
      <c r="B7" s="9"/>
      <c r="C7" s="9"/>
      <c r="D7" s="9"/>
      <c r="E7" s="9"/>
      <c r="F7" s="9"/>
      <c r="G7" s="9"/>
      <c r="H7" s="9"/>
    </row>
    <row r="8" spans="1:8" ht="15">
      <c r="A8" s="78" t="str">
        <f>CONCATENATE("Detailed budget information is available at ",inputBudSum!B14," and will be available at this hearing.")</f>
        <v>Detailed budget information is available at County Clerk's Office and will be available at this hearing.</v>
      </c>
      <c r="B8" s="9"/>
      <c r="C8" s="9"/>
      <c r="D8" s="9"/>
      <c r="E8" s="9"/>
      <c r="F8" s="9"/>
      <c r="G8" s="9"/>
      <c r="H8" s="9"/>
    </row>
    <row r="9" spans="1:8" ht="15">
      <c r="A9" s="8" t="s">
        <v>84</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80"/>
      <c r="C12" s="80"/>
      <c r="D12" s="80"/>
      <c r="E12" s="80"/>
      <c r="F12" s="80"/>
      <c r="G12" s="80"/>
      <c r="H12" s="80"/>
      <c r="J12" s="725" t="str">
        <f>CONCATENATE("Estimated Value Of One Mill For ",I3,"")</f>
        <v>Estimated Value Of One Mill For 2015</v>
      </c>
      <c r="K12" s="726"/>
      <c r="L12" s="726"/>
      <c r="M12" s="727"/>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2120</v>
      </c>
    </row>
    <row r="15" spans="1:13" ht="15">
      <c r="A15" s="141" t="s">
        <v>52</v>
      </c>
      <c r="B15" s="95" t="s">
        <v>53</v>
      </c>
      <c r="C15" s="266" t="s">
        <v>177</v>
      </c>
      <c r="D15" s="95" t="s">
        <v>53</v>
      </c>
      <c r="E15" s="266" t="s">
        <v>177</v>
      </c>
      <c r="F15" s="95" t="s">
        <v>531</v>
      </c>
      <c r="G15" s="735"/>
      <c r="H15" s="266" t="s">
        <v>177</v>
      </c>
      <c r="J15" s="1"/>
      <c r="K15" s="1"/>
      <c r="L15" s="1"/>
      <c r="M15" s="1"/>
    </row>
    <row r="16" spans="1:13" ht="15">
      <c r="A16" s="21" t="str">
        <f>inputPrYr!B19</f>
        <v>General</v>
      </c>
      <c r="B16" s="104">
        <f>IF(gen!$C$61&lt;&gt;0,gen!$C$61,"  ")</f>
        <v>4485</v>
      </c>
      <c r="C16" s="585">
        <f>IF(inputPrYr!D38&gt;0,inputPrYr!D38,"  ")</f>
        <v>2.031</v>
      </c>
      <c r="D16" s="524">
        <f>IF(gen!$D$61&lt;&gt;0,gen!$D$61,"  ")</f>
        <v>4514</v>
      </c>
      <c r="E16" s="588">
        <f>IF(inputOth!D16&gt;0,inputOth!D16,"  ")</f>
        <v>1.967</v>
      </c>
      <c r="F16" s="524">
        <f>IF(gen!$E$61&lt;&gt;0,gen!$E$61,"  ")</f>
        <v>4644</v>
      </c>
      <c r="G16" s="215">
        <f>IF(gen!$E$68&lt;&gt;0,gen!$E$68,"  ")</f>
        <v>4324</v>
      </c>
      <c r="H16" s="585">
        <f>IF(gen!E68&gt;0,ROUND(G16/$F$27*1000,3)," ")</f>
        <v>2.04</v>
      </c>
      <c r="J16" s="725" t="str">
        <f>CONCATENATE("Want The Mill Rate The Same As For ",I3-1,"?")</f>
        <v>Want The Mill Rate The Same As For 2014?</v>
      </c>
      <c r="K16" s="728"/>
      <c r="L16" s="728"/>
      <c r="M16" s="729"/>
    </row>
    <row r="17" spans="1:13" ht="1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1.967</v>
      </c>
    </row>
    <row r="19" spans="1:13" ht="1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-155</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125</v>
      </c>
      <c r="B23" s="582">
        <f>SUM(B16:B22)</f>
        <v>4485</v>
      </c>
      <c r="C23" s="587">
        <f aca="true" t="shared" si="0" ref="C23:H23">SUM(C16:C21)</f>
        <v>2.031</v>
      </c>
      <c r="D23" s="582">
        <f t="shared" si="0"/>
        <v>4514</v>
      </c>
      <c r="E23" s="590">
        <f t="shared" si="0"/>
        <v>1.967</v>
      </c>
      <c r="F23" s="582">
        <f t="shared" si="0"/>
        <v>4644</v>
      </c>
      <c r="G23" s="582">
        <f t="shared" si="0"/>
        <v>4324</v>
      </c>
      <c r="H23" s="590">
        <f t="shared" si="0"/>
        <v>2.04</v>
      </c>
      <c r="J23" s="725" t="str">
        <f>CONCATENATE("Impact On Keeping The Same Mill Rate As For ",I3-1,"")</f>
        <v>Impact On Keeping The Same Mill Rate As For 2014</v>
      </c>
      <c r="K23" s="730"/>
      <c r="L23" s="730"/>
      <c r="M23" s="731"/>
    </row>
    <row r="24" spans="1:13" ht="15">
      <c r="A24" s="18" t="s">
        <v>150</v>
      </c>
      <c r="B24" s="27">
        <f>transfers!C26</f>
        <v>0</v>
      </c>
      <c r="C24" s="107"/>
      <c r="D24" s="27">
        <f>transfers!D26</f>
        <v>0</v>
      </c>
      <c r="E24" s="107"/>
      <c r="F24" s="583">
        <f>transfers!E26</f>
        <v>0</v>
      </c>
      <c r="G24" s="210"/>
      <c r="H24" s="267"/>
      <c r="J24" s="470"/>
      <c r="K24" s="465"/>
      <c r="L24" s="465"/>
      <c r="M24" s="471"/>
    </row>
    <row r="25" spans="1:13" ht="15.75" thickBot="1">
      <c r="A25" s="18" t="s">
        <v>151</v>
      </c>
      <c r="B25" s="110">
        <f>SUM(B23-B24)</f>
        <v>4485</v>
      </c>
      <c r="C25" s="268"/>
      <c r="D25" s="110">
        <f>SUM(D23-D24)</f>
        <v>4514</v>
      </c>
      <c r="E25" s="268"/>
      <c r="F25" s="451">
        <f>SUM(F23-F24)</f>
        <v>4644</v>
      </c>
      <c r="G25" s="210"/>
      <c r="H25" s="267"/>
      <c r="J25" s="470" t="str">
        <f>CONCATENATE("",I3," Ad Valorem Tax Revenue:")</f>
        <v>2015 Ad Valorem Tax Revenue:</v>
      </c>
      <c r="K25" s="465"/>
      <c r="L25" s="465"/>
      <c r="M25" s="466">
        <f>G23</f>
        <v>4324</v>
      </c>
    </row>
    <row r="26" spans="1:13" ht="15.75" thickTop="1">
      <c r="A26" s="18" t="s">
        <v>54</v>
      </c>
      <c r="B26" s="582">
        <f>inputPrYr!E44</f>
        <v>4475</v>
      </c>
      <c r="C26" s="187"/>
      <c r="D26" s="582">
        <f>inputPrYr!E24</f>
        <v>4234</v>
      </c>
      <c r="E26" s="187"/>
      <c r="F26" s="64" t="s">
        <v>156</v>
      </c>
      <c r="G26" s="3"/>
      <c r="H26" s="3"/>
      <c r="J26" s="470" t="str">
        <f>CONCATENATE("",I3-1," Ad Valorem Tax Revenue:")</f>
        <v>2014 Ad Valorem Tax Revenue:</v>
      </c>
      <c r="K26" s="465"/>
      <c r="L26" s="465"/>
      <c r="M26" s="479">
        <f>ROUND(F27*M18/1000,0)</f>
        <v>4169</v>
      </c>
    </row>
    <row r="27" spans="1:13" ht="15">
      <c r="A27" s="18" t="s">
        <v>152</v>
      </c>
      <c r="B27" s="27">
        <f>inputPrYr!E45</f>
        <v>2054206</v>
      </c>
      <c r="C27" s="187"/>
      <c r="D27" s="27">
        <f>inputOth!E24</f>
        <v>2152852</v>
      </c>
      <c r="E27" s="187"/>
      <c r="F27" s="27">
        <f>inputOth!E7</f>
        <v>2119595</v>
      </c>
      <c r="G27" s="3"/>
      <c r="H27" s="3"/>
      <c r="J27" s="480" t="s">
        <v>638</v>
      </c>
      <c r="K27" s="481"/>
      <c r="L27" s="481"/>
      <c r="M27" s="469">
        <f>M25-M26</f>
        <v>155</v>
      </c>
    </row>
    <row r="28" spans="1:13" ht="15">
      <c r="A28" s="5"/>
      <c r="B28" s="210"/>
      <c r="C28" s="53"/>
      <c r="D28" s="210"/>
      <c r="E28" s="53"/>
      <c r="F28" s="210"/>
      <c r="G28" s="3"/>
      <c r="H28" s="3"/>
      <c r="J28" s="482"/>
      <c r="K28" s="482"/>
      <c r="L28" s="482"/>
      <c r="M28" s="478"/>
    </row>
    <row r="29" spans="1:13" ht="15">
      <c r="A29" s="2" t="s">
        <v>55</v>
      </c>
      <c r="B29" s="3"/>
      <c r="C29" s="3"/>
      <c r="D29" s="3"/>
      <c r="E29" s="3"/>
      <c r="F29" s="3"/>
      <c r="G29" s="3"/>
      <c r="H29" s="3"/>
      <c r="J29" s="725" t="s">
        <v>639</v>
      </c>
      <c r="K29" s="728"/>
      <c r="L29" s="728"/>
      <c r="M29" s="729"/>
    </row>
    <row r="30" spans="1:13" ht="15">
      <c r="A30" s="2" t="s">
        <v>149</v>
      </c>
      <c r="B30" s="79">
        <f>I3-3</f>
        <v>2012</v>
      </c>
      <c r="C30" s="3"/>
      <c r="D30" s="79">
        <f>I3-2</f>
        <v>2013</v>
      </c>
      <c r="E30" s="3"/>
      <c r="F30" s="79">
        <f>I3-1</f>
        <v>2014</v>
      </c>
      <c r="G30" s="3"/>
      <c r="H30" s="3"/>
      <c r="J30" s="470"/>
      <c r="K30" s="465"/>
      <c r="L30" s="465"/>
      <c r="M30" s="471"/>
    </row>
    <row r="31" spans="1:13" ht="1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2.04</v>
      </c>
    </row>
    <row r="32" spans="1:13" ht="1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58</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59</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
      <c r="A40" s="732" t="str">
        <f>inputBudSum!B3</f>
        <v>Buckeye Cemetery</v>
      </c>
      <c r="B40" s="694"/>
      <c r="C40" s="80"/>
      <c r="D40" s="3"/>
      <c r="E40" s="3"/>
      <c r="F40" s="3"/>
      <c r="G40" s="3"/>
      <c r="H40" s="37"/>
    </row>
    <row r="41" spans="1:8" ht="15">
      <c r="A41" s="738" t="str">
        <f>inputBudSum!B5</f>
        <v>Janet Andrews, Treasurer</v>
      </c>
      <c r="B41" s="739"/>
      <c r="C41" s="3"/>
      <c r="D41" s="115" t="s">
        <v>44</v>
      </c>
      <c r="E41" s="453"/>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72" t="str">
        <f>inputPrYr!D3</f>
        <v>Buckeye Cemetery</v>
      </c>
      <c r="B1" s="37"/>
      <c r="C1" s="37"/>
      <c r="D1" s="37"/>
      <c r="E1" s="37"/>
      <c r="F1" s="37">
        <f>inputPrYr!D6</f>
        <v>2015</v>
      </c>
    </row>
    <row r="2" spans="1:6" ht="15">
      <c r="A2" s="272"/>
      <c r="B2" s="37"/>
      <c r="C2" s="37"/>
      <c r="D2" s="37"/>
      <c r="E2" s="37"/>
      <c r="F2" s="37"/>
    </row>
    <row r="3" spans="1:6" ht="15">
      <c r="A3" s="37"/>
      <c r="B3" s="37"/>
      <c r="C3" s="37"/>
      <c r="D3" s="37"/>
      <c r="E3" s="37"/>
      <c r="F3" s="37"/>
    </row>
    <row r="4" spans="1:6" ht="15">
      <c r="A4" s="3"/>
      <c r="B4" s="685" t="str">
        <f>CONCATENATE("",F1," Neighborhood Revitalization Rebate")</f>
        <v>2015 Neighborhood Revitalization Rebate</v>
      </c>
      <c r="C4" s="742"/>
      <c r="D4" s="742"/>
      <c r="E4" s="733"/>
      <c r="F4" s="37"/>
    </row>
    <row r="5" spans="1:6" ht="1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
      <c r="A7" s="3"/>
      <c r="B7" s="275" t="str">
        <f>inputPrYr!B19</f>
        <v>General</v>
      </c>
      <c r="C7" s="276"/>
      <c r="D7" s="277">
        <f aca="true" t="shared" si="0" ref="D7:D12">IF(C7&gt;0,C7/$D$18,"")</f>
      </c>
      <c r="E7" s="101">
        <f aca="true" t="shared" si="1" ref="E7:E12">IF(C7&gt;0,ROUND(D7*$D$22,0),"")</f>
      </c>
      <c r="F7" s="37"/>
    </row>
    <row r="8" spans="1:6" ht="15">
      <c r="A8" s="3"/>
      <c r="B8" s="275" t="str">
        <f>inputPrYr!B20</f>
        <v>Debt Service</v>
      </c>
      <c r="C8" s="276"/>
      <c r="D8" s="277">
        <f t="shared" si="0"/>
      </c>
      <c r="E8" s="101">
        <f t="shared" si="1"/>
      </c>
      <c r="F8" s="37"/>
    </row>
    <row r="9" spans="1:6" ht="15">
      <c r="A9" s="3"/>
      <c r="B9" s="104" t="str">
        <f>IF(inputPrYr!$B22&gt;"  ",(inputPrYr!$B22),"  ")</f>
        <v>  </v>
      </c>
      <c r="C9" s="276"/>
      <c r="D9" s="277">
        <f t="shared" si="0"/>
      </c>
      <c r="E9" s="101">
        <f t="shared" si="1"/>
      </c>
      <c r="F9" s="37"/>
    </row>
    <row r="10" spans="1:6" ht="15">
      <c r="A10" s="3"/>
      <c r="B10" s="104" t="str">
        <f>IF(inputPrYr!$B23&gt;"  ",(inputPrYr!$B23),"  ")</f>
        <v>  </v>
      </c>
      <c r="C10" s="276"/>
      <c r="D10" s="277">
        <f t="shared" si="0"/>
      </c>
      <c r="E10" s="101">
        <f t="shared" si="1"/>
      </c>
      <c r="F10" s="37"/>
    </row>
    <row r="11" spans="1:6" ht="15">
      <c r="A11" s="3"/>
      <c r="B11" s="104"/>
      <c r="C11" s="276"/>
      <c r="D11" s="277">
        <f t="shared" si="0"/>
      </c>
      <c r="E11" s="101">
        <f t="shared" si="1"/>
      </c>
      <c r="F11" s="37"/>
    </row>
    <row r="12" spans="1:6" ht="15">
      <c r="A12" s="3"/>
      <c r="B12" s="104"/>
      <c r="C12" s="276"/>
      <c r="D12" s="277">
        <f t="shared" si="0"/>
      </c>
      <c r="E12" s="101">
        <f t="shared" si="1"/>
      </c>
      <c r="F12" s="37"/>
    </row>
    <row r="13" spans="1:6" ht="15.75" thickBot="1">
      <c r="A13" s="3"/>
      <c r="B13" s="21" t="s">
        <v>188</v>
      </c>
      <c r="C13" s="278">
        <f>SUM(C7:C12)</f>
        <v>0</v>
      </c>
      <c r="D13" s="279">
        <f>SUM(D7:D12)</f>
        <v>0</v>
      </c>
      <c r="E13" s="278">
        <f>SUM(E7:E12)</f>
        <v>0</v>
      </c>
      <c r="F13" s="37"/>
    </row>
    <row r="14" spans="1:6" ht="15.75" thickTop="1">
      <c r="A14" s="3"/>
      <c r="B14" s="3"/>
      <c r="C14" s="3"/>
      <c r="D14" s="3"/>
      <c r="E14" s="3"/>
      <c r="F14" s="37"/>
    </row>
    <row r="15" spans="1:6" ht="15">
      <c r="A15" s="3"/>
      <c r="B15" s="3"/>
      <c r="C15" s="3"/>
      <c r="D15" s="3"/>
      <c r="E15" s="3"/>
      <c r="F15" s="37"/>
    </row>
    <row r="16" spans="1:6" ht="15">
      <c r="A16" s="743" t="str">
        <f>CONCATENATE("",F1-1," July 1 Valuation:")</f>
        <v>2014 July 1 Valuation:</v>
      </c>
      <c r="B16" s="741"/>
      <c r="C16" s="743"/>
      <c r="D16" s="280">
        <f>inputOth!E7</f>
        <v>2119595</v>
      </c>
      <c r="E16" s="3"/>
      <c r="F16" s="37"/>
    </row>
    <row r="17" spans="1:6" ht="15">
      <c r="A17" s="3"/>
      <c r="B17" s="3"/>
      <c r="C17" s="3"/>
      <c r="D17" s="3"/>
      <c r="E17" s="3"/>
      <c r="F17" s="37"/>
    </row>
    <row r="18" spans="1:6" ht="15">
      <c r="A18" s="3"/>
      <c r="B18" s="743" t="s">
        <v>295</v>
      </c>
      <c r="C18" s="743"/>
      <c r="D18" s="281">
        <f>IF(D16&gt;0,(D16*0.001),"")</f>
        <v>2119.5950000000003</v>
      </c>
      <c r="E18" s="3"/>
      <c r="F18" s="37"/>
    </row>
    <row r="19" spans="1:6" ht="15">
      <c r="A19" s="3"/>
      <c r="B19" s="115"/>
      <c r="C19" s="115"/>
      <c r="D19" s="282"/>
      <c r="E19" s="3"/>
      <c r="F19" s="37"/>
    </row>
    <row r="20" spans="1:6" ht="15">
      <c r="A20" s="740" t="s">
        <v>293</v>
      </c>
      <c r="B20" s="733"/>
      <c r="C20" s="733"/>
      <c r="D20" s="283">
        <f>inputOth!E12</f>
        <v>0</v>
      </c>
      <c r="E20" s="47"/>
      <c r="F20" s="47"/>
    </row>
    <row r="21" spans="1:6" ht="15">
      <c r="A21" s="47"/>
      <c r="B21" s="47"/>
      <c r="C21" s="47"/>
      <c r="D21" s="284"/>
      <c r="E21" s="47"/>
      <c r="F21" s="47"/>
    </row>
    <row r="22" spans="1:6" ht="1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31" t="s">
        <v>520</v>
      </c>
      <c r="B27" s="47"/>
      <c r="C27" s="47"/>
      <c r="D27" s="47"/>
      <c r="E27" s="47"/>
      <c r="F27" s="47"/>
    </row>
    <row r="28" spans="1:6" ht="15">
      <c r="A28" s="331"/>
      <c r="B28" s="47"/>
      <c r="C28" s="47"/>
      <c r="D28" s="47"/>
      <c r="E28" s="47"/>
      <c r="F28" s="47"/>
    </row>
    <row r="29" spans="1:6" ht="15">
      <c r="A29" s="331"/>
      <c r="B29" s="47"/>
      <c r="C29" s="47"/>
      <c r="D29" s="47"/>
      <c r="E29" s="47"/>
      <c r="F29" s="47"/>
    </row>
    <row r="30" spans="1:6" ht="15">
      <c r="A30" s="331"/>
      <c r="B30" s="47"/>
      <c r="C30" s="47"/>
      <c r="D30" s="47"/>
      <c r="E30" s="47"/>
      <c r="F30" s="47"/>
    </row>
    <row r="31" spans="1:6" ht="15">
      <c r="A31" s="331"/>
      <c r="B31" s="47"/>
      <c r="C31" s="47"/>
      <c r="D31" s="47"/>
      <c r="E31" s="47"/>
      <c r="F31" s="47"/>
    </row>
    <row r="32" spans="1:6" ht="15">
      <c r="A32" s="331"/>
      <c r="B32" s="47"/>
      <c r="C32" s="47"/>
      <c r="D32" s="47"/>
      <c r="E32" s="47"/>
      <c r="F32" s="47"/>
    </row>
    <row r="33" spans="1:6" ht="15">
      <c r="A33" s="331"/>
      <c r="B33" s="47"/>
      <c r="C33" s="47"/>
      <c r="D33" s="47"/>
      <c r="E33" s="47"/>
      <c r="F33" s="47"/>
    </row>
    <row r="34" spans="1:6" ht="15">
      <c r="A34" s="47"/>
      <c r="B34" s="47"/>
      <c r="C34" s="47"/>
      <c r="D34" s="47"/>
      <c r="E34" s="47"/>
      <c r="F34" s="47"/>
    </row>
    <row r="35" spans="1:6" ht="1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38"/>
      <c r="D2" s="638"/>
      <c r="E2" s="638"/>
      <c r="F2" s="638"/>
      <c r="G2" s="638"/>
      <c r="H2" s="638"/>
      <c r="I2" s="642">
        <f>inputPrYr!D6</f>
        <v>2015</v>
      </c>
    </row>
    <row r="3" spans="3:9" ht="15" thickBot="1">
      <c r="C3" s="638"/>
      <c r="D3" s="638"/>
      <c r="E3" s="638"/>
      <c r="F3" s="638"/>
      <c r="G3" s="638"/>
      <c r="H3" s="638"/>
      <c r="I3" s="638"/>
    </row>
    <row r="4" spans="3:9" ht="18" thickBot="1">
      <c r="C4" s="747" t="s">
        <v>770</v>
      </c>
      <c r="D4" s="748"/>
      <c r="E4" s="748"/>
      <c r="F4" s="748"/>
      <c r="G4" s="748"/>
      <c r="H4" s="748"/>
      <c r="I4" s="749"/>
    </row>
    <row r="5" spans="3:9" ht="15.75" thickBot="1">
      <c r="C5" s="639"/>
      <c r="D5" s="639"/>
      <c r="E5" s="640"/>
      <c r="F5" s="641"/>
      <c r="G5" s="639"/>
      <c r="H5" s="639"/>
      <c r="I5" s="639"/>
    </row>
    <row r="6" spans="3:9" ht="15">
      <c r="C6" s="750" t="str">
        <f>CONCATENATE("Notice of Vote - ",inputPrYr!D3)</f>
        <v>Notice of Vote - Buckeye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68" t="s">
        <v>7</v>
      </c>
      <c r="B1" s="669"/>
      <c r="C1" s="669"/>
      <c r="D1" s="669"/>
      <c r="E1" s="669"/>
    </row>
    <row r="2" spans="1:5" ht="15">
      <c r="A2" s="2"/>
      <c r="B2" s="3"/>
      <c r="C2" s="3"/>
      <c r="D2" s="3"/>
      <c r="E2" s="3"/>
    </row>
    <row r="3" spans="1:5" ht="15">
      <c r="A3" s="4" t="s">
        <v>122</v>
      </c>
      <c r="B3" s="3"/>
      <c r="C3" s="3"/>
      <c r="D3" s="602" t="s">
        <v>794</v>
      </c>
      <c r="E3" s="5"/>
    </row>
    <row r="4" spans="1:5" ht="15">
      <c r="A4" s="4" t="s">
        <v>204</v>
      </c>
      <c r="B4" s="3"/>
      <c r="C4" s="3"/>
      <c r="D4" s="602" t="s">
        <v>795</v>
      </c>
      <c r="E4" s="5"/>
    </row>
    <row r="5" spans="1:5" ht="15">
      <c r="A5" s="2"/>
      <c r="B5" s="3"/>
      <c r="C5" s="3"/>
      <c r="D5" s="6"/>
      <c r="E5" s="5"/>
    </row>
    <row r="6" spans="1:5" ht="15">
      <c r="A6" s="4" t="s">
        <v>133</v>
      </c>
      <c r="B6" s="3"/>
      <c r="C6" s="3"/>
      <c r="D6" s="7">
        <v>2015</v>
      </c>
      <c r="E6" s="5"/>
    </row>
    <row r="7" spans="1:5" ht="15">
      <c r="A7" s="3"/>
      <c r="B7" s="3"/>
      <c r="C7" s="3"/>
      <c r="D7" s="3"/>
      <c r="E7" s="3"/>
    </row>
    <row r="8" spans="1:5" ht="15">
      <c r="A8" s="670" t="s">
        <v>185</v>
      </c>
      <c r="B8" s="671"/>
      <c r="C8" s="671"/>
      <c r="D8" s="671"/>
      <c r="E8" s="671"/>
    </row>
    <row r="9" spans="1:5" ht="15">
      <c r="A9" s="8" t="s">
        <v>78</v>
      </c>
      <c r="B9" s="9"/>
      <c r="C9" s="9"/>
      <c r="D9" s="9"/>
      <c r="E9" s="9"/>
    </row>
    <row r="10" spans="1:8" ht="15">
      <c r="A10" s="672" t="s">
        <v>184</v>
      </c>
      <c r="B10" s="673"/>
      <c r="C10" s="673"/>
      <c r="D10" s="673"/>
      <c r="E10" s="673"/>
      <c r="F10" s="3"/>
      <c r="G10" s="661" t="s">
        <v>674</v>
      </c>
      <c r="H10" s="662"/>
    </row>
    <row r="11" spans="1:8" ht="15">
      <c r="A11" s="10"/>
      <c r="B11" s="3"/>
      <c r="C11" s="3"/>
      <c r="D11" s="3"/>
      <c r="E11" s="3"/>
      <c r="F11" s="3"/>
      <c r="G11" s="663"/>
      <c r="H11" s="662"/>
    </row>
    <row r="12" spans="1:8" ht="15">
      <c r="A12" s="666" t="s">
        <v>175</v>
      </c>
      <c r="B12" s="667"/>
      <c r="C12" s="667"/>
      <c r="D12" s="667"/>
      <c r="E12" s="667"/>
      <c r="F12" s="3"/>
      <c r="G12" s="663"/>
      <c r="H12" s="662"/>
    </row>
    <row r="13" spans="1:8" ht="15">
      <c r="A13" s="10"/>
      <c r="B13" s="3"/>
      <c r="C13" s="3"/>
      <c r="D13" s="3"/>
      <c r="E13" s="3"/>
      <c r="F13" s="3"/>
      <c r="G13" s="663"/>
      <c r="H13" s="662"/>
    </row>
    <row r="14" spans="1:8" ht="15">
      <c r="A14" s="11" t="s">
        <v>137</v>
      </c>
      <c r="B14" s="12"/>
      <c r="C14" s="3"/>
      <c r="D14" s="3"/>
      <c r="E14" s="3"/>
      <c r="F14" s="3"/>
      <c r="G14" s="663"/>
      <c r="H14" s="662"/>
    </row>
    <row r="15" spans="1:8" ht="15">
      <c r="A15" s="13" t="str">
        <f>CONCATENATE("the ",D6-1," Budget, Certificate Page:")</f>
        <v>the 2014 Budget, Certificate Page:</v>
      </c>
      <c r="B15" s="14"/>
      <c r="C15" s="3"/>
      <c r="D15" s="3"/>
      <c r="E15" s="3"/>
      <c r="F15" s="3"/>
      <c r="G15" s="663"/>
      <c r="H15" s="662"/>
    </row>
    <row r="16" spans="1:8" ht="15">
      <c r="A16" s="13" t="s">
        <v>253</v>
      </c>
      <c r="B16" s="14"/>
      <c r="C16" s="3"/>
      <c r="D16" s="3"/>
      <c r="E16" s="3"/>
      <c r="F16" s="3"/>
      <c r="G16" s="53"/>
      <c r="H16" s="37"/>
    </row>
    <row r="17" spans="1:8" ht="15">
      <c r="A17" s="3"/>
      <c r="B17" s="3"/>
      <c r="C17" s="15"/>
      <c r="D17" s="16">
        <f>D6-1</f>
        <v>2014</v>
      </c>
      <c r="E17" s="674" t="str">
        <f>CONCATENATE("Amount of ",D6-2,"     Ad Valorem Tax")</f>
        <v>Amount of 2013     Ad Valorem Tax</v>
      </c>
      <c r="G17" s="83" t="s">
        <v>675</v>
      </c>
      <c r="H17" s="92" t="s">
        <v>43</v>
      </c>
    </row>
    <row r="18" spans="1:8" ht="15">
      <c r="A18" s="2" t="s">
        <v>8</v>
      </c>
      <c r="B18" s="3"/>
      <c r="C18" s="15" t="s">
        <v>9</v>
      </c>
      <c r="D18" s="17" t="s">
        <v>254</v>
      </c>
      <c r="E18" s="675"/>
      <c r="G18" s="95" t="str">
        <f>CONCATENATE("",D6-2," Ad Valorem Tax")</f>
        <v>2013 Ad Valorem Tax</v>
      </c>
      <c r="H18" s="499">
        <v>0</v>
      </c>
    </row>
    <row r="19" spans="1:7" ht="15">
      <c r="A19" s="3"/>
      <c r="B19" s="18" t="s">
        <v>10</v>
      </c>
      <c r="C19" s="572"/>
      <c r="D19" s="20">
        <v>4514</v>
      </c>
      <c r="E19" s="20">
        <v>4234</v>
      </c>
      <c r="G19" s="30">
        <f>IF(H18&gt;0,ROUND(E19-(E19*H18),0),0)</f>
        <v>0</v>
      </c>
    </row>
    <row r="20" spans="1:7" ht="15">
      <c r="A20" s="3"/>
      <c r="B20" s="18" t="s">
        <v>249</v>
      </c>
      <c r="C20" s="92" t="s">
        <v>139</v>
      </c>
      <c r="D20" s="20"/>
      <c r="E20" s="20"/>
      <c r="G20" s="30">
        <f>IF(H18&gt;0,ROUND(E20-(E20*H18),0),0)</f>
        <v>0</v>
      </c>
    </row>
    <row r="21" spans="1:5" ht="15">
      <c r="A21" s="2" t="s">
        <v>11</v>
      </c>
      <c r="B21" s="3"/>
      <c r="C21" s="3"/>
      <c r="D21" s="22"/>
      <c r="E21" s="23"/>
    </row>
    <row r="22" spans="1:7" ht="15">
      <c r="A22" s="3"/>
      <c r="B22" s="19"/>
      <c r="C22" s="359"/>
      <c r="D22" s="20"/>
      <c r="E22" s="20"/>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4234</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4514</v>
      </c>
      <c r="E28" s="22"/>
    </row>
    <row r="29" spans="1:5" ht="15">
      <c r="A29" s="3" t="s">
        <v>221</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137</v>
      </c>
      <c r="B36" s="12"/>
      <c r="C36" s="3"/>
      <c r="D36" s="664" t="str">
        <f>CONCATENATE("",D6-3," Tax Rate          (",D6-2," Column)")</f>
        <v>2012 Tax Rate          (2013 Column)</v>
      </c>
      <c r="E36" s="22"/>
    </row>
    <row r="37" spans="1:5" ht="15">
      <c r="A37" s="13" t="str">
        <f>CONCATENATE("the ",D6-1," Budget, Budget Summary Page:")</f>
        <v>the 2014 Budget, Budget Summary Page:</v>
      </c>
      <c r="B37" s="14"/>
      <c r="C37" s="3"/>
      <c r="D37" s="665"/>
      <c r="E37" s="22"/>
    </row>
    <row r="38" spans="1:5" ht="15">
      <c r="A38" s="3"/>
      <c r="B38" s="21" t="str">
        <f>B19</f>
        <v>General</v>
      </c>
      <c r="C38" s="3"/>
      <c r="D38" s="32">
        <v>2.031</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2.031</v>
      </c>
      <c r="E42" s="22"/>
    </row>
    <row r="43" spans="1:5" ht="15.75" thickTop="1">
      <c r="A43" s="3"/>
      <c r="B43" s="3"/>
      <c r="C43" s="3"/>
      <c r="D43" s="3"/>
      <c r="E43" s="22"/>
    </row>
    <row r="44" spans="1:5" ht="15">
      <c r="A44" s="34" t="str">
        <f>CONCATENATE("Total Tax Levied (",D6-2," budget column)")</f>
        <v>Total Tax Levied (2013 budget column)</v>
      </c>
      <c r="B44" s="12"/>
      <c r="C44" s="3"/>
      <c r="D44" s="3"/>
      <c r="E44" s="35">
        <v>4475</v>
      </c>
    </row>
    <row r="45" spans="1:5" ht="15">
      <c r="A45" s="34" t="str">
        <f>CONCATENATE("Assessed Valuation (",D6-2," budget column)")</f>
        <v>Assessed Valuation (2013 budget column)</v>
      </c>
      <c r="B45" s="12"/>
      <c r="C45" s="3"/>
      <c r="D45" s="3"/>
      <c r="E45" s="36">
        <v>2054206</v>
      </c>
    </row>
    <row r="46" spans="1:5" ht="15">
      <c r="A46" s="3"/>
      <c r="B46" s="3"/>
      <c r="C46" s="3"/>
      <c r="D46" s="3"/>
      <c r="E46" s="22"/>
    </row>
    <row r="47" spans="1:5" ht="15">
      <c r="A47" s="12" t="s">
        <v>186</v>
      </c>
      <c r="B47" s="12"/>
      <c r="C47" s="37"/>
      <c r="D47" s="38">
        <f>D6-3</f>
        <v>2012</v>
      </c>
      <c r="E47" s="38">
        <f>D6-2</f>
        <v>2013</v>
      </c>
    </row>
    <row r="48" spans="1:5" ht="15">
      <c r="A48" s="39" t="s">
        <v>134</v>
      </c>
      <c r="B48" s="39"/>
      <c r="C48" s="40"/>
      <c r="D48" s="41"/>
      <c r="E48" s="41"/>
    </row>
    <row r="49" spans="1:5" ht="15">
      <c r="A49" s="42" t="s">
        <v>135</v>
      </c>
      <c r="B49" s="42"/>
      <c r="C49" s="43"/>
      <c r="D49" s="41"/>
      <c r="E49" s="41"/>
    </row>
    <row r="50" spans="1:5" ht="15">
      <c r="A50" s="42" t="s">
        <v>634</v>
      </c>
      <c r="B50" s="42"/>
      <c r="C50" s="43"/>
      <c r="D50" s="41"/>
      <c r="E50" s="41"/>
    </row>
    <row r="51" spans="1:5" ht="15">
      <c r="A51" s="42" t="s">
        <v>136</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38"/>
      <c r="D2" s="638"/>
      <c r="E2" s="638"/>
      <c r="F2" s="638"/>
      <c r="G2" s="638"/>
      <c r="H2" s="642">
        <f>inputPrYr!D6</f>
        <v>2015</v>
      </c>
    </row>
    <row r="3" spans="3:8" ht="15" thickBot="1">
      <c r="C3" s="638"/>
      <c r="D3" s="638"/>
      <c r="E3" s="638"/>
      <c r="F3" s="638"/>
      <c r="G3" s="638"/>
      <c r="H3" s="638"/>
    </row>
    <row r="4" spans="3:8" ht="18" thickBot="1">
      <c r="C4" s="753" t="s">
        <v>771</v>
      </c>
      <c r="D4" s="754"/>
      <c r="E4" s="754"/>
      <c r="F4" s="754"/>
      <c r="G4" s="754"/>
      <c r="H4" s="755"/>
    </row>
    <row r="5" spans="3:8" ht="15.75" thickBot="1">
      <c r="C5" s="643"/>
      <c r="D5" s="643"/>
      <c r="E5" s="643"/>
      <c r="F5" s="643"/>
      <c r="G5" s="643"/>
      <c r="H5" s="643"/>
    </row>
    <row r="6" spans="3:8" ht="15">
      <c r="C6" s="750" t="str">
        <f>CONCATENATE("Notice of Vote - ",inputPrYr!D3)</f>
        <v>Notice of Vote - Buckeye Cemetery</v>
      </c>
      <c r="D6" s="751"/>
      <c r="E6" s="751"/>
      <c r="F6" s="751"/>
      <c r="G6" s="751"/>
      <c r="H6" s="752"/>
    </row>
    <row r="7" spans="3:8" ht="15">
      <c r="C7" s="756" t="s">
        <v>772</v>
      </c>
      <c r="D7" s="757"/>
      <c r="E7" s="757"/>
      <c r="F7" s="757"/>
      <c r="G7" s="757"/>
      <c r="H7" s="758"/>
    </row>
    <row r="8" spans="3:8" ht="15">
      <c r="C8" s="756" t="s">
        <v>773</v>
      </c>
      <c r="D8" s="757"/>
      <c r="E8" s="757"/>
      <c r="F8" s="757"/>
      <c r="G8" s="757"/>
      <c r="H8" s="758"/>
    </row>
    <row r="9" spans="3:8" ht="15">
      <c r="C9" s="646" t="str">
        <f>CONCATENATE(H2-1," Budget")</f>
        <v>2014 Budget</v>
      </c>
      <c r="D9" s="650" t="s">
        <v>93</v>
      </c>
      <c r="E9" s="652">
        <f>inputPrYr!E24</f>
        <v>4234</v>
      </c>
      <c r="F9" s="644"/>
      <c r="G9" s="644"/>
      <c r="H9" s="645"/>
    </row>
    <row r="10" spans="3:8" ht="15">
      <c r="C10" s="646" t="str">
        <f>CONCATENATE(H2," Budget")</f>
        <v>2015 Budget</v>
      </c>
      <c r="D10" s="650" t="s">
        <v>93</v>
      </c>
      <c r="E10" s="653">
        <f>cert!F30</f>
        <v>4324</v>
      </c>
      <c r="F10" s="644"/>
      <c r="G10" s="644"/>
      <c r="H10" s="645"/>
    </row>
    <row r="11" spans="3:8" ht="15">
      <c r="C11" s="646"/>
      <c r="D11" s="644"/>
      <c r="E11" s="644" t="s">
        <v>774</v>
      </c>
      <c r="F11" s="654"/>
      <c r="G11" s="649" t="s">
        <v>775</v>
      </c>
      <c r="H11" s="655"/>
    </row>
    <row r="12" spans="3:8" ht="15.7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69921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3.5">
      <c r="A8" s="360"/>
      <c r="B8" s="763" t="s">
        <v>539</v>
      </c>
      <c r="C8" s="763"/>
      <c r="D8" s="763"/>
      <c r="E8" s="763"/>
      <c r="F8" s="763"/>
      <c r="G8" s="763"/>
      <c r="H8" s="763"/>
      <c r="I8" s="763"/>
      <c r="J8" s="763"/>
      <c r="K8" s="763"/>
      <c r="L8" s="360"/>
    </row>
    <row r="9" spans="1:12" ht="13.5">
      <c r="A9" s="360"/>
      <c r="L9" s="360"/>
    </row>
    <row r="10" spans="1:12" ht="13.5">
      <c r="A10" s="360"/>
      <c r="B10" s="763" t="s">
        <v>540</v>
      </c>
      <c r="C10" s="763"/>
      <c r="D10" s="763"/>
      <c r="E10" s="763"/>
      <c r="F10" s="763"/>
      <c r="G10" s="763"/>
      <c r="H10" s="763"/>
      <c r="I10" s="763"/>
      <c r="J10" s="763"/>
      <c r="K10" s="763"/>
      <c r="L10" s="360"/>
    </row>
    <row r="11" spans="1:12" ht="13.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3.5">
      <c r="A13" s="360"/>
      <c r="L13" s="360"/>
    </row>
    <row r="14" spans="1:12" ht="13.5">
      <c r="A14" s="360"/>
      <c r="B14" s="364" t="s">
        <v>542</v>
      </c>
      <c r="L14" s="360"/>
    </row>
    <row r="15" spans="1:12" ht="13.5">
      <c r="A15" s="360"/>
      <c r="L15" s="360"/>
    </row>
    <row r="16" spans="1:12" ht="13.5">
      <c r="A16" s="360"/>
      <c r="B16" s="362" t="s">
        <v>543</v>
      </c>
      <c r="L16" s="360"/>
    </row>
    <row r="17" spans="1:12" ht="13.5">
      <c r="A17" s="360"/>
      <c r="B17" s="362" t="s">
        <v>544</v>
      </c>
      <c r="L17" s="360"/>
    </row>
    <row r="18" spans="1:12" ht="13.5">
      <c r="A18" s="360"/>
      <c r="L18" s="360"/>
    </row>
    <row r="19" spans="1:12" ht="13.5">
      <c r="A19" s="360"/>
      <c r="B19" s="364" t="s">
        <v>668</v>
      </c>
      <c r="L19" s="360"/>
    </row>
    <row r="20" spans="1:12" ht="13.5">
      <c r="A20" s="360"/>
      <c r="B20" s="364"/>
      <c r="L20" s="360"/>
    </row>
    <row r="21" spans="1:12" ht="13.5">
      <c r="A21" s="360"/>
      <c r="B21" s="362" t="s">
        <v>669</v>
      </c>
      <c r="L21" s="360"/>
    </row>
    <row r="22" spans="1:12" ht="13.5">
      <c r="A22" s="360"/>
      <c r="L22" s="360"/>
    </row>
    <row r="23" spans="1:12" ht="13.5">
      <c r="A23" s="360"/>
      <c r="B23" s="362" t="s">
        <v>545</v>
      </c>
      <c r="E23" s="362" t="s">
        <v>546</v>
      </c>
      <c r="F23" s="765">
        <v>312000000</v>
      </c>
      <c r="G23" s="765"/>
      <c r="L23" s="360"/>
    </row>
    <row r="24" spans="1:12" ht="13.5">
      <c r="A24" s="360"/>
      <c r="L24" s="360"/>
    </row>
    <row r="25" spans="1:12" ht="13.5">
      <c r="A25" s="360"/>
      <c r="C25" s="766">
        <f>F23</f>
        <v>312000000</v>
      </c>
      <c r="D25" s="766"/>
      <c r="E25" s="362" t="s">
        <v>547</v>
      </c>
      <c r="F25" s="365">
        <v>1000</v>
      </c>
      <c r="G25" s="365" t="s">
        <v>546</v>
      </c>
      <c r="H25" s="498">
        <f>F23/F25</f>
        <v>312000</v>
      </c>
      <c r="L25" s="360"/>
    </row>
    <row r="26" spans="1:12" ht="14.25" thickBot="1">
      <c r="A26" s="360"/>
      <c r="L26" s="360"/>
    </row>
    <row r="27" spans="1:12" ht="13.5">
      <c r="A27" s="360"/>
      <c r="B27" s="366" t="s">
        <v>542</v>
      </c>
      <c r="C27" s="367"/>
      <c r="D27" s="367"/>
      <c r="E27" s="367"/>
      <c r="F27" s="367"/>
      <c r="G27" s="367"/>
      <c r="H27" s="367"/>
      <c r="I27" s="367"/>
      <c r="J27" s="367"/>
      <c r="K27" s="368"/>
      <c r="L27" s="360"/>
    </row>
    <row r="28" spans="1:12" ht="13.5">
      <c r="A28" s="360"/>
      <c r="B28" s="369">
        <f>F23</f>
        <v>312000000</v>
      </c>
      <c r="C28" s="370" t="s">
        <v>548</v>
      </c>
      <c r="D28" s="370"/>
      <c r="E28" s="370" t="s">
        <v>547</v>
      </c>
      <c r="F28" s="493">
        <v>1000</v>
      </c>
      <c r="G28" s="493" t="s">
        <v>546</v>
      </c>
      <c r="H28" s="371">
        <f>B28/F28</f>
        <v>312000</v>
      </c>
      <c r="I28" s="370" t="s">
        <v>549</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3.5">
      <c r="A31" s="360"/>
      <c r="B31" s="763" t="s">
        <v>550</v>
      </c>
      <c r="C31" s="763"/>
      <c r="D31" s="763"/>
      <c r="E31" s="763"/>
      <c r="F31" s="763"/>
      <c r="G31" s="763"/>
      <c r="H31" s="763"/>
      <c r="I31" s="763"/>
      <c r="J31" s="763"/>
      <c r="K31" s="763"/>
      <c r="L31" s="360"/>
    </row>
    <row r="32" spans="1:12" ht="13.5">
      <c r="A32" s="360"/>
      <c r="L32" s="360"/>
    </row>
    <row r="33" spans="1:12" ht="13.5">
      <c r="A33" s="360"/>
      <c r="B33" s="763" t="s">
        <v>551</v>
      </c>
      <c r="C33" s="763"/>
      <c r="D33" s="763"/>
      <c r="E33" s="763"/>
      <c r="F33" s="763"/>
      <c r="G33" s="763"/>
      <c r="H33" s="763"/>
      <c r="I33" s="763"/>
      <c r="J33" s="763"/>
      <c r="K33" s="763"/>
      <c r="L33" s="360"/>
    </row>
    <row r="34" spans="1:12" ht="13.5">
      <c r="A34" s="360"/>
      <c r="L34" s="360"/>
    </row>
    <row r="35" spans="1:12" ht="89.25" customHeight="1">
      <c r="A35" s="360"/>
      <c r="B35" s="764" t="s">
        <v>552</v>
      </c>
      <c r="C35" s="768"/>
      <c r="D35" s="768"/>
      <c r="E35" s="768"/>
      <c r="F35" s="768"/>
      <c r="G35" s="768"/>
      <c r="H35" s="768"/>
      <c r="I35" s="768"/>
      <c r="J35" s="768"/>
      <c r="K35" s="768"/>
      <c r="L35" s="360"/>
    </row>
    <row r="36" spans="1:12" ht="13.5">
      <c r="A36" s="360"/>
      <c r="L36" s="360"/>
    </row>
    <row r="37" spans="1:12" ht="13.5">
      <c r="A37" s="360"/>
      <c r="B37" s="364" t="s">
        <v>553</v>
      </c>
      <c r="L37" s="360"/>
    </row>
    <row r="38" spans="1:12" ht="13.5">
      <c r="A38" s="360"/>
      <c r="L38" s="360"/>
    </row>
    <row r="39" spans="1:12" ht="13.5">
      <c r="A39" s="360"/>
      <c r="B39" s="362" t="s">
        <v>554</v>
      </c>
      <c r="L39" s="360"/>
    </row>
    <row r="40" spans="1:12" ht="13.5">
      <c r="A40" s="360"/>
      <c r="L40" s="360"/>
    </row>
    <row r="41" spans="1:12" ht="13.5">
      <c r="A41" s="360"/>
      <c r="C41" s="769">
        <v>312000000</v>
      </c>
      <c r="D41" s="769"/>
      <c r="E41" s="362" t="s">
        <v>547</v>
      </c>
      <c r="F41" s="365">
        <v>1000</v>
      </c>
      <c r="G41" s="365" t="s">
        <v>546</v>
      </c>
      <c r="H41" s="376">
        <f>C41/F41</f>
        <v>312000</v>
      </c>
      <c r="L41" s="360"/>
    </row>
    <row r="42" spans="1:12" ht="13.5">
      <c r="A42" s="360"/>
      <c r="L42" s="360"/>
    </row>
    <row r="43" spans="1:12" ht="13.5">
      <c r="A43" s="360"/>
      <c r="B43" s="362" t="s">
        <v>555</v>
      </c>
      <c r="L43" s="360"/>
    </row>
    <row r="44" spans="1:12" ht="13.5">
      <c r="A44" s="360"/>
      <c r="L44" s="360"/>
    </row>
    <row r="45" spans="1:12" ht="13.5">
      <c r="A45" s="360"/>
      <c r="B45" s="362" t="s">
        <v>556</v>
      </c>
      <c r="L45" s="360"/>
    </row>
    <row r="46" spans="1:12" ht="14.25" thickBot="1">
      <c r="A46" s="360"/>
      <c r="L46" s="360"/>
    </row>
    <row r="47" spans="1:12" ht="13.5">
      <c r="A47" s="360"/>
      <c r="B47" s="377" t="s">
        <v>542</v>
      </c>
      <c r="C47" s="367"/>
      <c r="D47" s="367"/>
      <c r="E47" s="367"/>
      <c r="F47" s="367"/>
      <c r="G47" s="367"/>
      <c r="H47" s="367"/>
      <c r="I47" s="367"/>
      <c r="J47" s="367"/>
      <c r="K47" s="368"/>
      <c r="L47" s="360"/>
    </row>
    <row r="48" spans="1:12" ht="13.5">
      <c r="A48" s="360"/>
      <c r="B48" s="770">
        <v>312000000</v>
      </c>
      <c r="C48" s="765"/>
      <c r="D48" s="370" t="s">
        <v>557</v>
      </c>
      <c r="E48" s="370" t="s">
        <v>547</v>
      </c>
      <c r="F48" s="493">
        <v>1000</v>
      </c>
      <c r="G48" s="493" t="s">
        <v>546</v>
      </c>
      <c r="H48" s="371">
        <f>B48/F48</f>
        <v>312000</v>
      </c>
      <c r="I48" s="370" t="s">
        <v>558</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559</v>
      </c>
      <c r="D50" s="370"/>
      <c r="E50" s="370" t="s">
        <v>547</v>
      </c>
      <c r="F50" s="371">
        <f>H48</f>
        <v>312000</v>
      </c>
      <c r="G50" s="771" t="s">
        <v>560</v>
      </c>
      <c r="H50" s="772"/>
      <c r="I50" s="493" t="s">
        <v>546</v>
      </c>
      <c r="J50" s="380">
        <f>B50/F50</f>
        <v>0.16025641025641027</v>
      </c>
      <c r="K50" s="372"/>
      <c r="L50" s="360"/>
    </row>
    <row r="51" spans="1:15" ht="14.2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3.5">
      <c r="A53" s="360"/>
      <c r="B53" s="763" t="s">
        <v>562</v>
      </c>
      <c r="C53" s="763"/>
      <c r="D53" s="763"/>
      <c r="E53" s="763"/>
      <c r="F53" s="763"/>
      <c r="G53" s="763"/>
      <c r="H53" s="763"/>
      <c r="I53" s="763"/>
      <c r="J53" s="763"/>
      <c r="K53" s="763"/>
      <c r="L53" s="360"/>
    </row>
    <row r="54" spans="1:12" ht="13.5">
      <c r="A54" s="360"/>
      <c r="B54" s="497"/>
      <c r="C54" s="497"/>
      <c r="D54" s="497"/>
      <c r="E54" s="497"/>
      <c r="F54" s="497"/>
      <c r="G54" s="497"/>
      <c r="H54" s="497"/>
      <c r="I54" s="497"/>
      <c r="J54" s="497"/>
      <c r="K54" s="497"/>
      <c r="L54" s="360"/>
    </row>
    <row r="55" spans="1:12" ht="13.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3.5">
      <c r="A59" s="360"/>
      <c r="B59" s="364" t="s">
        <v>553</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565</v>
      </c>
      <c r="L61" s="360"/>
      <c r="M61" s="383"/>
      <c r="N61" s="383"/>
      <c r="O61" s="383"/>
      <c r="P61" s="383"/>
      <c r="Q61" s="383"/>
      <c r="R61" s="383"/>
      <c r="S61" s="383"/>
      <c r="T61" s="383"/>
      <c r="U61" s="383"/>
      <c r="V61" s="383"/>
      <c r="W61" s="383"/>
      <c r="X61" s="383"/>
    </row>
    <row r="62" spans="1:24" ht="13.5">
      <c r="A62" s="360"/>
      <c r="B62" s="362" t="s">
        <v>670</v>
      </c>
      <c r="L62" s="360"/>
      <c r="M62" s="383"/>
      <c r="N62" s="383"/>
      <c r="O62" s="383"/>
      <c r="P62" s="383"/>
      <c r="Q62" s="383"/>
      <c r="R62" s="383"/>
      <c r="S62" s="383"/>
      <c r="T62" s="383"/>
      <c r="U62" s="383"/>
      <c r="V62" s="383"/>
      <c r="W62" s="383"/>
      <c r="X62" s="383"/>
    </row>
    <row r="63" spans="1:24" ht="13.5">
      <c r="A63" s="360"/>
      <c r="B63" s="362" t="s">
        <v>671</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566</v>
      </c>
      <c r="L65" s="360"/>
      <c r="M65" s="383"/>
      <c r="N65" s="383"/>
      <c r="O65" s="383"/>
      <c r="P65" s="383"/>
      <c r="Q65" s="383"/>
      <c r="R65" s="383"/>
      <c r="S65" s="383"/>
      <c r="T65" s="383"/>
      <c r="U65" s="383"/>
      <c r="V65" s="383"/>
      <c r="W65" s="383"/>
      <c r="X65" s="383"/>
    </row>
    <row r="66" spans="1:24" ht="13.5">
      <c r="A66" s="360"/>
      <c r="B66" s="362" t="s">
        <v>567</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568</v>
      </c>
      <c r="L68" s="360"/>
      <c r="M68" s="384"/>
      <c r="N68" s="385"/>
      <c r="O68" s="385"/>
      <c r="P68" s="385"/>
      <c r="Q68" s="385"/>
      <c r="R68" s="385"/>
      <c r="S68" s="385"/>
      <c r="T68" s="385"/>
      <c r="U68" s="385"/>
      <c r="V68" s="385"/>
      <c r="W68" s="385"/>
      <c r="X68" s="383"/>
    </row>
    <row r="69" spans="1:24" ht="13.5">
      <c r="A69" s="360"/>
      <c r="B69" s="362" t="s">
        <v>672</v>
      </c>
      <c r="L69" s="360"/>
      <c r="M69" s="383"/>
      <c r="N69" s="383"/>
      <c r="O69" s="383"/>
      <c r="P69" s="383"/>
      <c r="Q69" s="383"/>
      <c r="R69" s="383"/>
      <c r="S69" s="383"/>
      <c r="T69" s="383"/>
      <c r="U69" s="383"/>
      <c r="V69" s="383"/>
      <c r="W69" s="383"/>
      <c r="X69" s="383"/>
    </row>
    <row r="70" spans="1:24" ht="13.5">
      <c r="A70" s="360"/>
      <c r="B70" s="362" t="s">
        <v>673</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542</v>
      </c>
      <c r="C72" s="367"/>
      <c r="D72" s="367"/>
      <c r="E72" s="367"/>
      <c r="F72" s="367"/>
      <c r="G72" s="367"/>
      <c r="H72" s="367"/>
      <c r="I72" s="367"/>
      <c r="J72" s="367"/>
      <c r="K72" s="368"/>
      <c r="L72" s="386"/>
    </row>
    <row r="73" spans="1:12" ht="13.5">
      <c r="A73" s="360"/>
      <c r="B73" s="378"/>
      <c r="C73" s="370" t="s">
        <v>548</v>
      </c>
      <c r="D73" s="370"/>
      <c r="E73" s="370"/>
      <c r="F73" s="370"/>
      <c r="G73" s="370"/>
      <c r="H73" s="370"/>
      <c r="I73" s="370"/>
      <c r="J73" s="370"/>
      <c r="K73" s="372"/>
      <c r="L73" s="386"/>
    </row>
    <row r="74" spans="1:12" ht="13.5">
      <c r="A74" s="360"/>
      <c r="B74" s="378" t="s">
        <v>569</v>
      </c>
      <c r="C74" s="765">
        <v>312000000</v>
      </c>
      <c r="D74" s="765"/>
      <c r="E74" s="493" t="s">
        <v>547</v>
      </c>
      <c r="F74" s="493">
        <v>1000</v>
      </c>
      <c r="G74" s="493" t="s">
        <v>546</v>
      </c>
      <c r="H74" s="490">
        <f>C74/F74</f>
        <v>312000</v>
      </c>
      <c r="I74" s="370" t="s">
        <v>570</v>
      </c>
      <c r="J74" s="370"/>
      <c r="K74" s="372"/>
      <c r="L74" s="386"/>
    </row>
    <row r="75" spans="1:12" ht="13.5">
      <c r="A75" s="360"/>
      <c r="B75" s="378"/>
      <c r="C75" s="370"/>
      <c r="D75" s="370"/>
      <c r="E75" s="493"/>
      <c r="F75" s="370"/>
      <c r="G75" s="370"/>
      <c r="H75" s="370"/>
      <c r="I75" s="370"/>
      <c r="J75" s="370"/>
      <c r="K75" s="372"/>
      <c r="L75" s="386"/>
    </row>
    <row r="76" spans="1:12" ht="13.5">
      <c r="A76" s="360"/>
      <c r="B76" s="378"/>
      <c r="C76" s="370" t="s">
        <v>571</v>
      </c>
      <c r="D76" s="370"/>
      <c r="E76" s="493"/>
      <c r="F76" s="370" t="s">
        <v>570</v>
      </c>
      <c r="G76" s="370"/>
      <c r="H76" s="370"/>
      <c r="I76" s="370"/>
      <c r="J76" s="370"/>
      <c r="K76" s="372"/>
      <c r="L76" s="386"/>
    </row>
    <row r="77" spans="1:12" ht="13.5">
      <c r="A77" s="360"/>
      <c r="B77" s="378" t="s">
        <v>572</v>
      </c>
      <c r="C77" s="765">
        <v>50000</v>
      </c>
      <c r="D77" s="765"/>
      <c r="E77" s="493" t="s">
        <v>547</v>
      </c>
      <c r="F77" s="490">
        <f>H74</f>
        <v>312000</v>
      </c>
      <c r="G77" s="493" t="s">
        <v>546</v>
      </c>
      <c r="H77" s="380">
        <f>C77/F77</f>
        <v>0.16025641025641027</v>
      </c>
      <c r="I77" s="370" t="s">
        <v>573</v>
      </c>
      <c r="J77" s="370"/>
      <c r="K77" s="372"/>
      <c r="L77" s="386"/>
    </row>
    <row r="78" spans="1:12" ht="13.5">
      <c r="A78" s="360"/>
      <c r="B78" s="378"/>
      <c r="C78" s="370"/>
      <c r="D78" s="370"/>
      <c r="E78" s="493"/>
      <c r="F78" s="370"/>
      <c r="G78" s="370"/>
      <c r="H78" s="370"/>
      <c r="I78" s="370"/>
      <c r="J78" s="370"/>
      <c r="K78" s="372"/>
      <c r="L78" s="386"/>
    </row>
    <row r="79" spans="1:12" ht="13.5">
      <c r="A79" s="360"/>
      <c r="B79" s="387"/>
      <c r="C79" s="388" t="s">
        <v>574</v>
      </c>
      <c r="D79" s="388"/>
      <c r="E79" s="489"/>
      <c r="F79" s="388"/>
      <c r="G79" s="388"/>
      <c r="H79" s="388"/>
      <c r="I79" s="388"/>
      <c r="J79" s="388"/>
      <c r="K79" s="389"/>
      <c r="L79" s="386"/>
    </row>
    <row r="80" spans="1:12" ht="13.5">
      <c r="A80" s="360"/>
      <c r="B80" s="378" t="s">
        <v>575</v>
      </c>
      <c r="C80" s="765">
        <v>100000</v>
      </c>
      <c r="D80" s="765"/>
      <c r="E80" s="493" t="s">
        <v>28</v>
      </c>
      <c r="F80" s="493">
        <v>0.115</v>
      </c>
      <c r="G80" s="493" t="s">
        <v>546</v>
      </c>
      <c r="H80" s="490">
        <f>C80*F80</f>
        <v>11500</v>
      </c>
      <c r="I80" s="370" t="s">
        <v>576</v>
      </c>
      <c r="J80" s="370"/>
      <c r="K80" s="372"/>
      <c r="L80" s="386"/>
    </row>
    <row r="81" spans="1:12" ht="13.5">
      <c r="A81" s="360"/>
      <c r="B81" s="378"/>
      <c r="C81" s="370"/>
      <c r="D81" s="370"/>
      <c r="E81" s="493"/>
      <c r="F81" s="370"/>
      <c r="G81" s="370"/>
      <c r="H81" s="370"/>
      <c r="I81" s="370"/>
      <c r="J81" s="370"/>
      <c r="K81" s="372"/>
      <c r="L81" s="386"/>
    </row>
    <row r="82" spans="1:12" ht="13.5">
      <c r="A82" s="360"/>
      <c r="B82" s="387"/>
      <c r="C82" s="388" t="s">
        <v>577</v>
      </c>
      <c r="D82" s="388"/>
      <c r="E82" s="489"/>
      <c r="F82" s="388" t="s">
        <v>573</v>
      </c>
      <c r="G82" s="388"/>
      <c r="H82" s="388"/>
      <c r="I82" s="388"/>
      <c r="J82" s="388" t="s">
        <v>578</v>
      </c>
      <c r="K82" s="389"/>
      <c r="L82" s="386"/>
    </row>
    <row r="83" spans="1:12" ht="13.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3.5">
      <c r="A86" s="360"/>
      <c r="B86" s="759" t="s">
        <v>580</v>
      </c>
      <c r="C86" s="759"/>
      <c r="D86" s="759"/>
      <c r="E86" s="759"/>
      <c r="F86" s="759"/>
      <c r="G86" s="759"/>
      <c r="H86" s="759"/>
      <c r="I86" s="759"/>
      <c r="J86" s="759"/>
      <c r="K86" s="759"/>
      <c r="L86" s="360"/>
    </row>
    <row r="87" spans="1:12" ht="13.5">
      <c r="A87" s="360"/>
      <c r="B87" s="394"/>
      <c r="C87" s="394"/>
      <c r="D87" s="394"/>
      <c r="E87" s="394"/>
      <c r="F87" s="394"/>
      <c r="G87" s="394"/>
      <c r="H87" s="394"/>
      <c r="I87" s="394"/>
      <c r="J87" s="394"/>
      <c r="K87" s="394"/>
      <c r="L87" s="360"/>
    </row>
    <row r="88" spans="1:12" ht="13.5">
      <c r="A88" s="360"/>
      <c r="B88" s="759" t="s">
        <v>581</v>
      </c>
      <c r="C88" s="759"/>
      <c r="D88" s="759"/>
      <c r="E88" s="759"/>
      <c r="F88" s="759"/>
      <c r="G88" s="759"/>
      <c r="H88" s="759"/>
      <c r="I88" s="759"/>
      <c r="J88" s="759"/>
      <c r="K88" s="759"/>
      <c r="L88" s="360"/>
    </row>
    <row r="89" spans="1:12" ht="13.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4.25" thickBot="1">
      <c r="A111" s="360"/>
      <c r="B111" s="497"/>
      <c r="C111" s="497"/>
      <c r="D111" s="497"/>
      <c r="E111" s="497"/>
      <c r="F111" s="497"/>
      <c r="G111" s="497"/>
      <c r="H111" s="497"/>
      <c r="I111" s="497"/>
      <c r="J111" s="497"/>
      <c r="K111" s="497"/>
      <c r="L111" s="406"/>
    </row>
    <row r="112" spans="1:12" ht="13.5">
      <c r="A112" s="360"/>
      <c r="B112" s="366" t="s">
        <v>542</v>
      </c>
      <c r="C112" s="367"/>
      <c r="D112" s="367"/>
      <c r="E112" s="367"/>
      <c r="F112" s="367"/>
      <c r="G112" s="367"/>
      <c r="H112" s="367"/>
      <c r="I112" s="367"/>
      <c r="J112" s="367"/>
      <c r="K112" s="368"/>
      <c r="L112" s="360"/>
    </row>
    <row r="113" spans="1:12" ht="13.5">
      <c r="A113" s="360"/>
      <c r="B113" s="378"/>
      <c r="C113" s="370" t="s">
        <v>548</v>
      </c>
      <c r="D113" s="370"/>
      <c r="E113" s="370"/>
      <c r="F113" s="370"/>
      <c r="G113" s="370"/>
      <c r="H113" s="370"/>
      <c r="I113" s="370"/>
      <c r="J113" s="370"/>
      <c r="K113" s="372"/>
      <c r="L113" s="360"/>
    </row>
    <row r="114" spans="1:12" ht="13.5">
      <c r="A114" s="360"/>
      <c r="B114" s="378" t="s">
        <v>569</v>
      </c>
      <c r="C114" s="765">
        <v>312000000</v>
      </c>
      <c r="D114" s="765"/>
      <c r="E114" s="493" t="s">
        <v>547</v>
      </c>
      <c r="F114" s="493">
        <v>1000</v>
      </c>
      <c r="G114" s="493" t="s">
        <v>546</v>
      </c>
      <c r="H114" s="490">
        <f>C114/F114</f>
        <v>312000</v>
      </c>
      <c r="I114" s="370" t="s">
        <v>570</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571</v>
      </c>
      <c r="D116" s="370"/>
      <c r="E116" s="493"/>
      <c r="F116" s="370" t="s">
        <v>570</v>
      </c>
      <c r="G116" s="370"/>
      <c r="H116" s="370"/>
      <c r="I116" s="370"/>
      <c r="J116" s="370"/>
      <c r="K116" s="372"/>
      <c r="L116" s="360"/>
    </row>
    <row r="117" spans="1:12" ht="13.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583</v>
      </c>
      <c r="D119" s="388"/>
      <c r="E119" s="489"/>
      <c r="F119" s="388"/>
      <c r="G119" s="388"/>
      <c r="H119" s="388"/>
      <c r="I119" s="388"/>
      <c r="J119" s="388"/>
      <c r="K119" s="389"/>
      <c r="L119" s="360"/>
    </row>
    <row r="120" spans="1:12" ht="13.5">
      <c r="A120" s="360"/>
      <c r="B120" s="378" t="s">
        <v>575</v>
      </c>
      <c r="C120" s="765">
        <v>2500000</v>
      </c>
      <c r="D120" s="765"/>
      <c r="E120" s="493" t="s">
        <v>28</v>
      </c>
      <c r="F120" s="403">
        <v>0.25</v>
      </c>
      <c r="G120" s="493" t="s">
        <v>546</v>
      </c>
      <c r="H120" s="490">
        <f>C120*F120</f>
        <v>625000</v>
      </c>
      <c r="I120" s="370" t="s">
        <v>576</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577</v>
      </c>
      <c r="D122" s="388"/>
      <c r="E122" s="489"/>
      <c r="F122" s="388" t="s">
        <v>573</v>
      </c>
      <c r="G122" s="388"/>
      <c r="H122" s="388"/>
      <c r="I122" s="388"/>
      <c r="J122" s="388" t="s">
        <v>578</v>
      </c>
      <c r="K122" s="389"/>
      <c r="L122" s="360"/>
    </row>
    <row r="123" spans="1:12" ht="13.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3.5">
      <c r="A126" s="360"/>
      <c r="B126" s="759" t="s">
        <v>587</v>
      </c>
      <c r="C126" s="759"/>
      <c r="D126" s="759"/>
      <c r="E126" s="759"/>
      <c r="F126" s="759"/>
      <c r="G126" s="759"/>
      <c r="H126" s="759"/>
      <c r="I126" s="759"/>
      <c r="J126" s="759"/>
      <c r="K126" s="759"/>
      <c r="L126" s="406"/>
    </row>
    <row r="127" spans="1:12" ht="13.5">
      <c r="A127" s="360"/>
      <c r="B127" s="497"/>
      <c r="C127" s="497"/>
      <c r="D127" s="497"/>
      <c r="E127" s="497"/>
      <c r="F127" s="497"/>
      <c r="G127" s="497"/>
      <c r="H127" s="497"/>
      <c r="I127" s="497"/>
      <c r="J127" s="497"/>
      <c r="K127" s="497"/>
      <c r="L127" s="406"/>
    </row>
    <row r="128" spans="1:12" ht="13.5">
      <c r="A128" s="360"/>
      <c r="B128" s="759" t="s">
        <v>588</v>
      </c>
      <c r="C128" s="759"/>
      <c r="D128" s="759"/>
      <c r="E128" s="759"/>
      <c r="F128" s="759"/>
      <c r="G128" s="759"/>
      <c r="H128" s="759"/>
      <c r="I128" s="759"/>
      <c r="J128" s="759"/>
      <c r="K128" s="759"/>
      <c r="L128" s="406"/>
    </row>
    <row r="129" spans="1:12" ht="13.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4.25" thickBot="1">
      <c r="A131" s="360"/>
      <c r="L131" s="360"/>
    </row>
    <row r="132" spans="1:12" ht="13.5">
      <c r="A132" s="360"/>
      <c r="B132" s="366" t="s">
        <v>542</v>
      </c>
      <c r="C132" s="367"/>
      <c r="D132" s="367"/>
      <c r="E132" s="367"/>
      <c r="F132" s="367"/>
      <c r="G132" s="367"/>
      <c r="H132" s="367"/>
      <c r="I132" s="367"/>
      <c r="J132" s="367"/>
      <c r="K132" s="368"/>
      <c r="L132" s="360"/>
    </row>
    <row r="133" spans="1:12" ht="13.5">
      <c r="A133" s="360"/>
      <c r="B133" s="378"/>
      <c r="C133" s="780" t="s">
        <v>590</v>
      </c>
      <c r="D133" s="780"/>
      <c r="E133" s="370"/>
      <c r="F133" s="493" t="s">
        <v>591</v>
      </c>
      <c r="G133" s="370"/>
      <c r="H133" s="780" t="s">
        <v>576</v>
      </c>
      <c r="I133" s="780"/>
      <c r="J133" s="370"/>
      <c r="K133" s="372"/>
      <c r="L133" s="360"/>
    </row>
    <row r="134" spans="1:12" ht="13.5">
      <c r="A134" s="360"/>
      <c r="B134" s="378" t="s">
        <v>569</v>
      </c>
      <c r="C134" s="765">
        <v>100000</v>
      </c>
      <c r="D134" s="765"/>
      <c r="E134" s="493" t="s">
        <v>28</v>
      </c>
      <c r="F134" s="493">
        <v>0.115</v>
      </c>
      <c r="G134" s="493" t="s">
        <v>546</v>
      </c>
      <c r="H134" s="781">
        <f>C134*F134</f>
        <v>11500</v>
      </c>
      <c r="I134" s="781"/>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82" t="s">
        <v>576</v>
      </c>
      <c r="D136" s="782"/>
      <c r="E136" s="388"/>
      <c r="F136" s="489" t="s">
        <v>592</v>
      </c>
      <c r="G136" s="489"/>
      <c r="H136" s="388"/>
      <c r="I136" s="388"/>
      <c r="J136" s="388" t="s">
        <v>593</v>
      </c>
      <c r="K136" s="389"/>
      <c r="L136" s="360"/>
    </row>
    <row r="137" spans="1:12" ht="13.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3.5">
      <c r="A140" s="360"/>
      <c r="B140" s="418" t="s">
        <v>594</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595</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4.25" thickBot="1">
      <c r="A145" s="360"/>
      <c r="B145" s="378"/>
      <c r="C145" s="490"/>
      <c r="D145" s="490"/>
      <c r="E145" s="493"/>
      <c r="F145" s="424"/>
      <c r="G145" s="493"/>
      <c r="H145" s="493"/>
      <c r="I145" s="493"/>
      <c r="J145" s="408"/>
      <c r="K145" s="372"/>
      <c r="L145" s="360"/>
    </row>
    <row r="146" spans="1:12" ht="13.5">
      <c r="A146" s="360"/>
      <c r="B146" s="366" t="s">
        <v>542</v>
      </c>
      <c r="C146" s="425"/>
      <c r="D146" s="425"/>
      <c r="E146" s="426"/>
      <c r="F146" s="427"/>
      <c r="G146" s="426"/>
      <c r="H146" s="426"/>
      <c r="I146" s="426"/>
      <c r="J146" s="428"/>
      <c r="K146" s="368"/>
      <c r="L146" s="360"/>
    </row>
    <row r="147" spans="1:12" ht="13.5">
      <c r="A147" s="360"/>
      <c r="B147" s="378"/>
      <c r="C147" s="781" t="s">
        <v>597</v>
      </c>
      <c r="D147" s="781"/>
      <c r="E147" s="493"/>
      <c r="F147" s="424" t="s">
        <v>598</v>
      </c>
      <c r="G147" s="493"/>
      <c r="H147" s="493"/>
      <c r="I147" s="493"/>
      <c r="J147" s="786" t="s">
        <v>599</v>
      </c>
      <c r="K147" s="787"/>
      <c r="L147" s="360"/>
    </row>
    <row r="148" spans="1:12" ht="13.5">
      <c r="A148" s="360"/>
      <c r="B148" s="378"/>
      <c r="C148" s="788">
        <v>52.869</v>
      </c>
      <c r="D148" s="788"/>
      <c r="E148" s="493" t="s">
        <v>28</v>
      </c>
      <c r="F148" s="494">
        <v>312000000</v>
      </c>
      <c r="G148" s="429" t="s">
        <v>547</v>
      </c>
      <c r="H148" s="493">
        <v>1000</v>
      </c>
      <c r="I148" s="493" t="s">
        <v>546</v>
      </c>
      <c r="J148" s="786">
        <f>C148*(F148/1000)</f>
        <v>16495128</v>
      </c>
      <c r="K148" s="789"/>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0.75">
      <c r="A3" s="432" t="s">
        <v>601</v>
      </c>
    </row>
    <row r="4" ht="15">
      <c r="A4" s="433" t="s">
        <v>602</v>
      </c>
    </row>
    <row r="7" ht="30.75">
      <c r="A7" s="432" t="s">
        <v>603</v>
      </c>
    </row>
    <row r="8" ht="15">
      <c r="A8" s="433" t="s">
        <v>604</v>
      </c>
    </row>
    <row r="11" ht="15">
      <c r="A11" s="434" t="s">
        <v>605</v>
      </c>
    </row>
    <row r="12" ht="15">
      <c r="A12" s="433" t="s">
        <v>606</v>
      </c>
    </row>
    <row r="15" ht="15">
      <c r="A15" s="434" t="s">
        <v>607</v>
      </c>
    </row>
    <row r="16" ht="15">
      <c r="A16" s="433" t="s">
        <v>608</v>
      </c>
    </row>
    <row r="19" ht="15">
      <c r="A19" s="434" t="s">
        <v>609</v>
      </c>
    </row>
    <row r="20" ht="15">
      <c r="A20" s="433" t="s">
        <v>610</v>
      </c>
    </row>
    <row r="23" ht="15">
      <c r="A23" s="434" t="s">
        <v>611</v>
      </c>
    </row>
    <row r="24" ht="15">
      <c r="A24" s="433" t="s">
        <v>612</v>
      </c>
    </row>
    <row r="27" ht="15">
      <c r="A27" s="434" t="s">
        <v>613</v>
      </c>
    </row>
    <row r="28" ht="15">
      <c r="A28" s="433" t="s">
        <v>614</v>
      </c>
    </row>
    <row r="31" ht="15">
      <c r="A31" s="434" t="s">
        <v>615</v>
      </c>
    </row>
    <row r="32" ht="15">
      <c r="A32" s="433" t="s">
        <v>616</v>
      </c>
    </row>
    <row r="35" ht="15">
      <c r="A35" s="434" t="s">
        <v>617</v>
      </c>
    </row>
    <row r="36" ht="15">
      <c r="A36" s="433" t="s">
        <v>618</v>
      </c>
    </row>
    <row r="39" ht="15">
      <c r="A39" s="434" t="s">
        <v>619</v>
      </c>
    </row>
    <row r="40" ht="1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21" t="s">
        <v>777</v>
      </c>
    </row>
    <row r="2" ht="15">
      <c r="A2" s="600" t="s">
        <v>776</v>
      </c>
    </row>
    <row r="4" ht="15">
      <c r="A4" s="321" t="s">
        <v>778</v>
      </c>
    </row>
    <row r="5" ht="15">
      <c r="A5" s="614" t="s">
        <v>755</v>
      </c>
    </row>
    <row r="7" ht="15">
      <c r="A7" s="321" t="s">
        <v>780</v>
      </c>
    </row>
    <row r="8" ht="15">
      <c r="A8" s="76" t="s">
        <v>754</v>
      </c>
    </row>
    <row r="10" ht="15">
      <c r="A10" s="321" t="s">
        <v>781</v>
      </c>
    </row>
    <row r="11" ht="15">
      <c r="A11" s="600" t="s">
        <v>752</v>
      </c>
    </row>
    <row r="13" ht="15">
      <c r="A13" s="321" t="s">
        <v>779</v>
      </c>
    </row>
    <row r="14" ht="15">
      <c r="A14" s="577" t="s">
        <v>751</v>
      </c>
    </row>
    <row r="16" ht="15">
      <c r="A16" s="321" t="s">
        <v>782</v>
      </c>
    </row>
    <row r="17" ht="15">
      <c r="A17" s="577" t="s">
        <v>703</v>
      </c>
    </row>
    <row r="18" ht="15">
      <c r="A18" s="577" t="s">
        <v>707</v>
      </c>
    </row>
    <row r="19" ht="15">
      <c r="A19" s="76" t="s">
        <v>710</v>
      </c>
    </row>
    <row r="20" ht="15">
      <c r="A20" s="76" t="s">
        <v>711</v>
      </c>
    </row>
    <row r="21" ht="15">
      <c r="A21" s="76" t="s">
        <v>713</v>
      </c>
    </row>
    <row r="22" ht="15">
      <c r="A22" s="76" t="s">
        <v>715</v>
      </c>
    </row>
    <row r="23" ht="15">
      <c r="A23" s="76" t="s">
        <v>732</v>
      </c>
    </row>
    <row r="24" ht="15">
      <c r="A24" s="76" t="s">
        <v>733</v>
      </c>
    </row>
    <row r="25" ht="15">
      <c r="A25" s="76" t="s">
        <v>734</v>
      </c>
    </row>
    <row r="26" ht="15">
      <c r="A26" s="76" t="s">
        <v>735</v>
      </c>
    </row>
    <row r="27" ht="46.5">
      <c r="A27" s="287" t="s">
        <v>736</v>
      </c>
    </row>
    <row r="28" ht="30.75">
      <c r="A28" s="287" t="s">
        <v>737</v>
      </c>
    </row>
    <row r="29" ht="15">
      <c r="A29" s="76" t="s">
        <v>738</v>
      </c>
    </row>
    <row r="30" ht="15">
      <c r="A30" s="76" t="s">
        <v>739</v>
      </c>
    </row>
    <row r="31" ht="15">
      <c r="A31" s="76" t="s">
        <v>740</v>
      </c>
    </row>
    <row r="32" ht="15">
      <c r="A32" s="76" t="s">
        <v>741</v>
      </c>
    </row>
    <row r="33" ht="15">
      <c r="A33" s="76" t="s">
        <v>742</v>
      </c>
    </row>
    <row r="34" ht="15">
      <c r="A34" s="76" t="s">
        <v>743</v>
      </c>
    </row>
    <row r="35" ht="15">
      <c r="A35" s="76" t="s">
        <v>744</v>
      </c>
    </row>
    <row r="36" ht="15">
      <c r="A36" s="76" t="s">
        <v>745</v>
      </c>
    </row>
    <row r="37" ht="15">
      <c r="A37" s="76" t="s">
        <v>746</v>
      </c>
    </row>
    <row r="38" ht="15">
      <c r="A38" s="76" t="s">
        <v>747</v>
      </c>
    </row>
    <row r="40" ht="15">
      <c r="A40" s="321" t="s">
        <v>783</v>
      </c>
    </row>
    <row r="41" ht="15">
      <c r="A41" s="485" t="s">
        <v>666</v>
      </c>
    </row>
    <row r="42" ht="15">
      <c r="A42" s="485" t="s">
        <v>667</v>
      </c>
    </row>
    <row r="44" ht="15">
      <c r="A44" s="321" t="s">
        <v>784</v>
      </c>
    </row>
    <row r="45" ht="15">
      <c r="A45" s="485" t="s">
        <v>640</v>
      </c>
    </row>
    <row r="46" ht="15">
      <c r="A46" s="485" t="s">
        <v>641</v>
      </c>
    </row>
    <row r="47" ht="30.75">
      <c r="A47" s="486" t="s">
        <v>664</v>
      </c>
    </row>
    <row r="48" ht="15">
      <c r="A48" s="485" t="s">
        <v>642</v>
      </c>
    </row>
    <row r="49" ht="15">
      <c r="A49" s="485" t="s">
        <v>643</v>
      </c>
    </row>
    <row r="50" ht="15">
      <c r="A50" s="485" t="s">
        <v>644</v>
      </c>
    </row>
    <row r="51" ht="15">
      <c r="A51" s="485" t="s">
        <v>645</v>
      </c>
    </row>
    <row r="52" ht="15">
      <c r="A52" s="485" t="s">
        <v>646</v>
      </c>
    </row>
    <row r="53" ht="15">
      <c r="A53" s="485" t="s">
        <v>647</v>
      </c>
    </row>
    <row r="54" ht="15">
      <c r="A54" s="485" t="s">
        <v>648</v>
      </c>
    </row>
    <row r="55" ht="15">
      <c r="A55" s="485" t="s">
        <v>649</v>
      </c>
    </row>
    <row r="56" ht="15">
      <c r="A56" s="485" t="s">
        <v>650</v>
      </c>
    </row>
    <row r="57" ht="15">
      <c r="A57" s="485" t="s">
        <v>651</v>
      </c>
    </row>
    <row r="58" ht="15">
      <c r="A58" s="485" t="s">
        <v>652</v>
      </c>
    </row>
    <row r="59" ht="15">
      <c r="A59" s="485" t="s">
        <v>653</v>
      </c>
    </row>
    <row r="60" ht="15">
      <c r="A60" s="485" t="s">
        <v>654</v>
      </c>
    </row>
    <row r="61" ht="15">
      <c r="A61" s="485" t="s">
        <v>655</v>
      </c>
    </row>
    <row r="62" ht="15">
      <c r="A62" s="485" t="s">
        <v>656</v>
      </c>
    </row>
    <row r="63" ht="15">
      <c r="A63" s="485" t="s">
        <v>657</v>
      </c>
    </row>
    <row r="64" ht="15">
      <c r="A64" s="485" t="s">
        <v>658</v>
      </c>
    </row>
    <row r="65" ht="15">
      <c r="A65" s="485" t="s">
        <v>659</v>
      </c>
    </row>
    <row r="66" ht="15">
      <c r="A66" s="485" t="s">
        <v>660</v>
      </c>
    </row>
    <row r="67" ht="15">
      <c r="A67" s="485" t="s">
        <v>665</v>
      </c>
    </row>
    <row r="69" ht="15">
      <c r="A69" s="321" t="s">
        <v>785</v>
      </c>
    </row>
    <row r="70" ht="15">
      <c r="A70" s="76" t="s">
        <v>530</v>
      </c>
    </row>
    <row r="71" ht="15">
      <c r="A71" s="76" t="s">
        <v>528</v>
      </c>
    </row>
    <row r="72" ht="15">
      <c r="A72" s="76" t="s">
        <v>529</v>
      </c>
    </row>
    <row r="74" ht="15">
      <c r="A74" s="332" t="s">
        <v>786</v>
      </c>
    </row>
    <row r="75" ht="15">
      <c r="A75" s="76" t="s">
        <v>527</v>
      </c>
    </row>
    <row r="77" ht="15">
      <c r="A77" s="321" t="s">
        <v>787</v>
      </c>
    </row>
    <row r="78" ht="15">
      <c r="A78" s="322" t="s">
        <v>307</v>
      </c>
    </row>
    <row r="79" ht="15">
      <c r="A79" s="322" t="s">
        <v>308</v>
      </c>
    </row>
    <row r="80" ht="15">
      <c r="A80" s="322" t="s">
        <v>309</v>
      </c>
    </row>
    <row r="81" ht="15">
      <c r="A81" s="76" t="s">
        <v>310</v>
      </c>
    </row>
    <row r="83" ht="15">
      <c r="A83" s="286" t="s">
        <v>788</v>
      </c>
    </row>
    <row r="84" ht="15">
      <c r="A84" s="76" t="s">
        <v>255</v>
      </c>
    </row>
    <row r="85" ht="15">
      <c r="A85" s="76" t="s">
        <v>256</v>
      </c>
    </row>
    <row r="86" ht="15">
      <c r="A86" s="76" t="s">
        <v>257</v>
      </c>
    </row>
    <row r="87" ht="15">
      <c r="A87" s="76" t="s">
        <v>258</v>
      </c>
    </row>
    <row r="88" ht="15">
      <c r="A88" s="76" t="s">
        <v>259</v>
      </c>
    </row>
    <row r="89" ht="15">
      <c r="A89" s="76" t="s">
        <v>260</v>
      </c>
    </row>
    <row r="90" ht="15">
      <c r="A90" s="76" t="s">
        <v>276</v>
      </c>
    </row>
    <row r="91" ht="15">
      <c r="A91" s="76" t="s">
        <v>277</v>
      </c>
    </row>
    <row r="92" ht="15">
      <c r="A92" s="76" t="s">
        <v>278</v>
      </c>
    </row>
    <row r="93" ht="15">
      <c r="A93" s="76" t="s">
        <v>279</v>
      </c>
    </row>
    <row r="94" ht="15">
      <c r="A94" s="76" t="s">
        <v>280</v>
      </c>
    </row>
    <row r="95" ht="15">
      <c r="A95" s="76" t="s">
        <v>281</v>
      </c>
    </row>
    <row r="97" ht="15">
      <c r="A97" s="286" t="s">
        <v>250</v>
      </c>
    </row>
    <row r="98" ht="15">
      <c r="A98" s="76" t="s">
        <v>261</v>
      </c>
    </row>
    <row r="99" ht="15">
      <c r="A99" s="76" t="s">
        <v>251</v>
      </c>
    </row>
    <row r="100" ht="15">
      <c r="A100" s="76" t="s">
        <v>252</v>
      </c>
    </row>
    <row r="102" ht="15">
      <c r="A102" s="286" t="s">
        <v>246</v>
      </c>
    </row>
    <row r="103" ht="15">
      <c r="A103" s="76" t="s">
        <v>247</v>
      </c>
    </row>
    <row r="104" ht="15">
      <c r="A104" s="76" t="s">
        <v>248</v>
      </c>
    </row>
    <row r="106" ht="15">
      <c r="A106" s="286" t="s">
        <v>227</v>
      </c>
    </row>
    <row r="107" ht="15">
      <c r="A107" s="76" t="s">
        <v>228</v>
      </c>
    </row>
    <row r="108" ht="36" customHeight="1">
      <c r="A108" s="287" t="s">
        <v>229</v>
      </c>
    </row>
    <row r="109" ht="15">
      <c r="A109" s="76" t="s">
        <v>230</v>
      </c>
    </row>
    <row r="110" ht="18.75" customHeight="1">
      <c r="A110" s="76" t="s">
        <v>231</v>
      </c>
    </row>
    <row r="111" ht="1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
      <c r="A118" s="76" t="s">
        <v>239</v>
      </c>
    </row>
    <row r="119" ht="15">
      <c r="A119" s="76" t="s">
        <v>240</v>
      </c>
    </row>
    <row r="120" ht="15">
      <c r="A120" s="76" t="s">
        <v>241</v>
      </c>
    </row>
    <row r="121" ht="15">
      <c r="A121" s="76" t="s">
        <v>242</v>
      </c>
    </row>
    <row r="122" ht="15">
      <c r="A122" s="76" t="s">
        <v>243</v>
      </c>
    </row>
    <row r="125" ht="15">
      <c r="A125" s="286" t="s">
        <v>157</v>
      </c>
    </row>
    <row r="126" ht="15">
      <c r="A126" s="76" t="s">
        <v>165</v>
      </c>
    </row>
    <row r="127" ht="15">
      <c r="A127" s="76" t="s">
        <v>166</v>
      </c>
    </row>
    <row r="128" ht="15">
      <c r="A128" s="76" t="s">
        <v>167</v>
      </c>
    </row>
    <row r="129" ht="15">
      <c r="A129" s="76" t="s">
        <v>178</v>
      </c>
    </row>
    <row r="130" ht="15">
      <c r="A130" s="76" t="s">
        <v>168</v>
      </c>
    </row>
    <row r="131" ht="15">
      <c r="A131" s="76" t="s">
        <v>169</v>
      </c>
    </row>
    <row r="132" ht="15">
      <c r="A132" s="76" t="s">
        <v>170</v>
      </c>
    </row>
    <row r="133" ht="15">
      <c r="A133" s="76" t="s">
        <v>171</v>
      </c>
    </row>
    <row r="134" ht="15">
      <c r="A134" s="76" t="s">
        <v>179</v>
      </c>
    </row>
    <row r="135" ht="15">
      <c r="A135" s="76" t="s">
        <v>172</v>
      </c>
    </row>
    <row r="136" ht="15">
      <c r="A136" s="76" t="s">
        <v>173</v>
      </c>
    </row>
    <row r="137" ht="15">
      <c r="A137" s="76" t="s">
        <v>174</v>
      </c>
    </row>
    <row r="138" ht="15">
      <c r="A138" s="76" t="s">
        <v>180</v>
      </c>
    </row>
    <row r="139" ht="15">
      <c r="A139" s="76" t="s">
        <v>181</v>
      </c>
    </row>
    <row r="140" ht="15">
      <c r="A140" s="76" t="s">
        <v>187</v>
      </c>
    </row>
    <row r="141" ht="15">
      <c r="A141" s="76" t="s">
        <v>262</v>
      </c>
    </row>
    <row r="142" ht="15">
      <c r="A142" s="76" t="s">
        <v>0</v>
      </c>
    </row>
    <row r="143" ht="15">
      <c r="A143" s="76" t="s">
        <v>1</v>
      </c>
    </row>
    <row r="144" ht="15">
      <c r="A144" s="76" t="s">
        <v>2</v>
      </c>
    </row>
    <row r="145" ht="15">
      <c r="A145" s="76" t="s">
        <v>263</v>
      </c>
    </row>
    <row r="146" ht="15">
      <c r="A146" s="76" t="s">
        <v>193</v>
      </c>
    </row>
    <row r="147" ht="15">
      <c r="A147" s="76" t="s">
        <v>194</v>
      </c>
    </row>
    <row r="148" ht="15">
      <c r="A148" s="76" t="s">
        <v>3</v>
      </c>
    </row>
    <row r="149" ht="15">
      <c r="A149" s="76" t="s">
        <v>4</v>
      </c>
    </row>
    <row r="150" ht="15">
      <c r="A150" s="76" t="s">
        <v>202</v>
      </c>
    </row>
    <row r="151" ht="15">
      <c r="A151" s="76" t="s">
        <v>203</v>
      </c>
    </row>
    <row r="152" ht="1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2" sqref="E12"/>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Buckeye Cemetery</v>
      </c>
      <c r="B1" s="45"/>
      <c r="C1" s="45"/>
      <c r="D1" s="45"/>
      <c r="E1" s="45">
        <f>inputPrYr!D6</f>
        <v>2015</v>
      </c>
    </row>
    <row r="2" spans="1:5" ht="15">
      <c r="A2" s="45" t="str">
        <f>inputPrYr!D4</f>
        <v>Ellsworth County</v>
      </c>
      <c r="B2" s="45"/>
      <c r="C2" s="45"/>
      <c r="D2" s="45"/>
      <c r="E2" s="45"/>
    </row>
    <row r="3" spans="1:5" ht="15">
      <c r="A3" s="47"/>
      <c r="B3" s="47"/>
      <c r="C3" s="47"/>
      <c r="D3" s="47"/>
      <c r="E3" s="47"/>
    </row>
    <row r="4" spans="1:5" ht="15">
      <c r="A4" s="666" t="s">
        <v>175</v>
      </c>
      <c r="B4" s="667"/>
      <c r="C4" s="667"/>
      <c r="D4" s="667"/>
      <c r="E4" s="667"/>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2119595</v>
      </c>
    </row>
    <row r="8" spans="1:5" ht="15">
      <c r="A8" s="51" t="str">
        <f>CONCATENATE("New Improvements for ",inputPrYr!D6-1,"")</f>
        <v>New Improvements for 2014</v>
      </c>
      <c r="B8" s="52"/>
      <c r="C8" s="52"/>
      <c r="D8" s="52"/>
      <c r="E8" s="603">
        <v>8911</v>
      </c>
    </row>
    <row r="9" spans="1:5" ht="15">
      <c r="A9" s="51" t="str">
        <f>CONCATENATE("Personal Property excluding oil, gas, and mobile homes- ",inputPrYr!D6-1,"")</f>
        <v>Personal Property excluding oil, gas, and mobile homes- 2014</v>
      </c>
      <c r="B9" s="52"/>
      <c r="C9" s="52"/>
      <c r="D9" s="52"/>
      <c r="E9" s="603">
        <v>42095</v>
      </c>
    </row>
    <row r="10" spans="1:5" ht="15">
      <c r="A10" s="51" t="str">
        <f>CONCATENATE("Property that has changed in use for ",inputPrYr!D6-1,"")</f>
        <v>Property that has changed in use for 2014</v>
      </c>
      <c r="B10" s="52"/>
      <c r="C10" s="52"/>
      <c r="D10" s="52"/>
      <c r="E10" s="603">
        <v>4574</v>
      </c>
    </row>
    <row r="11" spans="1:5" ht="15">
      <c r="A11" s="50" t="str">
        <f>CONCATENATE("Personal Property excluding oil, gas, and mobile homes- ",inputPrYr!D6-2,"")</f>
        <v>Personal Property excluding oil, gas, and mobile homes- 2013</v>
      </c>
      <c r="B11" s="25"/>
      <c r="C11" s="25"/>
      <c r="D11" s="25"/>
      <c r="E11" s="603">
        <v>153677</v>
      </c>
    </row>
    <row r="12" spans="1:5" ht="15">
      <c r="A12" s="51" t="str">
        <f>CONCATENATE("Neighborhood Revitalization - ",E1,"")</f>
        <v>Neighborhood Revitalization - 2015</v>
      </c>
      <c r="B12" s="52"/>
      <c r="C12" s="52"/>
      <c r="D12" s="52"/>
      <c r="E12" s="603"/>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76" t="s">
        <v>26</v>
      </c>
      <c r="B15" s="671"/>
      <c r="C15" s="47"/>
      <c r="D15" s="57" t="s">
        <v>63</v>
      </c>
      <c r="E15" s="56"/>
    </row>
    <row r="16" spans="1:5" ht="15">
      <c r="A16" s="50" t="s">
        <v>10</v>
      </c>
      <c r="B16" s="25"/>
      <c r="C16" s="53"/>
      <c r="D16" s="604">
        <v>1.967</v>
      </c>
      <c r="E16" s="56"/>
    </row>
    <row r="17" spans="1:5" ht="15">
      <c r="A17" s="51" t="s">
        <v>249</v>
      </c>
      <c r="B17" s="52"/>
      <c r="C17" s="53"/>
      <c r="D17" s="604"/>
      <c r="E17" s="56"/>
    </row>
    <row r="18" spans="1:5" ht="15">
      <c r="A18" s="51">
        <f>inputPrYr!B22</f>
        <v>0</v>
      </c>
      <c r="B18" s="52"/>
      <c r="C18" s="53"/>
      <c r="D18" s="604"/>
      <c r="E18" s="56"/>
    </row>
    <row r="19" spans="1:5" ht="15">
      <c r="A19" s="51">
        <f>inputPrYr!B23</f>
        <v>0</v>
      </c>
      <c r="B19" s="52"/>
      <c r="C19" s="53"/>
      <c r="D19" s="604"/>
      <c r="E19" s="56"/>
    </row>
    <row r="20" spans="1:5" ht="15">
      <c r="A20" s="51"/>
      <c r="B20" s="52"/>
      <c r="C20" s="53"/>
      <c r="D20" s="604"/>
      <c r="E20" s="56"/>
    </row>
    <row r="21" spans="1:5" ht="15">
      <c r="A21" s="51"/>
      <c r="B21" s="52"/>
      <c r="C21" s="53"/>
      <c r="D21" s="604"/>
      <c r="E21" s="56"/>
    </row>
    <row r="22" spans="1:5" ht="15">
      <c r="A22" s="58"/>
      <c r="B22" s="25" t="s">
        <v>183</v>
      </c>
      <c r="C22" s="59"/>
      <c r="D22" s="60">
        <f>SUM(D16:D21)</f>
        <v>1.967</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2152852</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281</v>
      </c>
    </row>
    <row r="28" spans="1:5" ht="15">
      <c r="A28" s="51" t="s">
        <v>15</v>
      </c>
      <c r="B28" s="52"/>
      <c r="C28" s="52"/>
      <c r="D28" s="65"/>
      <c r="E28" s="20">
        <v>6</v>
      </c>
    </row>
    <row r="29" spans="1:5" ht="15">
      <c r="A29" s="51" t="s">
        <v>153</v>
      </c>
      <c r="B29" s="52"/>
      <c r="C29" s="52"/>
      <c r="D29" s="65"/>
      <c r="E29" s="20">
        <v>33</v>
      </c>
    </row>
    <row r="30" spans="1:5" ht="15">
      <c r="A30" s="51" t="s">
        <v>141</v>
      </c>
      <c r="B30" s="52"/>
      <c r="C30" s="52"/>
      <c r="D30" s="65"/>
      <c r="E30" s="20"/>
    </row>
    <row r="31" spans="1:5" ht="15">
      <c r="A31" s="50"/>
      <c r="B31" s="25"/>
      <c r="C31" s="25"/>
      <c r="D31" s="64"/>
      <c r="E31" s="20"/>
    </row>
    <row r="32" spans="1:5" ht="15">
      <c r="A32" s="3" t="s">
        <v>154</v>
      </c>
      <c r="B32" s="3"/>
      <c r="C32" s="3"/>
      <c r="D32" s="3"/>
      <c r="E32" s="3"/>
    </row>
    <row r="33" spans="1:5" ht="15">
      <c r="A33" s="66" t="s">
        <v>111</v>
      </c>
      <c r="B33" s="9"/>
      <c r="C33" s="9"/>
      <c r="D33" s="3"/>
      <c r="E33" s="3"/>
    </row>
    <row r="34" spans="1:5" ht="15">
      <c r="A34" s="50" t="str">
        <f>CONCATENATE("Actual Delinquency for ",E1-3," Tax - (rate .01213 = 1.213%, key in 1.2)")</f>
        <v>Actual Delinquency for 2012 Tax - (rate .01213 = 1.213%, key in 1.2)</v>
      </c>
      <c r="B34" s="25"/>
      <c r="C34" s="25"/>
      <c r="D34" s="29"/>
      <c r="E34" s="500">
        <v>0</v>
      </c>
    </row>
    <row r="35" spans="1:5" ht="15">
      <c r="A35" s="51" t="s">
        <v>676</v>
      </c>
      <c r="B35" s="67"/>
      <c r="C35" s="53"/>
      <c r="D35" s="53"/>
      <c r="E35" s="501">
        <v>0</v>
      </c>
    </row>
    <row r="36" spans="1:5" ht="15">
      <c r="A36" s="68" t="s">
        <v>155</v>
      </c>
      <c r="B36" s="68"/>
      <c r="C36" s="69"/>
      <c r="D36" s="69"/>
      <c r="E36" s="70"/>
    </row>
    <row r="37" spans="1:5" ht="15">
      <c r="A37" s="47"/>
      <c r="B37" s="47"/>
      <c r="C37" s="47"/>
      <c r="D37" s="47"/>
      <c r="E37" s="47"/>
    </row>
    <row r="38" spans="1:5" ht="15">
      <c r="A38" s="677" t="str">
        <f>CONCATENATE("From the ",E1-2," Budget Certificate Page")</f>
        <v>From the 2013 Budget Certificate Page</v>
      </c>
      <c r="B38" s="678"/>
      <c r="C38" s="47"/>
      <c r="D38" s="47"/>
      <c r="E38" s="47"/>
    </row>
    <row r="39" spans="1:5" ht="15">
      <c r="A39" s="71"/>
      <c r="B39" s="71" t="str">
        <f>CONCATENATE("",E1-2," Expenditure Amounts")</f>
        <v>2013 Expenditure Amounts</v>
      </c>
      <c r="C39" s="679" t="str">
        <f>CONCATENATE("Note: If the ",E1-2," budget was amended, then the")</f>
        <v>Note: If the 2013 budget was amended, then the</v>
      </c>
      <c r="D39" s="680"/>
      <c r="E39" s="680"/>
    </row>
    <row r="40" spans="1:5" ht="15">
      <c r="A40" s="72" t="s">
        <v>189</v>
      </c>
      <c r="B40" s="72" t="s">
        <v>190</v>
      </c>
      <c r="C40" s="73" t="s">
        <v>191</v>
      </c>
      <c r="D40" s="74"/>
      <c r="E40" s="74"/>
    </row>
    <row r="41" spans="1:5" ht="15">
      <c r="A41" s="75" t="str">
        <f>inputPrYr!B19</f>
        <v>General</v>
      </c>
      <c r="B41" s="41">
        <v>4475</v>
      </c>
      <c r="C41" s="73" t="s">
        <v>192</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69921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
      <c r="A3" s="502" t="s">
        <v>678</v>
      </c>
      <c r="B3" s="605" t="s">
        <v>794</v>
      </c>
      <c r="C3" s="606"/>
      <c r="J3" s="503" t="s">
        <v>682</v>
      </c>
    </row>
    <row r="4" spans="1:10" ht="15">
      <c r="A4" s="311"/>
      <c r="B4" s="311"/>
      <c r="C4" s="311"/>
      <c r="D4" s="312"/>
      <c r="E4" s="311"/>
      <c r="F4" s="311"/>
      <c r="J4" s="503" t="s">
        <v>683</v>
      </c>
    </row>
    <row r="5" spans="1:10" ht="15">
      <c r="A5" s="502" t="s">
        <v>679</v>
      </c>
      <c r="B5" s="607" t="s">
        <v>802</v>
      </c>
      <c r="C5" s="311"/>
      <c r="D5" s="312"/>
      <c r="E5" s="311"/>
      <c r="F5" s="311"/>
      <c r="J5" s="503" t="s">
        <v>684</v>
      </c>
    </row>
    <row r="6" spans="1:10" ht="15">
      <c r="A6" s="311"/>
      <c r="B6" s="311"/>
      <c r="C6" s="311"/>
      <c r="D6" s="312"/>
      <c r="E6" s="311"/>
      <c r="F6" s="311"/>
      <c r="J6" s="503" t="s">
        <v>685</v>
      </c>
    </row>
    <row r="7" spans="1:10" ht="15">
      <c r="A7" s="313" t="s">
        <v>297</v>
      </c>
      <c r="B7" s="608" t="s">
        <v>803</v>
      </c>
      <c r="C7" s="314"/>
      <c r="D7" s="313" t="s">
        <v>677</v>
      </c>
      <c r="E7" s="311"/>
      <c r="F7" s="311"/>
      <c r="J7" s="503" t="s">
        <v>686</v>
      </c>
    </row>
    <row r="8" spans="1:10" ht="15">
      <c r="A8" s="313"/>
      <c r="B8" s="315"/>
      <c r="C8" s="316"/>
      <c r="D8" s="504" t="str">
        <f>IF(B7="","",CONCATENATE("Latest date for notice to be published in your newspaper: ",G18," ",G22,", ",G23))</f>
        <v>Latest date for notice to be published in your newspaper: August 5, 2014</v>
      </c>
      <c r="E8" s="311"/>
      <c r="F8" s="311"/>
      <c r="J8" s="503" t="s">
        <v>687</v>
      </c>
    </row>
    <row r="9" spans="1:10" ht="15">
      <c r="A9" s="313" t="s">
        <v>298</v>
      </c>
      <c r="B9" s="608" t="s">
        <v>804</v>
      </c>
      <c r="C9" s="317"/>
      <c r="D9" s="313"/>
      <c r="E9" s="311"/>
      <c r="F9" s="311"/>
      <c r="J9" s="503" t="s">
        <v>688</v>
      </c>
    </row>
    <row r="10" spans="1:10" ht="15">
      <c r="A10" s="313"/>
      <c r="B10" s="313"/>
      <c r="C10" s="313"/>
      <c r="D10" s="313"/>
      <c r="E10" s="311"/>
      <c r="F10" s="311"/>
      <c r="J10" s="503" t="s">
        <v>689</v>
      </c>
    </row>
    <row r="11" spans="1:10" ht="15">
      <c r="A11" s="313" t="s">
        <v>299</v>
      </c>
      <c r="B11" s="609" t="s">
        <v>805</v>
      </c>
      <c r="C11" s="610"/>
      <c r="D11" s="610"/>
      <c r="E11" s="611"/>
      <c r="F11" s="311"/>
      <c r="J11" s="503" t="s">
        <v>690</v>
      </c>
    </row>
    <row r="12" spans="1:10" ht="15">
      <c r="A12" s="313"/>
      <c r="B12" s="313"/>
      <c r="C12" s="313"/>
      <c r="D12" s="313"/>
      <c r="E12" s="311"/>
      <c r="F12" s="311"/>
      <c r="J12" s="503" t="s">
        <v>691</v>
      </c>
    </row>
    <row r="13" spans="1:6" ht="15">
      <c r="A13" s="313"/>
      <c r="B13" s="313"/>
      <c r="C13" s="313"/>
      <c r="D13" s="313"/>
      <c r="E13" s="311"/>
      <c r="F13" s="311"/>
    </row>
    <row r="14" spans="1:6" ht="15">
      <c r="A14" s="313" t="s">
        <v>300</v>
      </c>
      <c r="B14" s="609" t="s">
        <v>806</v>
      </c>
      <c r="C14" s="610"/>
      <c r="D14" s="610"/>
      <c r="E14" s="611"/>
      <c r="F14" s="311"/>
    </row>
    <row r="17" spans="1:6" ht="15">
      <c r="A17" s="683" t="s">
        <v>301</v>
      </c>
      <c r="B17" s="683"/>
      <c r="C17" s="313"/>
      <c r="D17" s="313"/>
      <c r="E17" s="313"/>
      <c r="F17" s="311"/>
    </row>
    <row r="18" spans="1:7" ht="15">
      <c r="A18" s="313"/>
      <c r="B18" s="313"/>
      <c r="C18" s="313"/>
      <c r="D18" s="313"/>
      <c r="E18" s="313"/>
      <c r="F18" s="311"/>
      <c r="G18" s="503" t="str">
        <f ca="1">IF(B7="","",INDIRECT(G19))</f>
        <v>August</v>
      </c>
    </row>
    <row r="19" spans="1:7" ht="15">
      <c r="A19" s="313" t="s">
        <v>297</v>
      </c>
      <c r="B19" s="315" t="s">
        <v>302</v>
      </c>
      <c r="C19" s="313"/>
      <c r="D19" s="313"/>
      <c r="E19" s="313"/>
      <c r="G19" s="505" t="str">
        <f>IF(B7="","",CONCATENATE("J",G21))</f>
        <v>J8</v>
      </c>
    </row>
    <row r="20" spans="1:7" ht="15">
      <c r="A20" s="313"/>
      <c r="B20" s="313"/>
      <c r="C20" s="313"/>
      <c r="D20" s="313"/>
      <c r="E20" s="313"/>
      <c r="G20" s="506">
        <f>B7-10</f>
        <v>41856</v>
      </c>
    </row>
    <row r="21" spans="1:7" ht="15">
      <c r="A21" s="313" t="s">
        <v>298</v>
      </c>
      <c r="B21" s="313" t="s">
        <v>303</v>
      </c>
      <c r="C21" s="313"/>
      <c r="D21" s="313"/>
      <c r="E21" s="313"/>
      <c r="G21" s="507">
        <f>IF(B7="","",MONTH(G20))</f>
        <v>8</v>
      </c>
    </row>
    <row r="22" spans="1:7" ht="15">
      <c r="A22" s="313"/>
      <c r="B22" s="313"/>
      <c r="C22" s="313"/>
      <c r="D22" s="313"/>
      <c r="E22" s="313"/>
      <c r="G22" s="508">
        <f>IF(B7="","",DAY(G20))</f>
        <v>5</v>
      </c>
    </row>
    <row r="23" spans="1:7" ht="15">
      <c r="A23" s="313" t="s">
        <v>299</v>
      </c>
      <c r="B23" s="313" t="s">
        <v>305</v>
      </c>
      <c r="C23" s="313"/>
      <c r="D23" s="313"/>
      <c r="E23" s="313"/>
      <c r="G23" s="509">
        <f>IF(B7="","",YEAR(G20))</f>
        <v>2014</v>
      </c>
    </row>
    <row r="24" spans="1:5" ht="15">
      <c r="A24" s="313"/>
      <c r="B24" s="313"/>
      <c r="C24" s="313"/>
      <c r="D24" s="313"/>
      <c r="E24" s="313"/>
    </row>
    <row r="25" spans="1:5" ht="1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T90" sqref="T90"/>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85" t="s">
        <v>79</v>
      </c>
      <c r="B2" s="685"/>
      <c r="C2" s="685"/>
      <c r="D2" s="685"/>
      <c r="E2" s="685"/>
      <c r="F2" s="685"/>
      <c r="G2" s="685"/>
    </row>
    <row r="3" spans="1:7" ht="15">
      <c r="A3" s="3"/>
      <c r="B3" s="3"/>
      <c r="C3" s="3"/>
      <c r="D3" s="3"/>
      <c r="E3" s="3"/>
      <c r="F3" s="3"/>
      <c r="G3" s="45">
        <f>inputPrYr!D6</f>
        <v>2015</v>
      </c>
    </row>
    <row r="4" spans="1:7" ht="15">
      <c r="A4" s="686" t="str">
        <f>CONCATENATE("To the Clerk of ",inputPrYr!D4,", State of Kansas")</f>
        <v>To the Clerk of Ellsworth County, State of Kansas</v>
      </c>
      <c r="B4" s="686"/>
      <c r="C4" s="686"/>
      <c r="D4" s="686"/>
      <c r="E4" s="686"/>
      <c r="F4" s="686"/>
      <c r="G4" s="686"/>
    </row>
    <row r="5" spans="1:7" ht="15">
      <c r="A5" s="78" t="s">
        <v>138</v>
      </c>
      <c r="B5" s="9"/>
      <c r="C5" s="9"/>
      <c r="D5" s="9"/>
      <c r="E5" s="9"/>
      <c r="F5" s="9"/>
      <c r="G5" s="9"/>
    </row>
    <row r="6" spans="1:7" ht="15">
      <c r="A6" s="668" t="str">
        <f>inputPrYr!D3</f>
        <v>Buckeye Cemetery</v>
      </c>
      <c r="B6" s="668"/>
      <c r="C6" s="668"/>
      <c r="D6" s="668"/>
      <c r="E6" s="668"/>
      <c r="F6" s="668"/>
      <c r="G6" s="668"/>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
      <c r="A13" s="3"/>
      <c r="B13" s="3"/>
      <c r="C13" s="3"/>
      <c r="D13" s="3"/>
      <c r="E13" s="687" t="str">
        <f>CONCATENATE("",G3," Adopted Budget")</f>
        <v>2015 Adopted Budget</v>
      </c>
      <c r="F13" s="688"/>
      <c r="G13" s="689"/>
    </row>
    <row r="14" spans="1:8" ht="15">
      <c r="A14" s="2"/>
      <c r="B14" s="3"/>
      <c r="C14" s="3"/>
      <c r="D14" s="25"/>
      <c r="E14" s="82" t="s">
        <v>18</v>
      </c>
      <c r="F14" s="83"/>
      <c r="G14" s="84" t="s">
        <v>19</v>
      </c>
      <c r="H14" s="85"/>
    </row>
    <row r="15" spans="1:7" ht="15">
      <c r="A15" s="3"/>
      <c r="B15" s="3"/>
      <c r="C15" s="3"/>
      <c r="D15" s="83" t="s">
        <v>20</v>
      </c>
      <c r="E15" s="86" t="s">
        <v>190</v>
      </c>
      <c r="F15" s="690" t="str">
        <f>CONCATENATE("Amount of ",G3-1," Ad Valorem Tax")</f>
        <v>Amount of 2014 Ad Valorem Tax</v>
      </c>
      <c r="G15" s="84" t="s">
        <v>21</v>
      </c>
    </row>
    <row r="16" spans="1:7" ht="15">
      <c r="A16" s="2" t="s">
        <v>22</v>
      </c>
      <c r="B16" s="3"/>
      <c r="C16" s="3"/>
      <c r="D16" s="86" t="s">
        <v>23</v>
      </c>
      <c r="E16" s="86" t="s">
        <v>531</v>
      </c>
      <c r="F16" s="690"/>
      <c r="G16" s="84" t="s">
        <v>25</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699</v>
      </c>
      <c r="B19" s="87"/>
      <c r="C19" s="87"/>
      <c r="D19" s="92">
        <v>3</v>
      </c>
      <c r="E19" s="81"/>
      <c r="F19" s="81"/>
      <c r="G19" s="93"/>
    </row>
    <row r="20" spans="1:7" ht="15">
      <c r="A20" s="94" t="s">
        <v>129</v>
      </c>
      <c r="B20" s="87"/>
      <c r="C20" s="87"/>
      <c r="D20" s="95">
        <v>4</v>
      </c>
      <c r="E20" s="81"/>
      <c r="F20" s="81"/>
      <c r="G20" s="93"/>
    </row>
    <row r="21" spans="1:7" ht="15">
      <c r="A21" s="91" t="s">
        <v>128</v>
      </c>
      <c r="B21" s="87"/>
      <c r="C21" s="87"/>
      <c r="D21" s="95">
        <v>5</v>
      </c>
      <c r="E21" s="81"/>
      <c r="F21" s="81"/>
      <c r="G21" s="93"/>
    </row>
    <row r="22" spans="1:7" ht="15">
      <c r="A22" s="96" t="s">
        <v>26</v>
      </c>
      <c r="B22" s="97"/>
      <c r="C22" s="98" t="s">
        <v>27</v>
      </c>
      <c r="D22" s="92"/>
      <c r="E22" s="99"/>
      <c r="F22" s="25"/>
      <c r="G22" s="29"/>
    </row>
    <row r="23" spans="1:7" ht="15">
      <c r="A23" s="100" t="s">
        <v>10</v>
      </c>
      <c r="B23" s="97"/>
      <c r="C23" s="92">
        <f>inputPrYr!C19</f>
        <v>0</v>
      </c>
      <c r="D23" s="101">
        <v>6</v>
      </c>
      <c r="E23" s="522">
        <f>IF(gen!$E$61&lt;&gt;0,gen!$E$61,"  ")</f>
        <v>4644</v>
      </c>
      <c r="F23" s="522">
        <f>IF(gen!$E$68&lt;&gt;0,gen!$E$68,"  ")</f>
        <v>4324</v>
      </c>
      <c r="G23" s="523" t="str">
        <f>IF(AND(gen!E68=0,$G$32&gt;=0)," ",IF(AND(F23&gt;0,$G$32=0)," ",IF(AND(F23&gt;0,$G$32&gt;0),ROUND(F23/$G$32*1000,3))))</f>
        <v> </v>
      </c>
    </row>
    <row r="24" spans="1:7" ht="1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
      <c r="A27" s="102" t="str">
        <f>IF(inputPrYr!$B$26&gt;"  ",inputPrYr!$B$26,"  ")</f>
        <v>  </v>
      </c>
      <c r="B27" s="52"/>
      <c r="C27" s="103"/>
      <c r="D27" s="101" t="str">
        <f>IF(nolevypage9!C70&gt;0,nolevypage9!C70," ")</f>
        <v> </v>
      </c>
      <c r="E27" s="215" t="str">
        <f>IF(nolevypage9!$E$31&lt;&gt;0,nolevypage9!$E$31,"  ")</f>
        <v>  </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125</v>
      </c>
      <c r="B30" s="52"/>
      <c r="C30" s="97"/>
      <c r="D30" s="109" t="s">
        <v>28</v>
      </c>
      <c r="E30" s="528">
        <f>SUM(E23:E28)</f>
        <v>4644</v>
      </c>
      <c r="F30" s="529">
        <f>SUM(F23:F28)</f>
        <v>4324</v>
      </c>
      <c r="G30" s="530">
        <f>IF(SUM(G23:G28)=0,"",SUM(G23:G28))</f>
      </c>
    </row>
    <row r="31" spans="1:7" ht="15">
      <c r="A31" s="100" t="s">
        <v>182</v>
      </c>
      <c r="B31" s="52"/>
      <c r="C31" s="97"/>
      <c r="D31" s="112">
        <f>summ!E41</f>
        <v>0</v>
      </c>
      <c r="E31" s="633" t="s">
        <v>769</v>
      </c>
      <c r="F31" s="352" t="str">
        <f>IF(F30&gt;1000,IF(F30&gt;computation!J41,"Yes","No"),"No")</f>
        <v>No</v>
      </c>
      <c r="G31" s="353" t="s">
        <v>127</v>
      </c>
    </row>
    <row r="32" spans="1:7" ht="15">
      <c r="A32" s="660" t="s">
        <v>197</v>
      </c>
      <c r="B32" s="659"/>
      <c r="C32" s="658"/>
      <c r="D32" s="657">
        <f>IF(Nhood!C35=0,"",Nhood!C35)</f>
      </c>
      <c r="E32" s="351"/>
      <c r="F32" s="53"/>
      <c r="G32" s="117"/>
    </row>
    <row r="33" spans="1:7" ht="15">
      <c r="A33" s="656"/>
      <c r="B33" s="106"/>
      <c r="C33" s="106"/>
      <c r="D33" s="616"/>
      <c r="E33" s="45"/>
      <c r="F33" s="53"/>
      <c r="G33" s="691" t="str">
        <f>CONCATENATE("Nov. 1, ",G3-1," Total Assessed Valuation")</f>
        <v>Nov. 1, 2014 Total Assessed Valuation</v>
      </c>
    </row>
    <row r="34" spans="1:7" ht="15">
      <c r="A34" s="5"/>
      <c r="B34" s="53"/>
      <c r="C34" s="3"/>
      <c r="D34" s="114"/>
      <c r="E34" s="45"/>
      <c r="F34" s="53"/>
      <c r="G34" s="692"/>
    </row>
    <row r="35" spans="1:7" ht="15">
      <c r="A35" s="2" t="s">
        <v>534</v>
      </c>
      <c r="B35" s="53"/>
      <c r="C35" s="53"/>
      <c r="D35" s="53"/>
      <c r="E35" s="113"/>
      <c r="F35" s="53"/>
      <c r="G35" s="3"/>
    </row>
    <row r="36" spans="1:7" ht="15">
      <c r="A36" s="487"/>
      <c r="B36" s="487"/>
      <c r="C36" s="53"/>
      <c r="D36" s="53"/>
      <c r="E36" s="116"/>
      <c r="F36" s="53"/>
      <c r="G36" s="3"/>
    </row>
    <row r="37" spans="1:7" ht="15">
      <c r="A37" s="488"/>
      <c r="B37" s="488"/>
      <c r="C37" s="53"/>
      <c r="D37" s="53"/>
      <c r="E37" s="358"/>
      <c r="F37" s="53"/>
      <c r="G37" s="53"/>
    </row>
    <row r="38" spans="1:7" ht="15">
      <c r="A38" s="5" t="s">
        <v>535</v>
      </c>
      <c r="B38" s="53"/>
      <c r="C38" s="53"/>
      <c r="D38" s="53"/>
      <c r="E38" s="517"/>
      <c r="F38" s="53"/>
      <c r="G38" s="53"/>
    </row>
    <row r="39" spans="1:7" ht="15">
      <c r="A39" s="487"/>
      <c r="B39" s="487"/>
      <c r="C39" s="53"/>
      <c r="D39" s="53" t="s">
        <v>698</v>
      </c>
      <c r="E39" s="518"/>
      <c r="F39" s="518"/>
      <c r="G39" s="53"/>
    </row>
    <row r="40" spans="1:7" ht="15">
      <c r="A40" s="488"/>
      <c r="B40" s="488"/>
      <c r="C40" s="37"/>
      <c r="D40" s="53"/>
      <c r="E40" s="518"/>
      <c r="F40" s="518"/>
      <c r="G40" s="53"/>
    </row>
    <row r="41" spans="1:7" ht="15">
      <c r="A41" s="5" t="s">
        <v>697</v>
      </c>
      <c r="B41" s="53"/>
      <c r="C41" s="3"/>
      <c r="D41" s="53" t="s">
        <v>698</v>
      </c>
      <c r="E41" s="519"/>
      <c r="F41" s="53"/>
      <c r="G41" s="53"/>
    </row>
    <row r="42" spans="1:7" ht="15">
      <c r="A42" s="488"/>
      <c r="B42" s="488"/>
      <c r="C42" s="2"/>
      <c r="D42" s="6"/>
      <c r="E42" s="118"/>
      <c r="F42" s="53"/>
      <c r="G42" s="53"/>
    </row>
    <row r="43" spans="1:7" ht="15">
      <c r="A43" s="5"/>
      <c r="B43" s="53"/>
      <c r="C43" s="53"/>
      <c r="D43" s="53" t="s">
        <v>698</v>
      </c>
      <c r="E43" s="118"/>
      <c r="F43" s="520"/>
      <c r="G43" s="520"/>
    </row>
    <row r="44" spans="1:7" ht="15">
      <c r="A44" s="5"/>
      <c r="B44" s="81"/>
      <c r="C44" s="53"/>
      <c r="D44" s="118"/>
      <c r="E44" s="118"/>
      <c r="F44" s="118"/>
      <c r="G44" s="118"/>
    </row>
    <row r="45" spans="1:7" ht="15">
      <c r="A45" s="5"/>
      <c r="B45" s="53"/>
      <c r="C45" s="53"/>
      <c r="D45" s="53" t="s">
        <v>698</v>
      </c>
      <c r="E45" s="118"/>
      <c r="F45" s="520"/>
      <c r="G45" s="520"/>
    </row>
    <row r="46" spans="1:7" ht="15">
      <c r="A46" s="53"/>
      <c r="B46" s="53"/>
      <c r="C46" s="53"/>
      <c r="D46" s="118"/>
      <c r="E46" s="118"/>
      <c r="F46" s="118"/>
      <c r="G46" s="118"/>
    </row>
    <row r="47" spans="1:7" ht="15">
      <c r="A47" s="2" t="s">
        <v>176</v>
      </c>
      <c r="B47" s="3"/>
      <c r="C47" s="2">
        <f>G3-1</f>
        <v>2014</v>
      </c>
      <c r="D47" s="53" t="s">
        <v>698</v>
      </c>
      <c r="E47" s="53"/>
      <c r="F47" s="520"/>
      <c r="G47" s="520"/>
    </row>
    <row r="48" spans="1:7" ht="15">
      <c r="A48" s="118"/>
      <c r="B48" s="53"/>
      <c r="C48" s="2"/>
      <c r="D48" s="53"/>
      <c r="E48" s="53"/>
      <c r="F48" s="521"/>
      <c r="G48" s="521"/>
    </row>
    <row r="49" spans="1:7" ht="15">
      <c r="A49" s="693"/>
      <c r="B49" s="694"/>
      <c r="C49" s="3"/>
      <c r="D49" s="53" t="s">
        <v>698</v>
      </c>
      <c r="E49" s="53"/>
      <c r="F49" s="53"/>
      <c r="G49" s="53"/>
    </row>
    <row r="50" spans="1:7" ht="15">
      <c r="A50" s="9" t="s">
        <v>30</v>
      </c>
      <c r="B50" s="9"/>
      <c r="C50" s="3"/>
      <c r="D50" s="695" t="s">
        <v>29</v>
      </c>
      <c r="E50" s="696"/>
      <c r="F50" s="696"/>
      <c r="G50" s="696"/>
    </row>
    <row r="51" spans="1:7" ht="15">
      <c r="A51" s="697"/>
      <c r="B51" s="697"/>
      <c r="C51" s="697"/>
      <c r="D51" s="697"/>
      <c r="E51" s="697"/>
      <c r="F51" s="697"/>
      <c r="G51" s="697"/>
    </row>
    <row r="52" spans="1:7" ht="15">
      <c r="A52" s="698"/>
      <c r="B52" s="698"/>
      <c r="C52" s="698"/>
      <c r="D52" s="698"/>
      <c r="E52" s="698"/>
      <c r="F52" s="698"/>
      <c r="G52" s="698"/>
    </row>
    <row r="53" spans="1:7" ht="15">
      <c r="A53" s="1"/>
      <c r="B53" s="1"/>
      <c r="C53" s="1"/>
      <c r="D53" s="1"/>
      <c r="E53" s="1"/>
      <c r="F53" s="1"/>
      <c r="G53" s="684"/>
    </row>
    <row r="54" spans="1:7" ht="15">
      <c r="A54" s="1"/>
      <c r="B54" s="1"/>
      <c r="C54" s="1"/>
      <c r="D54" s="1"/>
      <c r="E54" s="1"/>
      <c r="F54" s="1"/>
      <c r="G54" s="684"/>
    </row>
    <row r="55" spans="1:7" ht="15">
      <c r="A55" s="1"/>
      <c r="B55" s="1"/>
      <c r="C55" s="1"/>
      <c r="D55" s="1"/>
      <c r="E55" s="1"/>
      <c r="F55" s="1"/>
      <c r="G55" s="684"/>
    </row>
    <row r="56" spans="1:7" ht="15">
      <c r="A56" s="1"/>
      <c r="B56" s="1"/>
      <c r="C56" s="1"/>
      <c r="D56" s="1"/>
      <c r="E56" s="1"/>
      <c r="F56" s="1"/>
      <c r="G56" s="684"/>
    </row>
    <row r="57" spans="1:7" ht="15">
      <c r="A57" s="1"/>
      <c r="B57" s="1"/>
      <c r="C57" s="1"/>
      <c r="D57" s="119"/>
      <c r="E57" s="1"/>
      <c r="F57" s="1"/>
      <c r="G57" s="684"/>
    </row>
    <row r="58" ht="15">
      <c r="G58" s="684"/>
    </row>
    <row r="59" ht="15">
      <c r="G59" s="684"/>
    </row>
    <row r="60" ht="15">
      <c r="G60" s="684"/>
    </row>
    <row r="61" ht="15">
      <c r="G61" s="684"/>
    </row>
    <row r="62" ht="15">
      <c r="G62" s="684"/>
    </row>
    <row r="63" ht="15">
      <c r="G63" s="684"/>
    </row>
    <row r="64" ht="15">
      <c r="G64" s="684"/>
    </row>
    <row r="65" ht="1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22">
      <selection activeCell="A44" sqref="A44:J44"/>
    </sheetView>
  </sheetViews>
  <sheetFormatPr defaultColWidth="8.8984375" defaultRowHeight="15.75" customHeight="1"/>
  <cols>
    <col min="1" max="2" width="3.296875" style="120" customWidth="1"/>
    <col min="3" max="3" width="31.296875" style="120" customWidth="1"/>
    <col min="4" max="4" width="2.296875" style="120" customWidth="1"/>
    <col min="5" max="5" width="15.69921875" style="120" customWidth="1"/>
    <col min="6" max="6" width="2" style="120" customWidth="1"/>
    <col min="7" max="7" width="15.69921875" style="120" customWidth="1"/>
    <col min="8" max="8" width="1.8984375" style="120" customWidth="1"/>
    <col min="9" max="9" width="1.69921875" style="120" customWidth="1"/>
    <col min="10" max="10" width="15.69921875" style="120" customWidth="1"/>
    <col min="11" max="16384" width="8.8984375" style="120" customWidth="1"/>
  </cols>
  <sheetData>
    <row r="1" spans="1:10" ht="15.75" customHeight="1">
      <c r="A1" s="3"/>
      <c r="B1" s="3"/>
      <c r="C1" s="3" t="str">
        <f>inputPrYr!D3</f>
        <v>Buckeye Cemetery</v>
      </c>
      <c r="D1" s="3"/>
      <c r="E1" s="3"/>
      <c r="F1" s="3"/>
      <c r="G1" s="3"/>
      <c r="H1" s="3"/>
      <c r="I1" s="3"/>
      <c r="J1" s="3">
        <f>inputPrYr!D6</f>
        <v>2015</v>
      </c>
    </row>
    <row r="2" spans="1:10" ht="15.75" customHeight="1">
      <c r="A2" s="3"/>
      <c r="B2" s="3"/>
      <c r="C2" s="3" t="str">
        <f>inputPrYr!D4</f>
        <v>Ellsworth County</v>
      </c>
      <c r="D2" s="3"/>
      <c r="E2" s="3"/>
      <c r="F2" s="3"/>
      <c r="G2" s="3"/>
      <c r="H2" s="3"/>
      <c r="I2" s="3"/>
      <c r="J2" s="3"/>
    </row>
    <row r="3" spans="1:10" ht="15">
      <c r="A3" s="670" t="str">
        <f>CONCATENATE("Computation to Determine Limit for ",J1,"")</f>
        <v>Computation to Determine Limit for 2015</v>
      </c>
      <c r="B3" s="685"/>
      <c r="C3" s="685"/>
      <c r="D3" s="685"/>
      <c r="E3" s="685"/>
      <c r="F3" s="685"/>
      <c r="G3" s="685"/>
      <c r="H3" s="685"/>
      <c r="I3" s="685"/>
      <c r="J3" s="685"/>
    </row>
    <row r="4" spans="1:10" ht="15">
      <c r="A4" s="3"/>
      <c r="B4" s="3"/>
      <c r="C4" s="3"/>
      <c r="D4" s="3"/>
      <c r="E4" s="685"/>
      <c r="F4" s="685"/>
      <c r="G4" s="685"/>
      <c r="H4" s="77"/>
      <c r="I4" s="3"/>
      <c r="J4" s="121" t="s">
        <v>90</v>
      </c>
    </row>
    <row r="5" spans="1:10" ht="15">
      <c r="A5" s="122" t="s">
        <v>91</v>
      </c>
      <c r="B5" s="3" t="str">
        <f>CONCATENATE("Total tax levy amount in ",J1-1," budget")</f>
        <v>Total tax levy amount in 2014 budget</v>
      </c>
      <c r="C5" s="3"/>
      <c r="D5" s="3"/>
      <c r="E5" s="22"/>
      <c r="F5" s="22"/>
      <c r="G5" s="22"/>
      <c r="H5" s="123" t="s">
        <v>92</v>
      </c>
      <c r="I5" s="22" t="s">
        <v>93</v>
      </c>
      <c r="J5" s="330">
        <f>inputPrYr!E24</f>
        <v>4234</v>
      </c>
    </row>
    <row r="6" spans="1:10" ht="15">
      <c r="A6" s="122" t="s">
        <v>94</v>
      </c>
      <c r="B6" s="3" t="str">
        <f>CONCATENATE("Debt service levy in ",J1-1," budget")</f>
        <v>Debt service levy in 2014 budget</v>
      </c>
      <c r="C6" s="3"/>
      <c r="D6" s="3"/>
      <c r="E6" s="22"/>
      <c r="F6" s="22"/>
      <c r="G6" s="22"/>
      <c r="H6" s="123" t="s">
        <v>95</v>
      </c>
      <c r="I6" s="22" t="s">
        <v>93</v>
      </c>
      <c r="J6" s="124">
        <f>inputPrYr!E20</f>
        <v>0</v>
      </c>
    </row>
    <row r="7" spans="1:10" ht="15">
      <c r="A7" s="122" t="s">
        <v>113</v>
      </c>
      <c r="B7" s="3" t="s">
        <v>763</v>
      </c>
      <c r="C7" s="3"/>
      <c r="D7" s="3"/>
      <c r="E7" s="22"/>
      <c r="F7" s="22"/>
      <c r="G7" s="22"/>
      <c r="H7" s="22"/>
      <c r="I7" s="22" t="s">
        <v>93</v>
      </c>
      <c r="J7" s="26">
        <f>J5-J6</f>
        <v>4234</v>
      </c>
    </row>
    <row r="8" spans="1:10" ht="15">
      <c r="A8" s="3"/>
      <c r="B8" s="3"/>
      <c r="C8" s="3"/>
      <c r="D8" s="3"/>
      <c r="E8" s="22"/>
      <c r="F8" s="22"/>
      <c r="G8" s="22"/>
      <c r="H8" s="22"/>
      <c r="I8" s="22"/>
      <c r="J8" s="22"/>
    </row>
    <row r="9" spans="1:10" ht="15">
      <c r="A9" s="685" t="str">
        <f>CONCATENATE("",J1-1," Valuation Information for Valuation Adjustments")</f>
        <v>2014 Valuation Information for Valuation Adjustments</v>
      </c>
      <c r="B9" s="671"/>
      <c r="C9" s="671"/>
      <c r="D9" s="671"/>
      <c r="E9" s="671"/>
      <c r="F9" s="671"/>
      <c r="G9" s="671"/>
      <c r="H9" s="671"/>
      <c r="I9" s="671"/>
      <c r="J9" s="671"/>
    </row>
    <row r="10" spans="1:10" ht="15">
      <c r="A10" s="3"/>
      <c r="B10" s="3"/>
      <c r="C10" s="3"/>
      <c r="D10" s="3"/>
      <c r="E10" s="22"/>
      <c r="F10" s="22"/>
      <c r="G10" s="22"/>
      <c r="H10" s="22"/>
      <c r="I10" s="22"/>
      <c r="J10" s="22"/>
    </row>
    <row r="11" spans="1:10" ht="15">
      <c r="A11" s="122" t="s">
        <v>96</v>
      </c>
      <c r="B11" s="3" t="str">
        <f>CONCATENATE("New improvements for ",J1-1,":")</f>
        <v>New improvements for 2014:</v>
      </c>
      <c r="C11" s="3"/>
      <c r="D11" s="3"/>
      <c r="E11" s="123"/>
      <c r="F11" s="123" t="s">
        <v>92</v>
      </c>
      <c r="G11" s="618">
        <f>inputOth!E8</f>
        <v>8911</v>
      </c>
      <c r="H11" s="617"/>
      <c r="I11" s="22"/>
      <c r="J11" s="22"/>
    </row>
    <row r="12" spans="1:10" ht="15">
      <c r="A12" s="122"/>
      <c r="B12" s="122"/>
      <c r="C12" s="3"/>
      <c r="D12" s="3"/>
      <c r="E12" s="123"/>
      <c r="F12" s="123"/>
      <c r="G12" s="617"/>
      <c r="H12" s="617"/>
      <c r="I12" s="22"/>
      <c r="J12" s="22"/>
    </row>
    <row r="13" spans="1:10" ht="15">
      <c r="A13" s="122" t="s">
        <v>97</v>
      </c>
      <c r="B13" s="3" t="str">
        <f>CONCATENATE("Increase in personal property for ",J1-1,":")</f>
        <v>Increase in personal property for 2014:</v>
      </c>
      <c r="C13" s="3"/>
      <c r="D13" s="3"/>
      <c r="E13" s="123"/>
      <c r="F13" s="123"/>
      <c r="G13" s="617"/>
      <c r="H13" s="617"/>
      <c r="I13" s="22"/>
      <c r="J13" s="22"/>
    </row>
    <row r="14" spans="1:10" ht="15">
      <c r="A14" s="3"/>
      <c r="B14" s="3" t="s">
        <v>98</v>
      </c>
      <c r="C14" s="3" t="str">
        <f>CONCATENATE("Personal property ",J1-1,"")</f>
        <v>Personal property 2014</v>
      </c>
      <c r="D14" s="122" t="s">
        <v>92</v>
      </c>
      <c r="E14" s="618">
        <f>inputOth!E9</f>
        <v>42095</v>
      </c>
      <c r="F14" s="123"/>
      <c r="G14" s="22"/>
      <c r="H14" s="22"/>
      <c r="I14" s="617"/>
      <c r="J14" s="22"/>
    </row>
    <row r="15" spans="1:10" ht="15">
      <c r="A15" s="122"/>
      <c r="B15" s="3" t="s">
        <v>99</v>
      </c>
      <c r="C15" s="3" t="str">
        <f>CONCATENATE("Personal property ",J1-2,"")</f>
        <v>Personal property 2013</v>
      </c>
      <c r="D15" s="122" t="s">
        <v>95</v>
      </c>
      <c r="E15" s="26">
        <f>inputOth!E11</f>
        <v>153677</v>
      </c>
      <c r="F15" s="123"/>
      <c r="G15" s="617"/>
      <c r="H15" s="617"/>
      <c r="I15" s="22"/>
      <c r="J15" s="22"/>
    </row>
    <row r="16" spans="1:10" ht="15">
      <c r="A16" s="122"/>
      <c r="B16" s="3" t="s">
        <v>100</v>
      </c>
      <c r="C16" s="3" t="s">
        <v>764</v>
      </c>
      <c r="D16" s="3"/>
      <c r="E16" s="22"/>
      <c r="F16" s="22" t="s">
        <v>92</v>
      </c>
      <c r="G16" s="618">
        <f>IF(E14&gt;E15,E14-E15,0)</f>
        <v>0</v>
      </c>
      <c r="H16" s="617"/>
      <c r="I16" s="22"/>
      <c r="J16" s="22"/>
    </row>
    <row r="17" spans="1:10" ht="15">
      <c r="A17" s="122"/>
      <c r="B17" s="122"/>
      <c r="C17" s="3"/>
      <c r="D17" s="3"/>
      <c r="E17" s="22"/>
      <c r="F17" s="22"/>
      <c r="G17" s="617" t="s">
        <v>108</v>
      </c>
      <c r="H17" s="617"/>
      <c r="I17" s="22"/>
      <c r="J17" s="22"/>
    </row>
    <row r="18" spans="1:10" ht="15">
      <c r="A18" s="122" t="s">
        <v>101</v>
      </c>
      <c r="B18" s="3" t="str">
        <f>CONCATENATE("Valuation of property that has changed in use during ",J1-1,":")</f>
        <v>Valuation of property that has changed in use during 2014:</v>
      </c>
      <c r="C18" s="3"/>
      <c r="D18" s="122"/>
      <c r="E18" s="22"/>
      <c r="F18" s="22"/>
      <c r="G18" s="22">
        <f>inputOth!E10</f>
        <v>4574</v>
      </c>
      <c r="H18" s="22"/>
      <c r="I18" s="22"/>
      <c r="J18" s="22"/>
    </row>
    <row r="19" spans="1:10" ht="15">
      <c r="A19" s="3" t="s">
        <v>18</v>
      </c>
      <c r="B19" s="3"/>
      <c r="C19" s="3"/>
      <c r="D19" s="3"/>
      <c r="E19" s="617"/>
      <c r="F19" s="22"/>
      <c r="G19" s="619"/>
      <c r="H19" s="617"/>
      <c r="I19" s="22"/>
      <c r="J19" s="22"/>
    </row>
    <row r="20" spans="1:10" ht="15">
      <c r="A20" s="122" t="s">
        <v>102</v>
      </c>
      <c r="B20" s="3" t="s">
        <v>765</v>
      </c>
      <c r="C20" s="3"/>
      <c r="D20" s="122"/>
      <c r="E20" s="22"/>
      <c r="F20" s="22"/>
      <c r="G20" s="618">
        <f>G11+G16+G18</f>
        <v>13485</v>
      </c>
      <c r="H20" s="617"/>
      <c r="I20" s="22"/>
      <c r="J20" s="22"/>
    </row>
    <row r="21" spans="1:10" ht="15">
      <c r="A21" s="122"/>
      <c r="B21" s="122"/>
      <c r="C21" s="3"/>
      <c r="D21" s="3"/>
      <c r="E21" s="22"/>
      <c r="F21" s="22"/>
      <c r="G21" s="617"/>
      <c r="H21" s="617"/>
      <c r="I21" s="22"/>
      <c r="J21" s="22"/>
    </row>
    <row r="22" spans="1:10" ht="15">
      <c r="A22" s="122" t="s">
        <v>103</v>
      </c>
      <c r="B22" s="3" t="str">
        <f>CONCATENATE("Total estimated valuation July, 1,",J1-1,"")</f>
        <v>Total estimated valuation July, 1,2014</v>
      </c>
      <c r="C22" s="3"/>
      <c r="D22" s="3"/>
      <c r="E22" s="618">
        <f>inputOth!E7</f>
        <v>2119595</v>
      </c>
      <c r="F22" s="22"/>
      <c r="G22" s="22"/>
      <c r="H22" s="22"/>
      <c r="I22" s="123"/>
      <c r="J22" s="22"/>
    </row>
    <row r="23" spans="1:10" ht="15">
      <c r="A23" s="122"/>
      <c r="B23" s="122"/>
      <c r="C23" s="3"/>
      <c r="D23" s="3"/>
      <c r="E23" s="617"/>
      <c r="F23" s="22"/>
      <c r="G23" s="22"/>
      <c r="H23" s="22"/>
      <c r="I23" s="123"/>
      <c r="J23" s="22"/>
    </row>
    <row r="24" spans="1:10" ht="15">
      <c r="A24" s="122" t="s">
        <v>104</v>
      </c>
      <c r="B24" s="3" t="s">
        <v>766</v>
      </c>
      <c r="C24" s="3"/>
      <c r="D24" s="3"/>
      <c r="E24" s="22"/>
      <c r="F24" s="22"/>
      <c r="G24" s="618">
        <f>E22-G20</f>
        <v>2106110</v>
      </c>
      <c r="H24" s="617"/>
      <c r="I24" s="123"/>
      <c r="J24" s="22"/>
    </row>
    <row r="25" spans="1:10" ht="15">
      <c r="A25" s="122"/>
      <c r="B25" s="122"/>
      <c r="C25" s="3"/>
      <c r="D25" s="3"/>
      <c r="E25" s="22"/>
      <c r="F25" s="22"/>
      <c r="G25" s="619"/>
      <c r="H25" s="617"/>
      <c r="I25" s="123"/>
      <c r="J25" s="22"/>
    </row>
    <row r="26" spans="1:10" ht="15">
      <c r="A26" s="122" t="s">
        <v>105</v>
      </c>
      <c r="B26" s="3" t="s">
        <v>767</v>
      </c>
      <c r="C26" s="3"/>
      <c r="D26" s="3"/>
      <c r="E26" s="3"/>
      <c r="F26" s="3"/>
      <c r="G26" s="620">
        <f>IF(G20&gt;0,G20/G24,0)</f>
        <v>0.006402799473911619</v>
      </c>
      <c r="H26" s="53"/>
      <c r="I26" s="3"/>
      <c r="J26" s="3"/>
    </row>
    <row r="27" spans="1:10" ht="15">
      <c r="A27" s="122"/>
      <c r="B27" s="122"/>
      <c r="C27" s="3"/>
      <c r="D27" s="3"/>
      <c r="E27" s="3"/>
      <c r="F27" s="3"/>
      <c r="G27" s="53"/>
      <c r="H27" s="53"/>
      <c r="I27" s="3"/>
      <c r="J27" s="3"/>
    </row>
    <row r="28" spans="1:10" ht="15">
      <c r="A28" s="122" t="s">
        <v>106</v>
      </c>
      <c r="B28" s="3" t="s">
        <v>768</v>
      </c>
      <c r="C28" s="3"/>
      <c r="D28" s="3"/>
      <c r="E28" s="3"/>
      <c r="F28" s="3"/>
      <c r="G28" s="53"/>
      <c r="H28" s="125" t="s">
        <v>92</v>
      </c>
      <c r="I28" s="3" t="s">
        <v>93</v>
      </c>
      <c r="J28" s="618">
        <f>ROUND(G26*J7,0)</f>
        <v>27</v>
      </c>
    </row>
    <row r="29" spans="1:10" ht="15">
      <c r="A29" s="122"/>
      <c r="B29" s="122"/>
      <c r="C29" s="3"/>
      <c r="D29" s="3"/>
      <c r="E29" s="3"/>
      <c r="F29" s="3"/>
      <c r="G29" s="53"/>
      <c r="H29" s="125"/>
      <c r="I29" s="3"/>
      <c r="J29" s="617"/>
    </row>
    <row r="30" spans="1:10" ht="15.7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4261</v>
      </c>
    </row>
    <row r="31" spans="1:10" ht="15.75" thickTop="1">
      <c r="A31" s="122"/>
      <c r="B31" s="3"/>
      <c r="C31" s="3"/>
      <c r="D31" s="3"/>
      <c r="E31" s="3"/>
      <c r="F31" s="3"/>
      <c r="G31" s="3"/>
      <c r="H31" s="3"/>
      <c r="I31" s="3"/>
      <c r="J31" s="3"/>
    </row>
    <row r="32" spans="1:10" ht="15">
      <c r="A32" s="122" t="s">
        <v>114</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4261</v>
      </c>
    </row>
    <row r="35" spans="1:10" ht="15.75" thickTop="1">
      <c r="A35" s="627"/>
      <c r="B35" s="626"/>
      <c r="C35" s="626"/>
      <c r="D35" s="626"/>
      <c r="E35" s="626"/>
      <c r="F35" s="626"/>
      <c r="G35" s="626"/>
      <c r="H35" s="626"/>
      <c r="I35" s="626"/>
      <c r="J35" s="624"/>
    </row>
    <row r="36" spans="1:10" ht="1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
      <c r="A37" s="629"/>
      <c r="B37" s="626"/>
      <c r="C37" s="626"/>
      <c r="D37" s="626"/>
      <c r="E37" s="626"/>
      <c r="F37" s="626"/>
      <c r="G37" s="626"/>
      <c r="H37" s="626"/>
      <c r="I37" s="626"/>
      <c r="J37" s="631"/>
    </row>
    <row r="38" spans="1:10" ht="15">
      <c r="A38" s="629" t="s">
        <v>759</v>
      </c>
      <c r="B38" s="626" t="s">
        <v>791</v>
      </c>
      <c r="C38" s="626"/>
      <c r="D38" s="626"/>
      <c r="E38" s="626"/>
      <c r="F38" s="626"/>
      <c r="G38" s="626"/>
      <c r="H38" s="626"/>
      <c r="I38" s="625" t="s">
        <v>93</v>
      </c>
      <c r="J38" s="623">
        <f>J7*J36</f>
        <v>63.51</v>
      </c>
    </row>
    <row r="39" spans="1:10" ht="15">
      <c r="A39" s="627"/>
      <c r="B39" s="626"/>
      <c r="C39" s="626"/>
      <c r="D39" s="626"/>
      <c r="E39" s="626"/>
      <c r="F39" s="626"/>
      <c r="G39" s="626"/>
      <c r="H39" s="626"/>
      <c r="I39" s="626"/>
      <c r="J39" s="624"/>
    </row>
    <row r="40" spans="1:10" ht="1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8" thickBot="1">
      <c r="A41" s="615"/>
      <c r="B41" s="625" t="s">
        <v>792</v>
      </c>
      <c r="C41" s="615"/>
      <c r="D41" s="615"/>
      <c r="E41" s="615"/>
      <c r="F41" s="615"/>
      <c r="G41" s="615"/>
      <c r="H41" s="615"/>
      <c r="I41" s="625" t="s">
        <v>93</v>
      </c>
      <c r="J41" s="628">
        <f>J34+J38</f>
        <v>4324.51</v>
      </c>
    </row>
    <row r="42" spans="1:10" ht="18" thickTop="1">
      <c r="A42" s="615"/>
      <c r="B42" s="632"/>
      <c r="C42" s="615"/>
      <c r="D42" s="615"/>
      <c r="E42" s="615"/>
      <c r="F42" s="615"/>
      <c r="G42" s="615"/>
      <c r="H42" s="615"/>
      <c r="I42" s="625"/>
      <c r="J42" s="624"/>
    </row>
    <row r="43" spans="1:10" ht="18">
      <c r="A43" s="615"/>
      <c r="B43" s="632"/>
      <c r="C43" s="615"/>
      <c r="D43" s="615"/>
      <c r="E43" s="615"/>
      <c r="F43" s="615"/>
      <c r="G43" s="615"/>
      <c r="H43" s="615"/>
      <c r="I43" s="625"/>
      <c r="J43" s="624"/>
    </row>
    <row r="44" spans="1:10" ht="18">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
      <c r="A45" s="700" t="s">
        <v>761</v>
      </c>
      <c r="B45" s="700"/>
      <c r="C45" s="700"/>
      <c r="D45" s="700"/>
      <c r="E45" s="700"/>
      <c r="F45" s="700"/>
      <c r="G45" s="700"/>
      <c r="H45" s="700"/>
      <c r="I45" s="700"/>
      <c r="J45" s="700"/>
    </row>
    <row r="46" spans="1:10" ht="1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Buckeye Cemetery</v>
      </c>
      <c r="C1" s="3"/>
      <c r="D1" s="3"/>
      <c r="E1" s="3"/>
      <c r="F1" s="3"/>
      <c r="G1" s="3"/>
      <c r="H1" s="3"/>
      <c r="I1" s="127"/>
      <c r="J1" s="3"/>
    </row>
    <row r="2" spans="1:10" ht="15">
      <c r="A2" s="3"/>
      <c r="B2" s="3" t="str">
        <f>inputPrYr!D4</f>
        <v>Ellsworth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701" t="s">
        <v>692</v>
      </c>
      <c r="C6" s="701"/>
      <c r="D6" s="701"/>
      <c r="E6" s="701"/>
      <c r="F6" s="701"/>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
      <c r="A10" s="3"/>
      <c r="B10" s="703"/>
      <c r="C10" s="703"/>
      <c r="D10" s="95" t="s">
        <v>45</v>
      </c>
      <c r="E10" s="95" t="s">
        <v>46</v>
      </c>
      <c r="F10" s="92" t="s">
        <v>87</v>
      </c>
      <c r="G10" s="3"/>
      <c r="H10" s="3"/>
      <c r="I10" s="3"/>
      <c r="J10" s="3"/>
    </row>
    <row r="11" spans="1:10" ht="15">
      <c r="A11" s="3"/>
      <c r="B11" s="21" t="str">
        <f>inputPrYr!B19</f>
        <v>General</v>
      </c>
      <c r="C11" s="104">
        <f>inputPrYr!E19</f>
        <v>4234</v>
      </c>
      <c r="D11" s="104">
        <f>IF(E17=0,0,E17-D12-D13-D14)</f>
        <v>281</v>
      </c>
      <c r="E11" s="104">
        <f>IF(E19=0,0,E19-E12-E13-E14)</f>
        <v>6</v>
      </c>
      <c r="F11" s="104">
        <f>IF(E21=0,0,E21-F12-F13-F14)</f>
        <v>33</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13</v>
      </c>
      <c r="C15" s="111">
        <f>SUM(C11:C14)</f>
        <v>4234</v>
      </c>
      <c r="D15" s="111">
        <f>SUM(D11:D14)</f>
        <v>281</v>
      </c>
      <c r="E15" s="111">
        <f>SUM(E11:E14)</f>
        <v>6</v>
      </c>
      <c r="F15" s="175">
        <f>SUM(F11:F14)</f>
        <v>33</v>
      </c>
      <c r="G15" s="3"/>
      <c r="H15" s="3"/>
      <c r="I15" s="3"/>
      <c r="J15" s="3"/>
    </row>
    <row r="16" spans="1:10" ht="15.75" thickTop="1">
      <c r="A16" s="3"/>
      <c r="B16" s="3"/>
      <c r="C16" s="3"/>
      <c r="D16" s="3"/>
      <c r="E16" s="3"/>
      <c r="F16" s="3"/>
      <c r="G16" s="3"/>
      <c r="H16" s="3"/>
      <c r="I16" s="3"/>
      <c r="J16" s="3"/>
    </row>
    <row r="17" spans="1:10" ht="15">
      <c r="A17" s="3"/>
      <c r="B17" s="2" t="s">
        <v>47</v>
      </c>
      <c r="C17" s="3"/>
      <c r="D17" s="3"/>
      <c r="E17" s="131">
        <f>inputOth!E27</f>
        <v>281</v>
      </c>
      <c r="F17" s="3"/>
      <c r="G17" s="3"/>
      <c r="H17" s="3"/>
      <c r="I17" s="3"/>
      <c r="J17" s="3"/>
    </row>
    <row r="18" spans="1:10" ht="15">
      <c r="A18" s="3"/>
      <c r="B18" s="3"/>
      <c r="C18" s="3"/>
      <c r="D18" s="128"/>
      <c r="E18" s="128"/>
      <c r="F18" s="3"/>
      <c r="G18" s="3"/>
      <c r="H18" s="3"/>
      <c r="I18" s="3"/>
      <c r="J18" s="3"/>
    </row>
    <row r="19" spans="1:10" ht="15">
      <c r="A19" s="3"/>
      <c r="B19" s="2" t="s">
        <v>48</v>
      </c>
      <c r="C19" s="3"/>
      <c r="D19" s="128"/>
      <c r="E19" s="131">
        <f>inputOth!E28</f>
        <v>6</v>
      </c>
      <c r="F19" s="3"/>
      <c r="G19" s="3"/>
      <c r="H19" s="3"/>
      <c r="I19" s="3"/>
      <c r="J19" s="3"/>
    </row>
    <row r="20" spans="1:10" ht="15">
      <c r="A20" s="3"/>
      <c r="B20" s="3"/>
      <c r="C20" s="3"/>
      <c r="D20" s="3"/>
      <c r="E20" s="3"/>
      <c r="F20" s="3"/>
      <c r="G20" s="3"/>
      <c r="H20" s="3"/>
      <c r="I20" s="3"/>
      <c r="J20" s="3"/>
    </row>
    <row r="21" spans="1:10" ht="15">
      <c r="A21" s="3"/>
      <c r="B21" s="2" t="s">
        <v>88</v>
      </c>
      <c r="C21" s="3"/>
      <c r="D21" s="3"/>
      <c r="E21" s="131">
        <f>inputOth!E29</f>
        <v>33</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49</v>
      </c>
      <c r="C24" s="132">
        <f>IF(C15=0,0,E17/C15)</f>
        <v>0.06636750118091639</v>
      </c>
      <c r="D24" s="3"/>
      <c r="E24" s="3"/>
      <c r="F24" s="3"/>
      <c r="G24" s="3"/>
      <c r="H24" s="3"/>
      <c r="I24" s="3"/>
      <c r="J24" s="3"/>
    </row>
    <row r="25" spans="1:10" ht="15">
      <c r="A25" s="3"/>
      <c r="B25" s="2"/>
      <c r="C25" s="133"/>
      <c r="D25" s="3"/>
      <c r="E25" s="3"/>
      <c r="F25" s="3"/>
      <c r="G25" s="3"/>
      <c r="H25" s="3"/>
      <c r="I25" s="3"/>
      <c r="J25" s="3"/>
    </row>
    <row r="26" spans="1:10" ht="15">
      <c r="A26" s="3"/>
      <c r="B26" s="3"/>
      <c r="C26" s="115" t="s">
        <v>50</v>
      </c>
      <c r="D26" s="134">
        <f>IF(C15=0,0,E19/C15)</f>
        <v>0.0014170996693434106</v>
      </c>
      <c r="E26" s="3"/>
      <c r="F26" s="3"/>
      <c r="G26" s="3"/>
      <c r="H26" s="3"/>
      <c r="I26" s="3"/>
      <c r="J26" s="3"/>
    </row>
    <row r="27" spans="1:10" ht="15">
      <c r="A27" s="3"/>
      <c r="B27" s="3"/>
      <c r="C27" s="2"/>
      <c r="D27" s="135"/>
      <c r="E27" s="3"/>
      <c r="F27" s="3"/>
      <c r="G27" s="3"/>
      <c r="H27" s="3"/>
      <c r="I27" s="3"/>
      <c r="J27" s="3"/>
    </row>
    <row r="28" spans="1:10" ht="15">
      <c r="A28" s="3"/>
      <c r="B28" s="3"/>
      <c r="C28" s="3"/>
      <c r="D28" s="115" t="s">
        <v>89</v>
      </c>
      <c r="E28" s="134">
        <f>IF(C15=0,0,E21/C15)</f>
        <v>0.007794048181388758</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8"/>
      <c r="B1" s="3"/>
      <c r="C1" s="3"/>
      <c r="D1" s="3"/>
      <c r="E1" s="127"/>
      <c r="F1" s="3">
        <f>inputPrYr!D6</f>
        <v>2015</v>
      </c>
    </row>
    <row r="2" spans="1:6" ht="15">
      <c r="A2" s="137" t="str">
        <f>inputPrYr!D3</f>
        <v>Buckeye Cemetery</v>
      </c>
      <c r="B2" s="137"/>
      <c r="C2" s="3"/>
      <c r="D2" s="3"/>
      <c r="E2" s="127"/>
      <c r="F2" s="3"/>
    </row>
    <row r="3" spans="1:6" ht="15">
      <c r="A3" s="137" t="str">
        <f>inputPrYr!D4</f>
        <v>Ellsworth County</v>
      </c>
      <c r="B3" s="137"/>
      <c r="C3" s="3"/>
      <c r="D3" s="3"/>
      <c r="E3" s="127"/>
      <c r="F3" s="3"/>
    </row>
    <row r="4" spans="1:6" ht="1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
      <c r="A24" s="15"/>
      <c r="B24" s="147" t="s">
        <v>125</v>
      </c>
      <c r="C24" s="148">
        <f>SUM(C10:C23)</f>
        <v>0</v>
      </c>
      <c r="D24" s="148">
        <f>SUM(D10:D23)</f>
        <v>0</v>
      </c>
      <c r="E24" s="148">
        <f>SUM(E10:E23)</f>
        <v>0</v>
      </c>
      <c r="F24" s="149"/>
      <c r="G24" s="46"/>
    </row>
    <row r="25" spans="1:7" ht="15">
      <c r="A25" s="15"/>
      <c r="B25" s="150" t="s">
        <v>522</v>
      </c>
      <c r="C25" s="151"/>
      <c r="D25" s="152"/>
      <c r="E25" s="152"/>
      <c r="F25" s="149"/>
      <c r="G25" s="46"/>
    </row>
    <row r="26" spans="1:7" ht="15">
      <c r="A26" s="15"/>
      <c r="B26" s="147" t="s">
        <v>148</v>
      </c>
      <c r="C26" s="148">
        <f>C24</f>
        <v>0</v>
      </c>
      <c r="D26" s="148">
        <f>SUM(D24-D25)</f>
        <v>0</v>
      </c>
      <c r="E26" s="148">
        <f>SUM(E24-E25)</f>
        <v>0</v>
      </c>
      <c r="F26" s="149"/>
      <c r="G26" s="46"/>
    </row>
    <row r="27" spans="1:7" ht="15">
      <c r="A27" s="3"/>
      <c r="B27" s="3"/>
      <c r="C27" s="3"/>
      <c r="D27" s="37"/>
      <c r="E27" s="37"/>
      <c r="F27" s="37"/>
      <c r="G27" s="46"/>
    </row>
    <row r="28" spans="1:7" ht="15">
      <c r="A28" s="3"/>
      <c r="B28" s="3"/>
      <c r="C28" s="3"/>
      <c r="D28" s="37"/>
      <c r="E28" s="37"/>
      <c r="F28" s="37"/>
      <c r="G28" s="46"/>
    </row>
    <row r="29" spans="1:7" ht="1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282</v>
      </c>
    </row>
    <row r="2" ht="15">
      <c r="A2" s="76"/>
    </row>
    <row r="3" ht="46.5">
      <c r="A3" s="289" t="s">
        <v>283</v>
      </c>
    </row>
    <row r="4" ht="15">
      <c r="A4" s="290"/>
    </row>
    <row r="5" ht="15">
      <c r="A5" s="76"/>
    </row>
    <row r="6" ht="62.25">
      <c r="A6" s="289" t="s">
        <v>284</v>
      </c>
    </row>
    <row r="7" ht="15">
      <c r="A7" s="290"/>
    </row>
    <row r="8" ht="15">
      <c r="A8" s="76"/>
    </row>
    <row r="9" ht="46.5">
      <c r="A9" s="289" t="s">
        <v>285</v>
      </c>
    </row>
    <row r="10" ht="15">
      <c r="A10" s="290"/>
    </row>
    <row r="11" ht="15">
      <c r="A11" s="290"/>
    </row>
    <row r="12" ht="30.75">
      <c r="A12" s="289" t="s">
        <v>286</v>
      </c>
    </row>
    <row r="13" ht="15">
      <c r="A13" s="76"/>
    </row>
    <row r="14" ht="15">
      <c r="A14" s="76"/>
    </row>
    <row r="15" ht="46.5">
      <c r="A15" s="289" t="s">
        <v>287</v>
      </c>
    </row>
    <row r="16" ht="15">
      <c r="A16" s="76"/>
    </row>
    <row r="17" ht="15">
      <c r="A17" s="76"/>
    </row>
    <row r="18" ht="62.25">
      <c r="A18" s="435" t="s">
        <v>625</v>
      </c>
    </row>
    <row r="19" ht="15">
      <c r="A19" s="76"/>
    </row>
    <row r="20" ht="15">
      <c r="A20" s="76"/>
    </row>
    <row r="21" ht="62.25">
      <c r="A21" s="310" t="s">
        <v>288</v>
      </c>
    </row>
    <row r="22" ht="15">
      <c r="A22" s="290"/>
    </row>
    <row r="23" ht="15">
      <c r="A23" s="76"/>
    </row>
    <row r="24" ht="46.5">
      <c r="A24" s="289" t="s">
        <v>289</v>
      </c>
    </row>
    <row r="25" ht="30.75">
      <c r="A25" s="291" t="s">
        <v>290</v>
      </c>
    </row>
    <row r="26" ht="15">
      <c r="A26" s="290"/>
    </row>
    <row r="27" ht="15">
      <c r="A27" s="76"/>
    </row>
    <row r="28" ht="62.25">
      <c r="A28" s="435" t="s">
        <v>626</v>
      </c>
    </row>
    <row r="29" ht="15">
      <c r="A29" s="76"/>
    </row>
    <row r="30" ht="15">
      <c r="A30" s="76"/>
    </row>
    <row r="31" ht="62.25">
      <c r="A31" s="435" t="s">
        <v>627</v>
      </c>
    </row>
    <row r="32" ht="15">
      <c r="A32" s="76"/>
    </row>
    <row r="33" ht="15">
      <c r="A33" s="76"/>
    </row>
    <row r="34" ht="46.5">
      <c r="A34" s="436" t="s">
        <v>628</v>
      </c>
    </row>
    <row r="35" ht="15">
      <c r="A35" s="76"/>
    </row>
    <row r="36" ht="15">
      <c r="A36" s="76"/>
    </row>
    <row r="37" ht="62.25">
      <c r="A37" s="289" t="s">
        <v>291</v>
      </c>
    </row>
    <row r="38" ht="15">
      <c r="A38" s="290"/>
    </row>
    <row r="39" ht="15">
      <c r="A39" s="290"/>
    </row>
    <row r="40" ht="46.5">
      <c r="A40" s="310" t="s">
        <v>292</v>
      </c>
    </row>
    <row r="41" ht="1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2014-10-08T20:21:30Z</cp:lastPrinted>
  <dcterms:created xsi:type="dcterms:W3CDTF">1999-08-06T13:59:57Z</dcterms:created>
  <dcterms:modified xsi:type="dcterms:W3CDTF">2014-10-08T21:34:50Z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