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<sst xmlns="http://schemas.openxmlformats.org/spreadsheetml/2006/main" count="1188" uniqueCount="808">
  <si>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</si>
  <si>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</si>
  <si>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</si>
  <si>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</si>
  <si>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</si>
  <si>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</si>
  <si>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</si>
  <si>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</si>
  <si>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</si>
  <si>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</si>
  <si>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</si>
  <si>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</si>
  <si>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</si>
  <si>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</si>
  <si>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</si>
  <si>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</si>
  <si>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</si>
  <si>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</si>
  <si>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</si>
  <si>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</si>
  <si>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</si>
  <si>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</si>
  <si>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</si>
  <si>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</si>
  <si>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</si>
  <si>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</si>
  <si>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</si>
  <si>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</si>
  <si>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</si>
  <si>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</si>
  <si>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</si>
  <si>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</si>
  <si>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</si>
  <si>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</si>
  <si>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</si>
  <si>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</si>
  <si>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</si>
  <si>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</si>
  <si>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</si>
  <si>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</si>
  <si>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</si>
  <si>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</si>
  <si>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</si>
  <si>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</si>
  <si>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</si>
  <si>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</si>
  <si>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</si>
  <si>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</si>
  <si>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</si>
  <si>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</si>
  <si>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</si>
  <si>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</si>
  <si>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</si>
  <si>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</si>
  <si>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</si>
  <si>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</si>
  <si>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</si>
  <si>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</si>
  <si>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</si>
  <si>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</si>
  <si>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</si>
  <si>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</si>
  <si>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</si>
  <si>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</si>
  <si>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</si>
  <si>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</si>
  <si>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</si>
  <si>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</si>
  <si>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</si>
  <si>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</si>
  <si>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</si>
  <si>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</si>
  <si>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</si>
  <si>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</si>
  <si>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</si>
  <si>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</si>
  <si>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</si>
  <si>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</si>
  <si>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</si>
  <si>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</si>
  <si>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</si>
  <si>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</si>
  <si>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</si>
  <si>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</si>
  <si>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</si>
  <si>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</si>
  <si>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</si>
  <si>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</si>
  <si>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</si>
  <si>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</si>
  <si>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</si>
  <si>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</si>
  <si>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</si>
  <si>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</si>
  <si>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</si>
  <si>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</si>
  <si>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</si>
  <si>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</si>
  <si>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</si>
  <si>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</si>
  <si>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</si>
  <si>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</si>
  <si>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</si>
  <si>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</si>
  <si>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</si>
  <si>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</si>
  <si>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</si>
  <si>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</si>
  <si>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</si>
  <si>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</si>
  <si>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</si>
  <si>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</si>
  <si>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</si>
  <si>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</si>
  <si>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</si>
  <si>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</si>
  <si>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</si>
  <si>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</si>
  <si>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</si>
  <si>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</si>
  <si>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</si>
  <si>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</si>
  <si>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</si>
  <si>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</si>
  <si>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</si>
  <si>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</si>
  <si>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</si>
  <si>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</si>
  <si>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</si>
  <si>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</si>
  <si>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</si>
  <si>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</si>
  <si>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</si>
  <si>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</si>
  <si>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</si>
  <si>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</si>
  <si>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</si>
  <si>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</si>
  <si>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</si>
  <si>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</si>
  <si>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</si>
  <si>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</si>
  <si>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</si>
  <si>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</si>
  <si>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</si>
  <si>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</si>
  <si>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</si>
  <si>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</si>
  <si>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</si>
  <si>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</si>
  <si>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</si>
  <si>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</si>
  <si>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</si>
  <si>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</si>
  <si>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</si>
  <si>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</si>
  <si>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</si>
  <si>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</si>
  <si>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</si>
  <si>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</si>
  <si>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</si>
  <si>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</si>
  <si>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</si>
  <si>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</si>
  <si>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</si>
  <si>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</si>
  <si>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</si>
  <si>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</si>
  <si>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</si>
  <si>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</si>
  <si>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</si>
  <si>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</si>
  <si>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</si>
  <si>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</si>
  <si>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</si>
  <si>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</si>
  <si>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</si>
  <si>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</si>
  <si>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</si>
  <si>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</si>
  <si>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</si>
  <si>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</si>
  <si>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</si>
  <si>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</si>
  <si>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</si>
  <si>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</si>
  <si>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</si>
  <si>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</si>
  <si>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</si>
  <si>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</si>
  <si>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</si>
  <si>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</si>
  <si>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</si>
  <si>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</si>
  <si>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</si>
  <si>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</si>
  <si>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</si>
  <si>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</si>
  <si>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</si>
  <si>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</si>
  <si>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</si>
  <si>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</si>
  <si>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</si>
  <si>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</si>
  <si>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</si>
  <si>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</si>
  <si>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</si>
  <si>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</si>
  <si>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</si>
  <si>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</si>
  <si>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</si>
  <si>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</si>
  <si>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</si>
  <si>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</si>
  <si>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</si>
  <si>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</si>
  <si>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</si>
  <si>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</si>
  <si>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</si>
  <si>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</si>
  <si>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</si>
  <si>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</si>
  <si>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</si>
  <si>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</si>
  <si>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</si>
  <si>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</si>
  <si>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</si>
  <si>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</si>
  <si>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</si>
  <si>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</si>
  <si>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</si>
  <si>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</si>
  <si>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</si>
  <si>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</si>
  <si>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</si>
  <si>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</si>
  <si>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</si>
  <si>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</si>
  <si>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</si>
  <si>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</si>
  <si>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</si>
  <si>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</si>
  <si>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</si>
  <si>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</si>
  <si>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</si>
  <si>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</si>
  <si>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</si>
  <si>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</si>
  <si>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</si>
  <si>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</si>
  <si>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</si>
  <si>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</si>
  <si>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</si>
  <si>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</si>
  <si>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</si>
  <si>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</si>
  <si>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</si>
  <si>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</si>
  <si>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</si>
  <si>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</si>
  <si>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</si>
  <si>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</si>
  <si>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</si>
  <si>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</si>
  <si>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</si>
  <si>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</si>
  <si>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</si>
  <si>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</si>
  <si>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</si>
  <si>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</si>
  <si>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</si>
  <si>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</si>
  <si>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</si>
  <si>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</si>
  <si>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</si>
  <si>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</si>
  <si>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</si>
  <si>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</si>
  <si>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</si>
  <si>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</si>
  <si>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</si>
  <si>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</si>
  <si>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</si>
  <si>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</si>
  <si>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</si>
  <si>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</si>
  <si>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</si>
  <si>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</si>
  <si>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</si>
  <si>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</si>
  <si>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</si>
  <si>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</si>
  <si>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</si>
  <si>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</si>
  <si>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</si>
  <si>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</si>
  <si>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</si>
  <si>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</si>
  <si>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</si>
  <si>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</si>
  <si>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</si>
  <si>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</si>
  <si>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</si>
  <si>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</si>
  <si>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</si>
  <si>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</si>
  <si>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</si>
  <si>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</si>
  <si>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</si>
  <si>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</si>
  <si>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</si>
  <si>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</si>
  <si>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</si>
  <si>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</si>
  <si>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</si>
  <si>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</si>
  <si>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</si>
  <si>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</si>
  <si>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</si>
  <si>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</si>
  <si>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</si>
  <si>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</si>
  <si>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</si>
  <si>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</si>
  <si>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</si>
  <si>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</si>
  <si>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</si>
  <si>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</si>
  <si>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</si>
  <si>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</si>
  <si>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</si>
  <si>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</si>
  <si>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</si>
  <si>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</si>
  <si>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</si>
  <si>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</si>
  <si>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</si>
  <si>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</si>
  <si>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</si>
  <si>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</si>
  <si>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</si>
  <si>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</si>
  <si>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</si>
  <si>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</si>
  <si>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</si>
  <si>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</si>
  <si>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</si>
  <si>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</si>
  <si>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</si>
  <si>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</si>
  <si>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</si>
  <si>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</si>
  <si>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</si>
  <si>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</si>
  <si>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</si>
  <si>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</si>
  <si>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</si>
  <si>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</si>
  <si>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</si>
  <si>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</si>
  <si>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</si>
  <si>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</si>
  <si>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</si>
  <si>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</si>
  <si>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</si>
  <si>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</si>
  <si>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</si>
  <si>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</si>
  <si>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</si>
  <si>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</si>
  <si>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</si>
  <si>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</si>
  <si>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</si>
  <si>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</si>
  <si>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</si>
  <si>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</si>
  <si>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</si>
  <si>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</si>
  <si>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</si>
  <si>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</si>
  <si>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</si>
  <si>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</si>
  <si>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</si>
  <si>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</si>
  <si>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</si>
  <si>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</si>
  <si>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</si>
  <si>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</si>
  <si>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</si>
  <si>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</si>
  <si>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</si>
  <si>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</si>
  <si>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</si>
  <si>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</si>
  <si>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</si>
  <si>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</si>
  <si>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</si>
  <si>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</si>
  <si>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</si>
  <si>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</si>
  <si>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</si>
  <si>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</si>
  <si>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</si>
  <si>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</si>
  <si>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</si>
  <si>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</si>
  <si>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</si>
  <si>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</si>
  <si>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</si>
  <si>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</si>
  <si>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</si>
  <si>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</si>
  <si>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</si>
  <si>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</si>
  <si>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</si>
  <si>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</si>
  <si>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</si>
  <si>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</si>
  <si>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</si>
  <si>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</si>
  <si>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</si>
  <si>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</si>
  <si>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</si>
  <si>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</si>
  <si>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</si>
  <si>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</si>
  <si>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</si>
  <si>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</si>
  <si>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</si>
  <si>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</si>
  <si>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</si>
  <si>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</si>
  <si>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</si>
  <si>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</si>
  <si>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</si>
  <si>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</si>
  <si>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</si>
  <si>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</si>
  <si>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</si>
  <si>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</si>
  <si>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</si>
  <si>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</si>
  <si>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</si>
  <si>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</si>
  <si>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</si>
  <si>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</si>
  <si>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</si>
  <si>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</si>
  <si>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</si>
  <si>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</si>
  <si>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</si>
  <si>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</si>
  <si>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</si>
  <si>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</si>
  <si>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</si>
  <si>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</si>
  <si>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</si>
  <si>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</si>
  <si>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</si>
  <si>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</si>
  <si>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</si>
  <si>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</si>
  <si>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</si>
  <si>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</si>
  <si>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</si>
  <si>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</si>
  <si>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</si>
  <si>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</si>
  <si>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</si>
  <si>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</si>
  <si>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</si>
  <si>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</si>
  <si>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</si>
  <si>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</si>
  <si>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</si>
  <si>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</si>
  <si>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</si>
  <si>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</si>
  <si>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</si>
  <si>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</si>
  <si>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</si>
  <si>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</si>
  <si>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</si>
  <si>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</si>
  <si>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</si>
  <si>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</si>
  <si>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</si>
  <si>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</si>
  <si>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</si>
  <si>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</si>
  <si>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</si>
  <si>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</si>
  <si>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</si>
  <si>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</si>
  <si>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</si>
  <si>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</si>
  <si>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</si>
  <si>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</si>
  <si>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</si>
  <si>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</si>
  <si>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</si>
  <si>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</si>
  <si>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</si>
  <si>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</si>
  <si>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</si>
  <si>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</si>
  <si>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</si>
  <si>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</si>
  <si>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</si>
  <si>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</si>
  <si>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</si>
  <si>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</si>
  <si>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</si>
  <si>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</si>
  <si>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</si>
  <si>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</si>
  <si>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</si>
  <si>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</si>
  <si>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</si>
  <si>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</si>
  <si>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</si>
  <si>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</si>
  <si>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</si>
  <si>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</si>
  <si>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</si>
  <si>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</si>
  <si>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</si>
  <si>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</si>
  <si>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</si>
  <si>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</si>
  <si>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</si>
  <si>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</si>
  <si>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</si>
  <si>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</si>
  <si>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</si>
  <si>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</si>
  <si>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</si>
  <si>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</si>
  <si>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</si>
  <si>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</si>
  <si>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</si>
  <si>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</si>
  <si>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</si>
  <si>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</si>
  <si>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</si>
  <si>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</si>
  <si>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</si>
  <si>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</si>
  <si>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</si>
  <si>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</si>
  <si>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</si>
  <si>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</si>
  <si>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</si>
  <si>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</si>
  <si>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</si>
  <si>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</si>
  <si>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</si>
  <si>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</si>
  <si>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</si>
  <si>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</si>
  <si>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</si>
  <si>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</si>
  <si>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</si>
  <si>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</si>
  <si>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</si>
  <si>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</si>
  <si>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</si>
  <si>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</si>
  <si>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</si>
  <si>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</si>
  <si>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</si>
  <si>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</si>
  <si>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</si>
  <si>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</si>
  <si>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</si>
  <si>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</si>
  <si>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</si>
  <si>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</si>
  <si>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</si>
  <si>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</si>
  <si>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</si>
  <si>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</si>
  <si>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</si>
  <si>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</si>
  <si>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</si>
  <si>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</si>
  <si>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</si>
  <si>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</si>
  <si>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</si>
  <si>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</si>
  <si>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</si>
  <si>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</si>
  <si>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</si>
  <si>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</si>
  <si>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</si>
  <si>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</si>
  <si>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</si>
  <si>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</si>
  <si>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</si>
  <si>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</si>
  <si>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</si>
  <si>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</si>
  <si>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</si>
  <si>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</si>
  <si>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</si>
  <si>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</si>
  <si>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</si>
  <si>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</si>
  <si>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</si>
  <si>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</si>
  <si>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</si>
  <si>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</si>
  <si>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</si>
  <si>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</si>
  <si>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</si>
  <si>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</si>
  <si>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</si>
  <si>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</si>
  <si>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</si>
  <si>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</si>
  <si>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</si>
  <si>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</si>
  <si>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</si>
  <si>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</si>
  <si>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</si>
  <si>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</si>
  <si>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</si>
  <si>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</si>
  <si>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</si>
  <si>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</si>
  <si>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</si>
  <si>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</si>
  <si>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</si>
  <si>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</si>
  <si>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</si>
  <si>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</si>
  <si>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</si>
  <si>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</si>
  <si>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</si>
  <si>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</si>
  <si>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</si>
  <si>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</si>
  <si>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</si>
  <si>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</si>
  <si>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</si>
  <si>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</si>
  <si>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</si>
  <si>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</si>
  <si>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</si>
  <si>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</si>
  <si>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</si>
  <si>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</si>
  <si>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</si>
  <si>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</si>
  <si>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</si>
  <si>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</si>
  <si>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</si>
  <si>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</si>
  <si>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</si>
  <si>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</si>
  <si>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</si>
  <si>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</si>
  <si>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</si>
  <si>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</si>
  <si>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</si>
  <si>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</si>
  <si>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</si>
  <si>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</si>
  <si>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</si>
  <si>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</si>
  <si>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</si>
  <si>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</si>
  <si>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</si>
  <si>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</si>
  <si>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</si>
  <si>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</si>
  <si>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</si>
  <si>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</si>
  <si>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</si>
  <si>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</si>
  <si>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</si>
  <si>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</si>
  <si>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</si>
  <si>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</si>
  <si>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</si>
  <si>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</si>
  <si>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</si>
  <si>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</si>
  <si>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</si>
  <si>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</si>
  <si>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</si>
  <si>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</si>
  <si>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</si>
  <si>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</si>
  <si>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</si>
  <si>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</si>
  <si>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</si>
  <si>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</si>
  <si>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</si>
  <si>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</si>
  <si>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</si>
  <si>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</si>
  <si>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</si>
  <si>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</si>
  <si>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</si>
  <si>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</si>
  <si>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</si>
  <si>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</si>
  <si>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</si>
  <si>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</si>
  <si>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</si>
  <si>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</si>
  <si>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</si>
  <si>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</si>
  <si>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</si>
  <si>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</si>
  <si>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</si>
  <si>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</si>
  <si>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</si>
  <si>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</si>
  <si>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</si>
  <si>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</si>
  <si>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</si>
  <si>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</si>
  <si>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</si>
  <si>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</si>
  <si>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</si>
  <si>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</si>
  <si>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</si>
  <si>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</si>
  <si>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</si>
  <si>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</si>
  <si>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</si>
  <si>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</si>
  <si>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</si>
  <si>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</si>
  <si>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</si>
  <si>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</si>
  <si>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</si>
  <si>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</si>
  <si>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</si>
  <si>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</si>
  <si>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</si>
  <si>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</si>
  <si>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</si>
  <si>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</si>
  <si>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</si>
  <si>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</si>
  <si>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</si>
  <si>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</si>
  <si>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</si>
  <si>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</si>
  <si>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</si>
  <si>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</si>
  <si>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</si>
  <si>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</si>
  <si>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</si>
  <si>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</si>
  <si>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</si>
  <si>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</si>
  <si>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</si>
  <si>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</si>
  <si>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</si>
  <si>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</si>
  <si>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</si>
  <si>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</si>
  <si>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</si>
  <si>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</si>
  <si>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</si>
  <si>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</si>
  <si>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</si>
  <si>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</si>
  <si>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</si>
  <si>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</si>
  <si>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</si>
  <si>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</si>
  <si>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</si>
  <si>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</si>
  <si>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</si>
  <si>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</si>
  <si>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</si>
  <si>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</si>
  <si>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</si>
  <si>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</si>
  <si>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</si>
  <si>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</si>
  <si>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</si>
  <si>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</si>
  <si>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</si>
  <si>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</si>
  <si>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</si>
  <si>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</si>
  <si>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Aurora CD # 15 </t>
  </si>
  <si>
    <t xml:space="preserve">Cloud County </t>
  </si>
  <si>
    <t>17-1344</t>
  </si>
  <si>
    <t xml:space="preserve">Machinery &amp; Equipment </t>
  </si>
  <si>
    <t xml:space="preserve">Administration </t>
  </si>
  <si>
    <t>Mowing</t>
  </si>
  <si>
    <t>Labor</t>
  </si>
  <si>
    <t>Publication</t>
  </si>
  <si>
    <t>Donations</t>
  </si>
  <si>
    <t>Sale of Grain</t>
  </si>
  <si>
    <t>Gas/Oil/Supplies</t>
  </si>
  <si>
    <t xml:space="preserve">Jane Boling </t>
  </si>
  <si>
    <t xml:space="preserve">President </t>
  </si>
  <si>
    <t>August 26, 2014</t>
  </si>
  <si>
    <t xml:space="preserve">7:00 p.m. </t>
  </si>
  <si>
    <t xml:space="preserve">Jane Boling residence - 1125 N 230th Rd. - Aurora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</si>
</sst>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Aurora CD # 15 </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2" sqref="E42"/>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Aurora CD # 15 </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3758</v>
      </c>
      <c r="D7" s="373">
        <f>C62</f>
        <v>5589</v>
      </c>
      <c r="E7" s="45">
        <f>D62</f>
        <v>1878</v>
      </c>
    </row>
    <row r="8" spans="2:5" ht="15.75">
      <c r="B8" s="226" t="s">
        <v>127</v>
      </c>
      <c r="C8" s="227"/>
      <c r="D8" s="227"/>
      <c r="E8" s="123"/>
    </row>
    <row r="9" spans="2:5" ht="15.75">
      <c r="B9" s="119" t="s">
        <v>33</v>
      </c>
      <c r="C9" s="366">
        <v>4700</v>
      </c>
      <c r="D9" s="373">
        <f>IF(inputPrYr!H18&gt;0,inputPrYr!G19,inputPrYr!E19)</f>
        <v>1593</v>
      </c>
      <c r="E9" s="128" t="s">
        <v>28</v>
      </c>
    </row>
    <row r="10" spans="2:5" ht="15.75">
      <c r="B10" s="119" t="s">
        <v>34</v>
      </c>
      <c r="C10" s="366">
        <v>52</v>
      </c>
      <c r="D10" s="366"/>
      <c r="E10" s="198"/>
    </row>
    <row r="11" spans="2:5" ht="15.75">
      <c r="B11" s="119" t="s">
        <v>35</v>
      </c>
      <c r="C11" s="366">
        <v>334</v>
      </c>
      <c r="D11" s="366">
        <v>334</v>
      </c>
      <c r="E11" s="45">
        <f>mvalloc!D11</f>
        <v>154</v>
      </c>
    </row>
    <row r="12" spans="2:5" ht="15.75">
      <c r="B12" s="119" t="s">
        <v>36</v>
      </c>
      <c r="C12" s="366">
        <v>5</v>
      </c>
      <c r="D12" s="366">
        <v>6</v>
      </c>
      <c r="E12" s="45">
        <f>mvalloc!E11</f>
        <v>2</v>
      </c>
    </row>
    <row r="13" spans="2:5" ht="15.75">
      <c r="B13" s="227" t="s">
        <v>109</v>
      </c>
      <c r="C13" s="366">
        <v>28</v>
      </c>
      <c r="D13" s="366">
        <v>66</v>
      </c>
      <c r="E13" s="45">
        <f>mvalloc!F11</f>
        <v>75</v>
      </c>
    </row>
    <row r="14" spans="2:5" ht="15.75">
      <c r="B14" s="227" t="s">
        <v>159</v>
      </c>
      <c r="C14" s="366"/>
      <c r="D14" s="366"/>
      <c r="E14" s="45">
        <f>inputOth!E30</f>
        <v>0</v>
      </c>
    </row>
    <row r="15" spans="2:5" ht="15.75">
      <c r="B15" s="228" t="s">
        <v>37</v>
      </c>
      <c r="C15" s="366"/>
      <c r="D15" s="366"/>
      <c r="E15" s="198"/>
    </row>
    <row r="16" spans="2:5" ht="15.75">
      <c r="B16" s="228" t="s">
        <v>800</v>
      </c>
      <c r="C16" s="366">
        <v>50</v>
      </c>
      <c r="D16" s="366"/>
      <c r="E16" s="198"/>
    </row>
    <row r="17" spans="2:5" ht="15.75">
      <c r="B17" s="228" t="s">
        <v>801</v>
      </c>
      <c r="C17" s="366">
        <v>170</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5339</v>
      </c>
      <c r="D33" s="368">
        <f>SUM(D9:D31)</f>
        <v>1999</v>
      </c>
      <c r="E33" s="234">
        <f>SUM(E9:E31)</f>
        <v>231</v>
      </c>
    </row>
    <row r="34" spans="2:5" ht="15.75">
      <c r="B34" s="233" t="s">
        <v>40</v>
      </c>
      <c r="C34" s="368">
        <f>C7+C33</f>
        <v>9097</v>
      </c>
      <c r="D34" s="368">
        <f>D7+D33</f>
        <v>7588</v>
      </c>
      <c r="E34" s="234">
        <f>E7+E33</f>
        <v>2109</v>
      </c>
    </row>
    <row r="35" spans="2:5" ht="15.75">
      <c r="B35" s="119" t="s">
        <v>41</v>
      </c>
      <c r="C35" s="121"/>
      <c r="D35" s="121"/>
      <c r="E35" s="36"/>
    </row>
    <row r="36" spans="2:5" ht="15.75">
      <c r="B36" s="228"/>
      <c r="C36" s="366"/>
      <c r="D36" s="366"/>
      <c r="E36" s="198"/>
    </row>
    <row r="37" spans="2:5" ht="15.75">
      <c r="B37" s="228" t="s">
        <v>796</v>
      </c>
      <c r="C37" s="366"/>
      <c r="D37" s="366">
        <v>250</v>
      </c>
      <c r="E37" s="198">
        <v>250</v>
      </c>
    </row>
    <row r="38" spans="2:5" ht="15.75">
      <c r="B38" s="228" t="s">
        <v>797</v>
      </c>
      <c r="C38" s="366">
        <v>2375</v>
      </c>
      <c r="D38" s="366">
        <v>4000</v>
      </c>
      <c r="E38" s="198">
        <v>4000</v>
      </c>
    </row>
    <row r="39" spans="2:5" ht="15.75">
      <c r="B39" s="228" t="s">
        <v>802</v>
      </c>
      <c r="C39" s="366">
        <v>445</v>
      </c>
      <c r="D39" s="366">
        <v>400</v>
      </c>
      <c r="E39" s="198">
        <v>400</v>
      </c>
    </row>
    <row r="40" spans="2:5" ht="15.75">
      <c r="B40" s="228" t="s">
        <v>798</v>
      </c>
      <c r="C40" s="366">
        <v>630</v>
      </c>
      <c r="D40" s="366">
        <v>1000</v>
      </c>
      <c r="E40" s="198">
        <v>1000</v>
      </c>
    </row>
    <row r="41" spans="2:5" ht="15.75">
      <c r="B41" s="228" t="s">
        <v>799</v>
      </c>
      <c r="C41" s="366">
        <v>58</v>
      </c>
      <c r="D41" s="366">
        <v>60</v>
      </c>
      <c r="E41" s="198">
        <v>75</v>
      </c>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3508</v>
      </c>
      <c r="D61" s="368">
        <f>SUM(D36:D59)</f>
        <v>5710</v>
      </c>
      <c r="E61" s="234">
        <f>SUM(E36:E59)</f>
        <v>5725</v>
      </c>
      <c r="F61" s="16"/>
      <c r="G61" s="489">
        <f>D62</f>
        <v>1878</v>
      </c>
      <c r="H61" s="488" t="str">
        <f>CONCATENATE("",E3-1," Ending Cash Balance (est.)")</f>
        <v>2014 Ending Cash Balance (est.)</v>
      </c>
      <c r="I61" s="584"/>
      <c r="J61" s="483"/>
      <c r="K61" s="16"/>
    </row>
    <row r="62" spans="2:11" ht="15.75">
      <c r="B62" s="119" t="s">
        <v>126</v>
      </c>
      <c r="C62" s="369">
        <f>C34-C61</f>
        <v>5589</v>
      </c>
      <c r="D62" s="369">
        <f>D34-D61</f>
        <v>1878</v>
      </c>
      <c r="E62" s="128" t="s">
        <v>28</v>
      </c>
      <c r="F62" s="16"/>
      <c r="G62" s="489">
        <f>E33</f>
        <v>231</v>
      </c>
      <c r="H62" s="482" t="str">
        <f>CONCATENATE("",E3," Non-AV Receipts (est.)")</f>
        <v>2015 Non-AV Receipts (est.)</v>
      </c>
      <c r="I62" s="584"/>
      <c r="J62" s="483"/>
      <c r="K62" s="16"/>
    </row>
    <row r="63" spans="2:11" ht="15.75">
      <c r="B63" s="138" t="str">
        <f>CONCATENATE("",E3-2,"/",E3-1,"/",E1," Budget Authority Amount:")</f>
        <v>2013/2014/ Budget Authority Amount:</v>
      </c>
      <c r="C63" s="120">
        <f>inputOth!B41</f>
        <v>5185</v>
      </c>
      <c r="D63" s="387">
        <f>inputPrYr!D19</f>
        <v>5710</v>
      </c>
      <c r="E63" s="243">
        <f>E61</f>
        <v>5725</v>
      </c>
      <c r="F63" s="251"/>
      <c r="G63" s="481">
        <f>IF(E67&gt;0,E66,E68)</f>
        <v>3616</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5725</v>
      </c>
      <c r="H64" s="482" t="str">
        <f>CONCATENATE("Total ",E3," Resources Available")</f>
        <v>Total 2015 Resources Available</v>
      </c>
      <c r="I64" s="584"/>
      <c r="J64" s="483"/>
      <c r="K64" s="16"/>
    </row>
    <row r="65" spans="2:11" ht="15.75">
      <c r="B65" s="385" t="str">
        <f>CONCATENATE(C81,"     ",D81)</f>
        <v>     </v>
      </c>
      <c r="C65" s="696" t="s">
        <v>659</v>
      </c>
      <c r="D65" s="697"/>
      <c r="E65" s="45">
        <f>E61+E64</f>
        <v>5725</v>
      </c>
      <c r="F65" s="16"/>
      <c r="G65" s="480"/>
      <c r="H65" s="482"/>
      <c r="I65" s="482"/>
      <c r="J65" s="483"/>
      <c r="K65" s="16"/>
    </row>
    <row r="66" spans="2:11" ht="15.75">
      <c r="B66" s="385" t="str">
        <f>CONCATENATE(C82,"     ",D82)</f>
        <v>     </v>
      </c>
      <c r="C66" s="493"/>
      <c r="D66" s="492" t="s">
        <v>660</v>
      </c>
      <c r="E66" s="42">
        <f>IF(E65-E34&gt;0,E65-E34,0)</f>
        <v>3616</v>
      </c>
      <c r="F66" s="16"/>
      <c r="G66" s="481">
        <f>ROUND(C61*0.05+C61,0)</f>
        <v>3683</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2042</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3616</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2.644</v>
      </c>
      <c r="H71" s="488" t="str">
        <f>CONCATENATE("",E3," Fund Mill Rate")</f>
        <v>2015 Fund Mill Rate</v>
      </c>
      <c r="I71" s="570"/>
      <c r="J71" s="589"/>
      <c r="K71" s="16"/>
    </row>
    <row r="72" spans="2:11" ht="16.5">
      <c r="B72" s="18"/>
      <c r="C72" s="18"/>
      <c r="D72" s="18"/>
      <c r="E72" s="18"/>
      <c r="F72" s="591"/>
      <c r="G72" s="592">
        <f>summ!E16</f>
        <v>1.263</v>
      </c>
      <c r="H72" s="488" t="str">
        <f>CONCATENATE("",E3-1," Fund Mill Rate")</f>
        <v>2014 Fund Mill Rate</v>
      </c>
      <c r="I72" s="570"/>
      <c r="J72" s="589"/>
      <c r="K72" s="16"/>
    </row>
    <row r="73" spans="2:11" ht="16.5">
      <c r="B73" s="18"/>
      <c r="C73" s="222"/>
      <c r="D73" s="222"/>
      <c r="E73" s="222"/>
      <c r="F73" s="575"/>
      <c r="G73" s="593">
        <f>summ!H23</f>
        <v>2.644</v>
      </c>
      <c r="H73" s="488" t="str">
        <f>CONCATENATE("Total ",E3," Mill Rate")</f>
        <v>Total 2015 Mill Rate</v>
      </c>
      <c r="I73" s="570"/>
      <c r="J73" s="589"/>
      <c r="K73" s="16"/>
    </row>
    <row r="74" spans="2:11" ht="16.5">
      <c r="B74" s="138"/>
      <c r="C74" s="18" t="s">
        <v>227</v>
      </c>
      <c r="D74" s="18"/>
      <c r="E74" s="18"/>
      <c r="F74" s="575"/>
      <c r="G74" s="592">
        <f>summ!E23</f>
        <v>1.263</v>
      </c>
      <c r="H74" s="594" t="str">
        <f>CONCATENATE("Total ",E3-1," Mill Rate")</f>
        <v>Total 2014 Mill Rate</v>
      </c>
      <c r="I74" s="595"/>
      <c r="J74" s="78"/>
      <c r="K74" s="16"/>
    </row>
    <row r="76" spans="2:9" ht="16.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Aurora CD # 15 </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2.644</v>
      </c>
      <c r="H65" s="488" t="str">
        <f>CONCATENATE("Total ",E1," Mill Rate")</f>
        <v>Total 2015 Mill Rate</v>
      </c>
      <c r="I65" s="570"/>
      <c r="J65" s="589"/>
      <c r="K65" s="597"/>
    </row>
    <row r="66" spans="6:11" ht="16.5">
      <c r="F66"/>
      <c r="G66" s="592">
        <f>summ!E23</f>
        <v>1.263</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Aurora CD # 15 </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2.644</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1.263</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2.644</v>
      </c>
      <c r="H86" s="488" t="str">
        <f>CONCATENATE("Total ",E3," Mill Rate")</f>
        <v>Total 2015 Mill Rate</v>
      </c>
      <c r="I86" s="570"/>
      <c r="J86" s="589"/>
      <c r="K86" s="16"/>
    </row>
    <row r="87" spans="3:11" ht="15.75" customHeight="1">
      <c r="C87" s="95">
        <f>IF(C33&gt;C35,"See Tab A","")</f>
      </c>
      <c r="D87" s="95">
        <f>IF(D33&gt;D35,"See Tab C","")</f>
      </c>
      <c r="F87" s="16"/>
      <c r="G87" s="592">
        <f>summ!E23</f>
        <v>1.263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6.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Aurora CD # 15 </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0" sqref="A10"/>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Aurora CD # 15 </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Machinery &amp; Equipment </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14161</v>
      </c>
      <c r="C7" s="268" t="s">
        <v>239</v>
      </c>
      <c r="D7" s="267"/>
      <c r="E7" s="268" t="s">
        <v>239</v>
      </c>
      <c r="F7" s="267"/>
      <c r="G7" s="268" t="s">
        <v>239</v>
      </c>
      <c r="H7" s="267"/>
      <c r="I7" s="268" t="s">
        <v>239</v>
      </c>
      <c r="J7" s="267"/>
      <c r="K7" s="269">
        <f>SUM(B7+D7+F7+H7+J7)</f>
        <v>14161</v>
      </c>
    </row>
    <row r="8" spans="1:11" ht="15.75">
      <c r="A8" s="270" t="s">
        <v>127</v>
      </c>
      <c r="B8" s="271"/>
      <c r="C8" s="270" t="s">
        <v>127</v>
      </c>
      <c r="D8" s="272"/>
      <c r="E8" s="270" t="s">
        <v>127</v>
      </c>
      <c r="F8" s="255"/>
      <c r="G8" s="270" t="s">
        <v>127</v>
      </c>
      <c r="H8" s="60"/>
      <c r="I8" s="270" t="s">
        <v>127</v>
      </c>
      <c r="J8" s="60"/>
      <c r="K8" s="255"/>
    </row>
    <row r="9" spans="1:11" ht="15.75">
      <c r="A9" s="273" t="s">
        <v>68</v>
      </c>
      <c r="B9" s="267">
        <v>8</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8</v>
      </c>
      <c r="C17" s="270" t="s">
        <v>39</v>
      </c>
      <c r="D17" s="269">
        <f>SUM(D9:D16)</f>
        <v>0</v>
      </c>
      <c r="E17" s="270" t="s">
        <v>39</v>
      </c>
      <c r="F17" s="283">
        <f>SUM(F9:F16)</f>
        <v>0</v>
      </c>
      <c r="G17" s="270" t="s">
        <v>39</v>
      </c>
      <c r="H17" s="269">
        <f>SUM(H9:H16)</f>
        <v>0</v>
      </c>
      <c r="I17" s="270" t="s">
        <v>39</v>
      </c>
      <c r="J17" s="269">
        <f>SUM(J9:J16)</f>
        <v>0</v>
      </c>
      <c r="K17" s="269">
        <f>SUM(B17+D17+F17+H17+J17)</f>
        <v>8</v>
      </c>
    </row>
    <row r="18" spans="1:11" ht="15.75">
      <c r="A18" s="270" t="s">
        <v>40</v>
      </c>
      <c r="B18" s="269">
        <f>SUM(B7+B17)</f>
        <v>14169</v>
      </c>
      <c r="C18" s="270" t="s">
        <v>40</v>
      </c>
      <c r="D18" s="269">
        <f>SUM(D7+D17)</f>
        <v>0</v>
      </c>
      <c r="E18" s="270" t="s">
        <v>40</v>
      </c>
      <c r="F18" s="269">
        <f>SUM(F7+F17)</f>
        <v>0</v>
      </c>
      <c r="G18" s="270" t="s">
        <v>40</v>
      </c>
      <c r="H18" s="269">
        <f>SUM(H7+H17)</f>
        <v>0</v>
      </c>
      <c r="I18" s="270" t="s">
        <v>40</v>
      </c>
      <c r="J18" s="269">
        <f>SUM(J7+J17)</f>
        <v>0</v>
      </c>
      <c r="K18" s="269">
        <f>SUM(B18+D18+F18+H18+J18)</f>
        <v>14169</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14169</v>
      </c>
      <c r="C29" s="270" t="s">
        <v>240</v>
      </c>
      <c r="D29" s="269">
        <f>SUM(D18-D28)</f>
        <v>0</v>
      </c>
      <c r="E29" s="270" t="s">
        <v>240</v>
      </c>
      <c r="F29" s="269">
        <f>SUM(F18-F28)</f>
        <v>0</v>
      </c>
      <c r="G29" s="270" t="s">
        <v>240</v>
      </c>
      <c r="H29" s="269">
        <f>SUM(H18-H28)</f>
        <v>0</v>
      </c>
      <c r="I29" s="270" t="s">
        <v>240</v>
      </c>
      <c r="J29" s="269">
        <f>SUM(J18-J28)</f>
        <v>0</v>
      </c>
      <c r="K29" s="284">
        <f>SUM(B29+D29+F29+H29+J29)</f>
        <v>14169</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14169</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Aurora CD # 15 </v>
      </c>
      <c r="B4" s="650"/>
      <c r="C4" s="650"/>
      <c r="D4" s="650"/>
      <c r="E4" s="650"/>
      <c r="F4" s="650"/>
      <c r="G4" s="650"/>
      <c r="H4" s="650"/>
    </row>
    <row r="5" spans="1:8" ht="15.75">
      <c r="A5" s="717" t="str">
        <f>inputPrYr!D4</f>
        <v>Cloud County </v>
      </c>
      <c r="B5" s="717"/>
      <c r="C5" s="717"/>
      <c r="D5" s="717"/>
      <c r="E5" s="717"/>
      <c r="F5" s="717"/>
      <c r="G5" s="717"/>
      <c r="H5" s="717"/>
    </row>
    <row r="6" spans="1:8" ht="15.75">
      <c r="A6" s="668" t="str">
        <f>CONCATENATE("will meet on ",inputBudSum!B7," at ",inputBudSum!B9," at ",inputBudSum!B11," for the purpose of hearing and")</f>
        <v>will meet on August 26, 2014 at 7:00 p.m.  at Jane Boling residence - 1125 N 230th Rd. - Aurora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Jane Boling residence - 1125 N 230th Rd. - Aurora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6" t="str">
        <f>CONCATENATE("Estimated Value Of One Mill For ",I3,"")</f>
        <v>Estimated Value Of One Mill For 2015</v>
      </c>
      <c r="K12" s="707"/>
      <c r="L12" s="707"/>
      <c r="M12" s="708"/>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2014 Ad Valorem Tax</v>
      </c>
      <c r="H14" s="293" t="s">
        <v>565</v>
      </c>
      <c r="J14" s="500" t="s">
        <v>666</v>
      </c>
      <c r="K14" s="501"/>
      <c r="L14" s="501"/>
      <c r="M14" s="502">
        <f>ROUND(F27/1000,0)</f>
        <v>1368</v>
      </c>
    </row>
    <row r="15" spans="1:13" ht="15.75">
      <c r="A15" s="169" t="s">
        <v>52</v>
      </c>
      <c r="B15" s="114" t="s">
        <v>53</v>
      </c>
      <c r="C15" s="294" t="s">
        <v>197</v>
      </c>
      <c r="D15" s="114" t="s">
        <v>53</v>
      </c>
      <c r="E15" s="294" t="s">
        <v>197</v>
      </c>
      <c r="F15" s="114" t="s">
        <v>560</v>
      </c>
      <c r="G15" s="716"/>
      <c r="H15" s="294" t="s">
        <v>197</v>
      </c>
      <c r="J15" s="16"/>
      <c r="K15" s="16"/>
      <c r="L15" s="16"/>
      <c r="M15" s="16"/>
    </row>
    <row r="16" spans="1:13" ht="16.5">
      <c r="A16" s="36" t="str">
        <f>inputPrYr!B19</f>
        <v>General</v>
      </c>
      <c r="B16" s="123">
        <f>IF(gen!$C$61&lt;&gt;0,gen!$C$61,"  ")</f>
        <v>3508</v>
      </c>
      <c r="C16" s="622">
        <f>IF(inputPrYr!D38&gt;0,inputPrYr!D38,"  ")</f>
        <v>3.729</v>
      </c>
      <c r="D16" s="560">
        <f>IF(gen!$D$61&lt;&gt;0,gen!$D$61,"  ")</f>
        <v>5710</v>
      </c>
      <c r="E16" s="625">
        <f>IF(inputOth!D16&gt;0,inputOth!D16,"  ")</f>
        <v>1.263</v>
      </c>
      <c r="F16" s="560">
        <f>IF(gen!$E$61&lt;&gt;0,gen!$E$61,"  ")</f>
        <v>5725</v>
      </c>
      <c r="G16" s="243">
        <f>IF(gen!$E$68&lt;&gt;0,gen!$E$68,"  ")</f>
        <v>3616</v>
      </c>
      <c r="H16" s="622">
        <f>IF(gen!E68&gt;0,ROUND(G16/$F$27*1000,3)," ")</f>
        <v>2.644</v>
      </c>
      <c r="J16" s="706" t="str">
        <f>CONCATENATE("Want The Mill Rate The Same As For ",I3-1,"?")</f>
        <v>Want The Mill Rate The Same As For 2014?</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1.263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-1889</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3508</v>
      </c>
      <c r="C23" s="624">
        <f aca="true" t="shared" si="0" ref="C23:H23">SUM(C16:C21)</f>
        <v>3.729</v>
      </c>
      <c r="D23" s="619">
        <f t="shared" si="0"/>
        <v>5710</v>
      </c>
      <c r="E23" s="627">
        <f t="shared" si="0"/>
        <v>1.263</v>
      </c>
      <c r="F23" s="619">
        <f t="shared" si="0"/>
        <v>5725</v>
      </c>
      <c r="G23" s="619">
        <f t="shared" si="0"/>
        <v>3616</v>
      </c>
      <c r="H23" s="627">
        <f t="shared" si="0"/>
        <v>2.644</v>
      </c>
      <c r="J23" s="706" t="str">
        <f>CONCATENATE("Impact On Keeping The Same Mill Rate As For ",I3-1,"")</f>
        <v>Impact On Keeping The Same Mill Rate As For 2014</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3508</v>
      </c>
      <c r="C25" s="296"/>
      <c r="D25" s="129">
        <f>SUM(D23-D24)</f>
        <v>5710</v>
      </c>
      <c r="E25" s="296"/>
      <c r="F25" s="484">
        <f>SUM(F23-F24)</f>
        <v>5725</v>
      </c>
      <c r="G25" s="238"/>
      <c r="H25" s="295"/>
      <c r="J25" s="503" t="str">
        <f>CONCATENATE("",I3," Ad Valorem Tax Revenue:")</f>
        <v>2015 Ad Valorem Tax Revenue:</v>
      </c>
      <c r="K25" s="498"/>
      <c r="L25" s="498"/>
      <c r="M25" s="499">
        <f>G23</f>
        <v>3616</v>
      </c>
    </row>
    <row r="26" spans="1:13" ht="16.5" thickTop="1">
      <c r="A26" s="33" t="s">
        <v>54</v>
      </c>
      <c r="B26" s="619">
        <f>inputPrYr!E44</f>
        <v>4819</v>
      </c>
      <c r="C26" s="215"/>
      <c r="D26" s="619">
        <f>inputPrYr!E24</f>
        <v>1593</v>
      </c>
      <c r="E26" s="215"/>
      <c r="F26" s="83" t="s">
        <v>174</v>
      </c>
      <c r="G26" s="18"/>
      <c r="H26" s="18"/>
      <c r="J26" s="503" t="str">
        <f>CONCATENATE("",I3-1," Ad Valorem Tax Revenue:")</f>
        <v>2014 Ad Valorem Tax Revenue:</v>
      </c>
      <c r="K26" s="498"/>
      <c r="L26" s="498"/>
      <c r="M26" s="512">
        <f>ROUND(F27*M18/1000,0)</f>
        <v>1727</v>
      </c>
    </row>
    <row r="27" spans="1:13" ht="15.75">
      <c r="A27" s="33" t="s">
        <v>170</v>
      </c>
      <c r="B27" s="42">
        <f>inputPrYr!E45</f>
        <v>1292437</v>
      </c>
      <c r="C27" s="215"/>
      <c r="D27" s="42">
        <f>inputOth!E24</f>
        <v>1261854</v>
      </c>
      <c r="E27" s="215"/>
      <c r="F27" s="42">
        <f>inputOth!E7</f>
        <v>1367613</v>
      </c>
      <c r="G27" s="18"/>
      <c r="H27" s="18"/>
      <c r="J27" s="513" t="s">
        <v>667</v>
      </c>
      <c r="K27" s="514"/>
      <c r="L27" s="514"/>
      <c r="M27" s="502">
        <f>M25-M26</f>
        <v>1889</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06" t="s">
        <v>668</v>
      </c>
      <c r="K29" s="709"/>
      <c r="L29" s="709"/>
      <c r="M29" s="710"/>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2.644</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3" t="str">
        <f>inputBudSum!B3</f>
        <v>Jane Boling </v>
      </c>
      <c r="B40" s="676"/>
      <c r="C40" s="99"/>
      <c r="D40" s="18"/>
      <c r="E40" s="18"/>
      <c r="F40" s="18"/>
      <c r="G40" s="18"/>
      <c r="H40" s="52"/>
    </row>
    <row r="41" spans="1:8" ht="16.5">
      <c r="A41" s="718" t="str">
        <f>inputBudSum!B5</f>
        <v>President </v>
      </c>
      <c r="B41" s="719"/>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5710</v>
      </c>
      <c r="E19" s="35">
        <v>1593</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1593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5710</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3.729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3.729</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4819</v>
      </c>
    </row>
    <row r="45" spans="1:5" ht="15.75">
      <c r="A45" s="49" t="str">
        <f>CONCATENATE("Assessed Valuation (",D6-2," budget column)")</f>
        <v>Assessed Valuation (2013 budget column)</v>
      </c>
      <c r="B45" s="27"/>
      <c r="C45" s="18"/>
      <c r="D45" s="18"/>
      <c r="E45" s="51">
        <v>1292437</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Aurora CD # 15 </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7" t="str">
        <f>CONCATENATE("",F1," Neighborhood Revitalization Rebate")</f>
        <v>2015 Neighborhood Revitalization Rebate</v>
      </c>
      <c r="C4" s="722"/>
      <c r="D4" s="722"/>
      <c r="E4" s="714"/>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1367613</v>
      </c>
      <c r="E16" s="18"/>
      <c r="F16" s="52"/>
    </row>
    <row r="17" spans="1:6" ht="16.5">
      <c r="A17" s="18"/>
      <c r="B17" s="18"/>
      <c r="C17" s="18"/>
      <c r="D17" s="18"/>
      <c r="E17" s="18"/>
      <c r="F17" s="52"/>
    </row>
    <row r="18" spans="1:6" ht="16.5">
      <c r="A18" s="18"/>
      <c r="B18" s="723" t="s">
        <v>318</v>
      </c>
      <c r="C18" s="723"/>
      <c r="D18" s="309">
        <f>IF(D16&gt;0,(D16*0.001),"")</f>
        <v>1367.613</v>
      </c>
      <c r="E18" s="18"/>
      <c r="F18" s="52"/>
    </row>
    <row r="19" spans="1:6" ht="16.5">
      <c r="A19" s="18"/>
      <c r="B19" s="138"/>
      <c r="C19" s="138"/>
      <c r="D19" s="310"/>
      <c r="E19" s="18"/>
      <c r="F19" s="52"/>
    </row>
    <row r="20" spans="1:6" ht="16.5">
      <c r="A20" s="720" t="s">
        <v>316</v>
      </c>
      <c r="B20" s="714"/>
      <c r="C20" s="714"/>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6.5">
      <c r="B2" s="6"/>
      <c r="C2"/>
      <c r="D2"/>
      <c r="E2"/>
      <c r="F2"/>
      <c r="G2"/>
      <c r="H2"/>
    </row>
    <row r="3" spans="2:8" ht="15.75">
      <c r="B3" s="733" t="s">
        <v>137</v>
      </c>
      <c r="C3" s="733"/>
      <c r="D3" s="733"/>
      <c r="E3" s="733"/>
      <c r="F3" s="733"/>
      <c r="G3" s="733"/>
      <c r="H3" s="733"/>
    </row>
    <row r="4" spans="2:8" ht="16.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Aurora CD # 15  District with respect to financing the 2015 annual budget for Aurora CD # 15  , Cloud County  , Kansas.</v>
      </c>
      <c r="C5" s="726"/>
      <c r="D5" s="726"/>
      <c r="E5" s="726"/>
      <c r="F5" s="726"/>
      <c r="G5" s="726"/>
      <c r="H5" s="726"/>
    </row>
    <row r="6" spans="2:10" ht="15.75">
      <c r="B6" s="726"/>
      <c r="C6" s="726"/>
      <c r="D6" s="726"/>
      <c r="E6" s="726"/>
      <c r="F6" s="726"/>
      <c r="G6" s="726"/>
      <c r="H6" s="726"/>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Aurora CD # 15  district budget exceed the amount levied to finance the</v>
      </c>
      <c r="C9"/>
      <c r="D9"/>
      <c r="E9"/>
      <c r="F9"/>
      <c r="G9"/>
      <c r="H9"/>
    </row>
    <row r="10" spans="2:8" ht="16.5">
      <c r="B10" s="12" t="str">
        <f>CONCATENATE("",inputPrYr!D6-1," ",inputPrYr!D3," except with regard to revenue produced and attributable to the")</f>
        <v>2014 Aurora CD # 15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6.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6.5">
      <c r="B18" s="12"/>
      <c r="C18"/>
      <c r="D18"/>
      <c r="E18"/>
      <c r="F18"/>
      <c r="G18"/>
      <c r="H18"/>
    </row>
    <row r="19" spans="2:8" ht="16.5">
      <c r="B19" s="12" t="str">
        <f>CONCATENATE("Whereas, ",(inputPrYr!D3)," provides essential services to district residents; and")</f>
        <v>Whereas, Aurora CD # 15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Aurora CD # 15  that is our desire to notify the public of the possibility of increased property taxes to finance the 2015 Aurora CD # 15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6.5">
      <c r="B26" s="12"/>
      <c r="C26"/>
      <c r="D26"/>
      <c r="E26"/>
      <c r="F26"/>
      <c r="G26"/>
      <c r="H26"/>
    </row>
    <row r="27" spans="2:8" ht="15.75">
      <c r="B27" s="727" t="str">
        <f>CONCATENATE("Adopted this _________ day of ___________, ",inputPrYr!D6-1," by the ",(inputPrYr!D3)," District Board, ",(inputPrYr!D4),", Kansas.")</f>
        <v>Adopted this _________ day of ___________, 2014 by the Aurora CD # 15  District Board, Cloud County , Kansas.</v>
      </c>
      <c r="C27" s="726"/>
      <c r="D27" s="726"/>
      <c r="E27" s="726"/>
      <c r="F27" s="726"/>
      <c r="G27" s="726"/>
      <c r="H27" s="726"/>
    </row>
    <row r="28" spans="2:8" ht="15.75">
      <c r="B28" s="726"/>
      <c r="C28" s="726"/>
      <c r="D28" s="726"/>
      <c r="E28" s="726"/>
      <c r="F28" s="726"/>
      <c r="G28" s="726"/>
      <c r="H28" s="726"/>
    </row>
    <row r="29" spans="2:8" ht="16.5">
      <c r="B29" s="8"/>
      <c r="C29"/>
      <c r="D29"/>
      <c r="E29"/>
      <c r="F29"/>
      <c r="G29"/>
      <c r="H29"/>
    </row>
    <row r="30" spans="2:8" ht="16.5">
      <c r="B30" s="8"/>
      <c r="C30"/>
      <c r="D30"/>
      <c r="E30"/>
      <c r="F30"/>
      <c r="G30"/>
      <c r="H30"/>
    </row>
    <row r="31" spans="2:8" ht="16.5">
      <c r="B31" s="9" t="str">
        <f>CONCATENATE(" ",(inputPrYr!D3)," District Board")</f>
        <v> Aurora CD # 15  District Board</v>
      </c>
      <c r="C31"/>
      <c r="D31"/>
      <c r="E31"/>
      <c r="F31"/>
      <c r="G31"/>
      <c r="H31"/>
    </row>
    <row r="32" spans="2:8" ht="16.5">
      <c r="B32" s="8"/>
      <c r="C32"/>
      <c r="D32"/>
      <c r="E32"/>
      <c r="F32"/>
      <c r="G32"/>
      <c r="H32"/>
    </row>
    <row r="33" spans="2:8" ht="16.5">
      <c r="B33"/>
      <c r="C33"/>
      <c r="D33"/>
      <c r="E33" s="731" t="s">
        <v>138</v>
      </c>
      <c r="F33" s="731"/>
      <c r="G33" s="731"/>
      <c r="H33" s="731"/>
    </row>
    <row r="34" spans="2:8" ht="16.5">
      <c r="B34"/>
      <c r="C34"/>
      <c r="D34"/>
      <c r="E34" s="731" t="s">
        <v>141</v>
      </c>
      <c r="F34" s="731"/>
      <c r="G34" s="731"/>
      <c r="H34" s="731"/>
    </row>
    <row r="35" spans="2:8" ht="16.5">
      <c r="B35" s="8"/>
      <c r="C35"/>
      <c r="D35"/>
      <c r="E35" s="731"/>
      <c r="F35" s="731"/>
      <c r="G35" s="731"/>
      <c r="H35" s="731"/>
    </row>
    <row r="36" spans="2:8" ht="16.5">
      <c r="B36"/>
      <c r="C36"/>
      <c r="D36"/>
      <c r="E36" s="731" t="s">
        <v>138</v>
      </c>
      <c r="F36" s="731"/>
      <c r="G36" s="731"/>
      <c r="H36" s="731"/>
    </row>
    <row r="37" spans="2:8" ht="16.5">
      <c r="B37"/>
      <c r="C37"/>
      <c r="D37"/>
      <c r="E37" s="731" t="s">
        <v>142</v>
      </c>
      <c r="F37" s="731"/>
      <c r="G37" s="731"/>
      <c r="H37" s="731"/>
    </row>
    <row r="38" spans="2:8" ht="16.5">
      <c r="B38" s="8"/>
      <c r="C38"/>
      <c r="D38"/>
      <c r="E38" s="731"/>
      <c r="F38" s="731"/>
      <c r="G38" s="731"/>
      <c r="H38" s="731"/>
    </row>
    <row r="39" spans="2:8" ht="16.5">
      <c r="B39"/>
      <c r="C39"/>
      <c r="D39"/>
      <c r="E39" s="731" t="s">
        <v>138</v>
      </c>
      <c r="F39" s="731"/>
      <c r="G39" s="731"/>
      <c r="H39" s="731"/>
    </row>
    <row r="40" spans="2:8" ht="16.5">
      <c r="B40"/>
      <c r="C40"/>
      <c r="D40"/>
      <c r="E40" s="731" t="s">
        <v>143</v>
      </c>
      <c r="F40" s="731"/>
      <c r="G40" s="731"/>
      <c r="H40" s="731"/>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0" sqref="E30"/>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Aurora CD # 15 </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1367613</v>
      </c>
    </row>
    <row r="8" spans="1:5" ht="16.5">
      <c r="A8" s="66" t="str">
        <f>CONCATENATE("New Improvements for ",inputPrYr!D6-1,"")</f>
        <v>New Improvements for 2014</v>
      </c>
      <c r="B8" s="67"/>
      <c r="C8" s="67"/>
      <c r="D8" s="67"/>
      <c r="E8" s="68">
        <v>17874</v>
      </c>
    </row>
    <row r="9" spans="1:5" ht="16.5">
      <c r="A9" s="66" t="str">
        <f>CONCATENATE("Personal Property excluding oil, gas, and mobile homes- ",inputPrYr!D6-1,"")</f>
        <v>Personal Property excluding oil, gas, and mobile homes- 2014</v>
      </c>
      <c r="B9" s="67"/>
      <c r="C9" s="67"/>
      <c r="D9" s="67"/>
      <c r="E9" s="68">
        <v>63866</v>
      </c>
    </row>
    <row r="10" spans="1:5" ht="16.5">
      <c r="A10" s="66" t="str">
        <f>CONCATENATE("Property that has changed in use for ",inputPrYr!D6-1,"")</f>
        <v>Property that has changed in use for 2014</v>
      </c>
      <c r="B10" s="67"/>
      <c r="C10" s="67"/>
      <c r="D10" s="67"/>
      <c r="E10" s="68">
        <v>780</v>
      </c>
    </row>
    <row r="11" spans="1:5" ht="16.5">
      <c r="A11" s="65" t="str">
        <f>CONCATENATE("Personal Property excluding oil, gas, and mobile homes- ",inputPrYr!D6-2,"")</f>
        <v>Personal Property excluding oil, gas, and mobile homes- 2013</v>
      </c>
      <c r="B11" s="40"/>
      <c r="C11" s="40"/>
      <c r="D11" s="40"/>
      <c r="E11" s="68">
        <v>53532</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1.263</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1.263</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1261854</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154</v>
      </c>
    </row>
    <row r="28" spans="1:5" ht="16.5">
      <c r="A28" s="66" t="s">
        <v>15</v>
      </c>
      <c r="B28" s="67"/>
      <c r="C28" s="67"/>
      <c r="D28" s="84"/>
      <c r="E28" s="35">
        <v>2</v>
      </c>
    </row>
    <row r="29" spans="1:5" ht="16.5">
      <c r="A29" s="66" t="s">
        <v>171</v>
      </c>
      <c r="B29" s="67"/>
      <c r="C29" s="67"/>
      <c r="D29" s="84"/>
      <c r="E29" s="35">
        <v>75</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5185</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803</v>
      </c>
      <c r="C3" s="538"/>
      <c r="J3" s="539" t="s">
        <v>713</v>
      </c>
    </row>
    <row r="4" spans="1:10" ht="16.5">
      <c r="A4" s="339"/>
      <c r="B4" s="339"/>
      <c r="C4" s="339"/>
      <c r="D4" s="340"/>
      <c r="E4" s="339"/>
      <c r="F4" s="339"/>
      <c r="J4" s="539" t="s">
        <v>714</v>
      </c>
    </row>
    <row r="5" spans="1:10" ht="16.5">
      <c r="A5" s="537" t="s">
        <v>710</v>
      </c>
      <c r="B5" s="538" t="s">
        <v>804</v>
      </c>
      <c r="C5" s="339"/>
      <c r="D5" s="340"/>
      <c r="E5" s="339"/>
      <c r="F5" s="339"/>
      <c r="J5" s="539" t="s">
        <v>715</v>
      </c>
    </row>
    <row r="6" spans="1:10" ht="16.5">
      <c r="A6" s="339"/>
      <c r="B6" s="339"/>
      <c r="C6" s="339"/>
      <c r="D6" s="340"/>
      <c r="E6" s="339"/>
      <c r="F6" s="339"/>
      <c r="J6" s="539" t="s">
        <v>716</v>
      </c>
    </row>
    <row r="7" spans="1:10" ht="16.5">
      <c r="A7" s="341" t="s">
        <v>320</v>
      </c>
      <c r="B7" s="342" t="s">
        <v>805</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August 16, 2014</v>
      </c>
      <c r="E8" s="339"/>
      <c r="F8" s="339"/>
      <c r="J8" s="539" t="s">
        <v>718</v>
      </c>
    </row>
    <row r="9" spans="1:10" ht="16.5">
      <c r="A9" s="341" t="s">
        <v>321</v>
      </c>
      <c r="B9" s="342" t="s">
        <v>806</v>
      </c>
      <c r="C9" s="346"/>
      <c r="D9" s="341"/>
      <c r="E9" s="339"/>
      <c r="F9" s="339"/>
      <c r="J9" s="539" t="s">
        <v>719</v>
      </c>
    </row>
    <row r="10" spans="1:10" ht="16.5">
      <c r="A10" s="341"/>
      <c r="B10" s="341"/>
      <c r="C10" s="341"/>
      <c r="D10" s="341"/>
      <c r="E10" s="339"/>
      <c r="F10" s="339"/>
      <c r="J10" s="539" t="s">
        <v>720</v>
      </c>
    </row>
    <row r="11" spans="1:10" ht="16.5">
      <c r="A11" s="341" t="s">
        <v>322</v>
      </c>
      <c r="B11" s="347" t="s">
        <v>807</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807</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August</v>
      </c>
    </row>
    <row r="19" spans="1:7" ht="16.5">
      <c r="A19" s="341" t="s">
        <v>320</v>
      </c>
      <c r="B19" s="344" t="s">
        <v>325</v>
      </c>
      <c r="C19" s="341"/>
      <c r="D19" s="341"/>
      <c r="E19" s="341"/>
      <c r="G19" s="541" t="str">
        <f>IF(B7="","",CONCATENATE("J",G21))</f>
        <v>J8</v>
      </c>
    </row>
    <row r="20" spans="1:7" ht="16.5">
      <c r="A20" s="341"/>
      <c r="B20" s="341"/>
      <c r="C20" s="341"/>
      <c r="D20" s="341"/>
      <c r="E20" s="341"/>
      <c r="G20" s="542">
        <f>B7-10</f>
        <v>41867</v>
      </c>
    </row>
    <row r="21" spans="1:7" ht="16.5">
      <c r="A21" s="341" t="s">
        <v>321</v>
      </c>
      <c r="B21" s="341" t="s">
        <v>326</v>
      </c>
      <c r="C21" s="341"/>
      <c r="D21" s="341"/>
      <c r="E21" s="341"/>
      <c r="G21" s="543">
        <f>IF(B7="","",MONTH(G20))</f>
        <v>8</v>
      </c>
    </row>
    <row r="22" spans="1:7" ht="16.5">
      <c r="A22" s="341"/>
      <c r="B22" s="341"/>
      <c r="C22" s="341"/>
      <c r="D22" s="341"/>
      <c r="E22" s="341"/>
      <c r="G22" s="544">
        <f>IF(B7="","",DAY(G20))</f>
        <v>16</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2015</v>
      </c>
    </row>
    <row r="4" spans="1:7" ht="15.75">
      <c r="A4" s="668" t="str">
        <f>CONCATENATE("To the Clerk of ",inputPrYr!D4,", State of Kansas")</f>
        <v>To the Clerk of Cloud County , State of Kansas</v>
      </c>
      <c r="B4" s="668"/>
      <c r="C4" s="668"/>
      <c r="D4" s="668"/>
      <c r="E4" s="668"/>
      <c r="F4" s="668"/>
      <c r="G4" s="668"/>
    </row>
    <row r="5" spans="1:7" ht="15.75">
      <c r="A5" s="97" t="s">
        <v>156</v>
      </c>
      <c r="B5" s="24"/>
      <c r="C5" s="24"/>
      <c r="D5" s="24"/>
      <c r="E5" s="24"/>
      <c r="F5" s="24"/>
      <c r="G5" s="24"/>
    </row>
    <row r="6" spans="1:7" ht="15.75">
      <c r="A6" s="650" t="str">
        <f>inputPrYr!D3</f>
        <v>Aurora CD # 15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69" t="str">
        <f>CONCATENATE("",G3," Adopted Budget")</f>
        <v>2015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2014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17-1344</v>
      </c>
      <c r="D23" s="120">
        <v>6</v>
      </c>
      <c r="E23" s="558">
        <f>IF(gen!$E$61&lt;&gt;0,gen!$E$61,"  ")</f>
        <v>5725</v>
      </c>
      <c r="F23" s="558">
        <f>IF(gen!$E$68&lt;&gt;0,gen!$E$68,"  ")</f>
        <v>3616</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5725</v>
      </c>
      <c r="F30" s="565">
        <f>SUM(F23:F28)</f>
        <v>3616</v>
      </c>
      <c r="G30" s="566">
        <f>IF(SUM(G23:G28)=0,"",SUM(G23:G28))</f>
      </c>
    </row>
    <row r="31" spans="1:7" ht="15.75">
      <c r="A31" s="119" t="s">
        <v>204</v>
      </c>
      <c r="B31" s="67"/>
      <c r="C31" s="116"/>
      <c r="D31" s="131">
        <f>summ!E41</f>
        <v>8</v>
      </c>
      <c r="E31" s="135" t="s">
        <v>199</v>
      </c>
      <c r="F31" s="383" t="str">
        <f>IF(F30&gt;computation!J34,"Yes","No")</f>
        <v>Yes</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9</v>
      </c>
      <c r="E33" s="60"/>
      <c r="F33" s="69"/>
      <c r="G33" s="673" t="str">
        <f>CONCATENATE("Nov. 1, ",G3-1," Total Assessed Valuation")</f>
        <v>Nov. 1, 2014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5"/>
      <c r="B49" s="676"/>
      <c r="C49" s="18"/>
      <c r="D49" s="69" t="s">
        <v>729</v>
      </c>
      <c r="E49" s="69"/>
      <c r="F49" s="69"/>
      <c r="G49" s="69"/>
    </row>
    <row r="50" spans="1:7" ht="16.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Aurora CD # 15 </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1593</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1593</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17874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63866</v>
      </c>
      <c r="F14" s="146"/>
      <c r="G14" s="37"/>
      <c r="H14" s="37"/>
      <c r="I14" s="149"/>
      <c r="J14" s="37"/>
    </row>
    <row r="15" spans="1:10" ht="15.75">
      <c r="A15" s="145"/>
      <c r="B15" s="18" t="s">
        <v>99</v>
      </c>
      <c r="C15" s="18" t="str">
        <f>CONCATENATE("Personal Property ",J1-2,"")</f>
        <v>Personal Property 2013</v>
      </c>
      <c r="D15" s="145" t="s">
        <v>95</v>
      </c>
      <c r="E15" s="41">
        <f>inputOth!E11</f>
        <v>53532</v>
      </c>
      <c r="F15" s="146"/>
      <c r="G15" s="149"/>
      <c r="H15" s="149"/>
      <c r="I15" s="37"/>
      <c r="J15" s="37"/>
    </row>
    <row r="16" spans="1:10" ht="15.75">
      <c r="A16" s="145"/>
      <c r="B16" s="18" t="s">
        <v>100</v>
      </c>
      <c r="C16" s="18" t="s">
        <v>114</v>
      </c>
      <c r="D16" s="18"/>
      <c r="E16" s="37"/>
      <c r="F16" s="37" t="s">
        <v>92</v>
      </c>
      <c r="G16" s="148">
        <f>IF(E14&gt;E15,E14-E15,0)</f>
        <v>10334</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780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28988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1367613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1338625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0.021655056494537306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1627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1627</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Aurora CD # 15 </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69"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1593</v>
      </c>
      <c r="D11" s="123">
        <f>IF(E17=0,0,E17-D12-D13-D14)</f>
        <v>154</v>
      </c>
      <c r="E11" s="123">
        <f>IF(E19=0,0,E19-E12-E13-E14)</f>
        <v>2</v>
      </c>
      <c r="F11" s="123">
        <f>IF(E21=0,0,E21-F12-F13-F14)</f>
        <v>75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1593</v>
      </c>
      <c r="D15" s="130">
        <f>SUM(D11:D14)</f>
        <v>154</v>
      </c>
      <c r="E15" s="130">
        <f>SUM(E11:E14)</f>
        <v>2</v>
      </c>
      <c r="F15" s="203">
        <f>SUM(F11:F14)</f>
        <v>75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154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75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0.09667294413057125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0.0012554927809165098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0.047080979284369114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Aurora CD # 15 </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2014-08-13T19:26:14Z</cp:lastPrinted>
  <dcterms:created xsi:type="dcterms:W3CDTF">1999-08-06T13:59:57Z</dcterms:created>
  <dcterms:modified xsi:type="dcterms:W3CDTF">2014-11-07T20:36:05Z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