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30" windowHeight="2715" tabRatio="873" firstSheet="19" activeTab="24"/>
  </bookViews>
  <sheets>
    <sheet name="instructions" sheetId="1" r:id="rId1"/>
    <sheet name="inputPrYr" sheetId="2" r:id="rId2"/>
    <sheet name="inputOth" sheetId="3" r:id="rId3"/>
    <sheet name="inputBudSum" sheetId="4" r:id="rId4"/>
    <sheet name="cert" sheetId="5" r:id="rId5"/>
    <sheet name="cert2" sheetId="6" r:id="rId6"/>
    <sheet name="computation" sheetId="7" r:id="rId7"/>
    <sheet name="mvalloc" sheetId="8" r:id="rId8"/>
    <sheet name="transfers" sheetId="9" r:id="rId9"/>
    <sheet name="TransfersStatutes" sheetId="10" r:id="rId10"/>
    <sheet name="debt" sheetId="11" r:id="rId11"/>
    <sheet name="lpform" sheetId="12" r:id="rId12"/>
    <sheet name="general" sheetId="13" r:id="rId13"/>
    <sheet name="gen-detail" sheetId="14" r:id="rId14"/>
    <sheet name="road" sheetId="15" r:id="rId15"/>
    <sheet name="levy page9" sheetId="16" r:id="rId16"/>
    <sheet name="levy page10" sheetId="17" r:id="rId17"/>
    <sheet name="levy page11" sheetId="18" r:id="rId18"/>
    <sheet name="levy page12" sheetId="19" r:id="rId19"/>
    <sheet name="no levy page13" sheetId="20" r:id="rId20"/>
    <sheet name="no levy page14" sheetId="21" r:id="rId21"/>
    <sheet name="no levy page15" sheetId="22" r:id="rId22"/>
    <sheet name="no levy page16" sheetId="23" r:id="rId23"/>
    <sheet name="nonbudA" sheetId="24" r:id="rId24"/>
    <sheet name="nonbudB" sheetId="25" r:id="rId25"/>
    <sheet name="nonbudC" sheetId="26" r:id="rId26"/>
    <sheet name="nonbudD" sheetId="27" r:id="rId27"/>
    <sheet name="NonBudFunds" sheetId="28" r:id="rId28"/>
    <sheet name="summ" sheetId="29" r:id="rId29"/>
    <sheet name="summ2" sheetId="30" r:id="rId30"/>
    <sheet name="Nhood" sheetId="31" r:id="rId31"/>
    <sheet name="Pub. Notice Option 1" sheetId="32" r:id="rId32"/>
    <sheet name="Pub. Notice Option 2" sheetId="33" r:id="rId33"/>
    <sheet name="Tab A" sheetId="34" r:id="rId34"/>
    <sheet name="Tab B" sheetId="35" r:id="rId35"/>
    <sheet name="Tab C" sheetId="36" r:id="rId36"/>
    <sheet name="Tab D" sheetId="37" r:id="rId37"/>
    <sheet name="Tab E" sheetId="38" r:id="rId38"/>
    <sheet name="Mill Rate Computation" sheetId="39" r:id="rId39"/>
    <sheet name="Helpful Links" sheetId="40" r:id="rId40"/>
    <sheet name="legend" sheetId="41" r:id="rId41"/>
    <sheet name="Sheet1" sheetId="42" r:id="rId42"/>
    <sheet name="Sheet2" sheetId="43" r:id="rId43"/>
    <sheet name="Sheet3" sheetId="44" r:id="rId44"/>
  </sheets>
  <definedNames>
    <definedName name="_xlnm.Print_Area" localSheetId="12">'general'!$A$1:$E$119</definedName>
    <definedName name="_xlnm.Print_Area" localSheetId="1">'inputPrYr'!$A$1:$F$125</definedName>
    <definedName name="_xlnm.Print_Area" localSheetId="0">'instructions'!$A$1:$A$107</definedName>
    <definedName name="_xlnm.Print_Area" localSheetId="16">'levy page10'!$A$1:$E$67</definedName>
    <definedName name="_xlnm.Print_Area" localSheetId="17">'levy page11'!$A$1:$E$63</definedName>
    <definedName name="_xlnm.Print_Area" localSheetId="18">'levy page12'!$A$1:$E$63</definedName>
    <definedName name="_xlnm.Print_Area" localSheetId="15">'levy page9'!$A$1:$E$64</definedName>
    <definedName name="_xlnm.Print_Area" localSheetId="23">'nonbudA'!$A$1:$K$39</definedName>
    <definedName name="_xlnm.Print_Area" localSheetId="24">'nonbudB'!$A$1:$K$39</definedName>
    <definedName name="_xlnm.Print_Area" localSheetId="25">'nonbudC'!$A$1:$K$40</definedName>
    <definedName name="_xlnm.Print_Area" localSheetId="26">'nonbudD'!$A$1:$K$39</definedName>
    <definedName name="_xlnm.Print_Area" localSheetId="14">'road'!$B$1:$E$59</definedName>
    <definedName name="_xlnm.Print_Area" localSheetId="28">'summ'!$A$1:$H$74</definedName>
    <definedName name="_xlnm.Print_Area" localSheetId="29">'summ2'!$A$1:$I$77</definedName>
    <definedName name="_xlnm.Print_Area" localSheetId="8">'transfers'!$A$1:$F$32</definedName>
  </definedNames>
  <calcPr fullCalcOnLoad="1"/>
</workbook>
</file>

<file path=xl/sharedStrings.xml><?xml version="1.0" encoding="utf-8"?>
<sst xmlns="http://schemas.openxmlformats.org/spreadsheetml/2006/main" count="2040" uniqueCount="1090">
  <si>
    <t>Outstanding Indebtness, January 1:</t>
  </si>
  <si>
    <t xml:space="preserve">  G.O. Bonds</t>
  </si>
  <si>
    <t xml:space="preserve">  Revenue Bonds</t>
  </si>
  <si>
    <t xml:space="preserve">  Other</t>
  </si>
  <si>
    <t xml:space="preserve">  Lease Purchase Principal</t>
  </si>
  <si>
    <t>We, the undersigned, officers of</t>
  </si>
  <si>
    <t>Attest: ______________________</t>
  </si>
  <si>
    <t>Special City &amp; County Highway</t>
  </si>
  <si>
    <t>Other County</t>
  </si>
  <si>
    <t>Special District Funds</t>
  </si>
  <si>
    <t xml:space="preserve">Other County </t>
  </si>
  <si>
    <t>CERTIFICATE (2)</t>
  </si>
  <si>
    <t>NON-BUDGETED FUNDS (A)</t>
  </si>
  <si>
    <t>Non-Budgeted Funds-A</t>
  </si>
  <si>
    <t>(1) Fund Name:</t>
  </si>
  <si>
    <t>(2) Fund Name:</t>
  </si>
  <si>
    <t>(3) Fund Name:</t>
  </si>
  <si>
    <t>(4) Fund Name:</t>
  </si>
  <si>
    <t>(5) Fund Name:</t>
  </si>
  <si>
    <t xml:space="preserve">Unencumbered </t>
  </si>
  <si>
    <t>Cash Balance Dec 31</t>
  </si>
  <si>
    <t>NON-BUDGETED FUNDS (B)</t>
  </si>
  <si>
    <t>Non-Budgeted Funds-B</t>
  </si>
  <si>
    <t>NON-BUDGETED FUNDS (C)</t>
  </si>
  <si>
    <t>Non-Budgeted Funds-C</t>
  </si>
  <si>
    <t>NON-BUDGETED FUNDS (D)</t>
  </si>
  <si>
    <t>Non-Budgeted Funds-D</t>
  </si>
  <si>
    <t>Other non-tax levy fund names:</t>
  </si>
  <si>
    <t xml:space="preserve">  Subtotal</t>
  </si>
  <si>
    <r>
      <t>Total  Detail Expenditures</t>
    </r>
    <r>
      <rPr>
        <sz val="12"/>
        <color indexed="10"/>
        <rFont val="Times New Roman"/>
        <family val="1"/>
      </rPr>
      <t>**</t>
    </r>
  </si>
  <si>
    <r>
      <t>**</t>
    </r>
    <r>
      <rPr>
        <sz val="12"/>
        <rFont val="Times New Roman"/>
        <family val="1"/>
      </rPr>
      <t xml:space="preserve"> Note: The Total Detail Expenditures amount should agree to the General Subtotal amounts.</t>
    </r>
  </si>
  <si>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</si>
  <si>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</si>
  <si>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</si>
  <si>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</si>
  <si>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All dollar amounts should be rounded to whole dollars (do not record cents).</t>
  </si>
  <si>
    <t>The blue areas indicated where the information comes from to complete the section input.</t>
  </si>
  <si>
    <t xml:space="preserve">3. Hard coded the Bond &amp; Interest, and Road &amp; Bridge on Certificate and Summary pages. </t>
  </si>
  <si>
    <t xml:space="preserve">7. Now have the indebtedness prior year added to the input page and link with the budget summary page. </t>
  </si>
  <si>
    <t>10. Changed the Budget Summary Heading to include Actual/Estimate/Proposed with the budget year.</t>
  </si>
  <si>
    <t>11. Changed the delinquency rate formula for all levy funds.</t>
  </si>
  <si>
    <t>16. Add total section for Schedule of Transfers and linked the total to the Budget Summary page.</t>
  </si>
  <si>
    <t>17. Added column to show when debt retired on the Indebtedness page.</t>
  </si>
  <si>
    <t>18. Certificate (2) added (2) after Certificate at top of page, removed the certification at the top, and added column for Nov 1 valuation.</t>
  </si>
  <si>
    <t>21. On the Budget Summary page (2) added column for July1 valuation and computation to compute mil rates.</t>
  </si>
  <si>
    <t>20. Added 4 non-budgeted pages for 20 non-budgeted funds.</t>
  </si>
  <si>
    <t>Budget Summary</t>
  </si>
  <si>
    <t>xxxxx</t>
  </si>
  <si>
    <t>22. Added Resolution statement on Certificate page.</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</si>
  <si>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</si>
  <si>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</si>
  <si>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13. Added page number on the Resolution page.</t>
  </si>
  <si>
    <t>8. Added Resolution statement on Certificate page.</t>
  </si>
  <si>
    <t>Note:  All amounts are to be entered in as whole numbers only.</t>
  </si>
  <si>
    <t>23. Added computation to Certificate page 2 to comp mil rates.</t>
  </si>
  <si>
    <t>24. Added note on General and Road detail pages to ensure the General and Road subtotals are in agreement.</t>
  </si>
  <si>
    <t>**</t>
  </si>
  <si>
    <t>**Note: These two block figures should agree.</t>
  </si>
  <si>
    <t>25. Added to instructions about non-appropriated balance limited to 5%.</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</si>
  <si>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</si>
  <si>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29. Added Slider to the Vehicle Allocation table and linked to fund pages.</t>
  </si>
  <si>
    <t>xxxxxxxxxxxxxxxxxxxx</t>
  </si>
  <si>
    <t>30. Added to all budgeted fund pages the budget authority for the actual year, budget violation, and cash violation.</t>
  </si>
  <si>
    <t>31. Added instruction on the addition for item 30.</t>
  </si>
  <si>
    <t>Funds</t>
  </si>
  <si>
    <t xml:space="preserve">expenditure amounts should reflect the amended </t>
  </si>
  <si>
    <t>expenditure amounts.</t>
  </si>
  <si>
    <t xml:space="preserve">Tax Levy Rate </t>
  </si>
  <si>
    <t>Miscellaneous</t>
  </si>
  <si>
    <t>Neighborhood Revitalization Rebate</t>
  </si>
  <si>
    <t xml:space="preserve">The worksheets are named (see the tab) in each budget workbook.  We will identify the worksheet by referencing the tab in parentheses (i.e. General Fund reference would be 'general'). </t>
  </si>
  <si>
    <r>
      <t xml:space="preserve">The General fund has a detail page (gen-detail) which can be used to disclose more insight of the General Fund expenditures by a department.  The detail page department name and total is linked to the General Fund page. You do not have to use the department names that are currently showing, as these can be changed to meet the need of the county. The last detail page contains all the total of the detail pages and this total amount should agree with the subtotal on the General page. If the totals do not agree, then change the figures on the detail page and </t>
    </r>
    <r>
      <rPr>
        <b/>
        <sz val="12"/>
        <rFont val="Times New Roman"/>
        <family val="1"/>
      </rPr>
      <t>not</t>
    </r>
    <r>
      <rPr>
        <sz val="12"/>
        <rFont val="Times New Roman"/>
        <family val="1"/>
      </rPr>
      <t xml:space="preserve"> on the General page.  If the detail page is used, please ensure to print the detail page and attach it to the budget.</t>
    </r>
  </si>
  <si>
    <t>The Road &amp; Bridge fund has a detail page (road-detail) which can be used to disclose more insight of the Road &amp; Bridge department expenditures.  The detail page department and total is linked to the Road fund page. You do not have to use the department names that are currently showing, as these can be changed to meet the need of the county. The detail totals should agree to the Road &amp; Bridge fund page subtotals and if they do not, then make corrections on the detail page only.  If the detail page is used, please remember to print the page.</t>
  </si>
  <si>
    <t>Red areas are for notes or indicate a problem area that will need possible corrective action taken.</t>
  </si>
  <si>
    <t>All of the county's budgets should be submitted to Municipal Services by December 1.</t>
  </si>
  <si>
    <r>
      <t xml:space="preserve">Completed budgets may be submitted to Municipal Services on 3.5 computer disk, CD, or as an attachment to an email.  If submitting by email, please mail to the following address: </t>
    </r>
    <r>
      <rPr>
        <u val="single"/>
        <sz val="12"/>
        <rFont val="Times New Roman"/>
        <family val="1"/>
      </rPr>
      <t>armunis@da.ks.gov</t>
    </r>
    <r>
      <rPr>
        <sz val="12"/>
        <rFont val="Times New Roman"/>
        <family val="1"/>
      </rPr>
      <t xml:space="preserve">. Naming the files should start with 'co' for county, 'ci' for cities, 'to' for townships, and 'sp' for special districts.  </t>
    </r>
  </si>
  <si>
    <t xml:space="preserve">Additional Certificate (cert2) and Budget Summary (summ2) pages are available for adding Special Districts. If Special Districts are submitted with the county's budget, please ensure to include the Special Districts' Computation to Determine Levy Limit computation page, and fund pages. </t>
  </si>
  <si>
    <t>Cash Balance Jan 1</t>
  </si>
  <si>
    <t>Budget Summary2</t>
  </si>
  <si>
    <t>35. Added 'excluding oil, gas, and mobile homes' to lines 7 and 9 on Clerks budget info on tab inputoth.</t>
  </si>
  <si>
    <t>***If you are merely leasing/renting with no intent to purchase, do not list--such transactions are not lease-purchases.</t>
  </si>
  <si>
    <t>34. Expanded on the preparation of budget note 11 for instructions for the Notice of Budget Hearing.</t>
  </si>
  <si>
    <t>The following were changed to this spreadsheet on 5/08/2008</t>
  </si>
  <si>
    <r>
      <t>1. Change all the Non-Budgeted Funds forms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</si>
  <si>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</si>
  <si>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3. The revision date was changed.</t>
  </si>
  <si>
    <t>The following were changed to this spreadsheet on 7/01/08</t>
  </si>
  <si>
    <t>2. Changed the formula for unencumbered cash balances for NonBudA to NonBudD to show a negative balance.</t>
  </si>
  <si>
    <t>3. Added box under unencumbered cash balance for NonBudA to NonBudD to reflect a negative ending cash balance.</t>
  </si>
  <si>
    <t>1. Added instructions to 9d for the NonBudA to NonBudD tabs explaining about negative cash balance.</t>
  </si>
  <si>
    <t xml:space="preserve">Ad Valorem Tax </t>
  </si>
  <si>
    <t xml:space="preserve">County.xls spreadsheet has General Fund, Debt Service, Road &amp; Bridge, 22 levy fund pages, 16 no levy fund pages, and 20 non-budgeted funds. </t>
  </si>
  <si>
    <t>1. Input tab (inputPrYr) added column for the current year expenditures.</t>
  </si>
  <si>
    <t>2. Statement of Indebtedness (debt) added lines to all categories.</t>
  </si>
  <si>
    <t xml:space="preserve">3. All tax levy funds and no tax levy funds fund pages made the following changes: </t>
  </si>
  <si>
    <r>
      <t>3a. Made the total expenditures block for the actual and current year to turn '</t>
    </r>
    <r>
      <rPr>
        <sz val="12"/>
        <color indexed="10"/>
        <rFont val="Times New Roman"/>
        <family val="1"/>
      </rPr>
      <t>Red</t>
    </r>
    <r>
      <rPr>
        <sz val="12"/>
        <rFont val="Times New Roman"/>
        <family val="1"/>
      </rPr>
      <t>' if violation occurs.</t>
    </r>
  </si>
  <si>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</si>
  <si>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</si>
  <si>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</si>
  <si>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</si>
  <si>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</si>
  <si>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</si>
  <si>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7a. Added instruction line 4a to explain about no-fund warrants and temporary notes can be added to the debt service on the Computation to Determine Levy Limit.</t>
  </si>
  <si>
    <t>7b. Added instruction line 9c to explain more about the debt service fund page can included for debts.</t>
  </si>
  <si>
    <t>8. Added to the instruction page lines 10a - 10c to provide a little more insight for the Neighborhood Revitalization rebate.</t>
  </si>
  <si>
    <t>9. Added 2b to explain how to delete delinquency rate from tax levy fund pages.</t>
  </si>
  <si>
    <t>10. Changed the Bond &amp; Interest tab (B&amp;I) to Debt Service tab (DebtService).</t>
  </si>
  <si>
    <t>11. Changed the revised date on all pages changed.</t>
  </si>
  <si>
    <t>12. Added instruction lines 9h to 9j for additional edits for budget authority.</t>
  </si>
  <si>
    <t>13. Added to instruction line 9c about the miscellaneous receipt for the proposed year takes into account the ad valorem taxes for the 10% Rule.</t>
  </si>
  <si>
    <t>14. Added to instruction line 6 for using chartered ordinance number in place of statute reference.</t>
  </si>
  <si>
    <t>2b. If the county chooses not to use the delinquency rate for all tax levy funds, then the county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</si>
  <si>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9/04/08</t>
  </si>
  <si>
    <t>Budget Summary Page</t>
  </si>
  <si>
    <t>27. Added Neighborhood Revitalization table and linked to the tax levy fund pages.</t>
  </si>
  <si>
    <t>32. Added 'miscellaneous' category to the receipt/expenditure for all fund pages and set error message.</t>
  </si>
  <si>
    <t>33. Added to the instruction about correct the error message for the miscellaneous.</t>
  </si>
  <si>
    <t>9. Added Neighborhood Revitalization, LAVTR, City and County Revenue Sharing, and Slider to the input page and to the General Fund page. Added NR to each tax levy fund page.</t>
  </si>
  <si>
    <t xml:space="preserve">General Instructions </t>
  </si>
  <si>
    <t>To print the spreadsheets, you can either print one sheet at a time or all of the sheets at once.</t>
  </si>
  <si>
    <t>Computer Spreadsheet Preparation</t>
  </si>
  <si>
    <t>Statute</t>
  </si>
  <si>
    <t>General</t>
  </si>
  <si>
    <t>Total</t>
  </si>
  <si>
    <t>Motor Vehicle Tax Estimate</t>
  </si>
  <si>
    <t>Recreational Vehicle Tax Estimate</t>
  </si>
  <si>
    <t>certify that: (1) the hearing mentioned in the attached publication was held;</t>
  </si>
  <si>
    <t>(2) after the Budget Hearing this budget was duly approved and adopted as the</t>
  </si>
  <si>
    <t>Page</t>
  </si>
  <si>
    <t>County Clerk's</t>
  </si>
  <si>
    <t>Table of Contents:</t>
  </si>
  <si>
    <t>No.</t>
  </si>
  <si>
    <t>Expenditures</t>
  </si>
  <si>
    <t>Use Only</t>
  </si>
  <si>
    <t>Statement of Indebtedness</t>
  </si>
  <si>
    <t>Statement of Lease-Purchases</t>
  </si>
  <si>
    <t>Fund</t>
  </si>
  <si>
    <t>K.S.A.</t>
  </si>
  <si>
    <t>TOTALS</t>
  </si>
  <si>
    <t>x</t>
  </si>
  <si>
    <t>Assisted by:</t>
  </si>
  <si>
    <t>Governing Body</t>
  </si>
  <si>
    <t>County Clerk</t>
  </si>
  <si>
    <t>Amount</t>
  </si>
  <si>
    <t>Mental Health</t>
  </si>
  <si>
    <t>TOTAL</t>
  </si>
  <si>
    <t>County Treas Motor Vehicle Estimate</t>
  </si>
  <si>
    <t>County Treasurers Recreational Vehicle Estimate</t>
  </si>
  <si>
    <t>Motor Vehicle Factor</t>
  </si>
  <si>
    <t>MVT</t>
  </si>
  <si>
    <t>Totals</t>
  </si>
  <si>
    <t>District Court</t>
  </si>
  <si>
    <t>Adopted Budget</t>
  </si>
  <si>
    <t>Ad Valorem Tax</t>
  </si>
  <si>
    <t>Delinquent Tax</t>
  </si>
  <si>
    <t>Motor Vehicle Tax</t>
  </si>
  <si>
    <t>Recreational Vehicle Tax</t>
  </si>
  <si>
    <t>Local Alcoholic Liquor</t>
  </si>
  <si>
    <t>Interest on Idle Funds</t>
  </si>
  <si>
    <t>Total Receipts</t>
  </si>
  <si>
    <t>Resources Available:</t>
  </si>
  <si>
    <t xml:space="preserve">General </t>
  </si>
  <si>
    <t>Expenditures:</t>
  </si>
  <si>
    <t>Total Expenditures</t>
  </si>
  <si>
    <t>Tax Required</t>
  </si>
  <si>
    <t>%</t>
  </si>
  <si>
    <t>General Fund - Detail Expend</t>
  </si>
  <si>
    <t>General Administration</t>
  </si>
  <si>
    <t xml:space="preserve">  Capital Outlay</t>
  </si>
  <si>
    <t>Ambulance</t>
  </si>
  <si>
    <t>County Treasurer</t>
  </si>
  <si>
    <t>Election</t>
  </si>
  <si>
    <t>Employee Benefits</t>
  </si>
  <si>
    <t xml:space="preserve">  Health Insurance</t>
  </si>
  <si>
    <t xml:space="preserve">  Retirement</t>
  </si>
  <si>
    <t xml:space="preserve">  Workers Compensation</t>
  </si>
  <si>
    <t xml:space="preserve">  Unemployment</t>
  </si>
  <si>
    <t>Library</t>
  </si>
  <si>
    <t>Mental Retardation</t>
  </si>
  <si>
    <t>Road &amp; Bridge</t>
  </si>
  <si>
    <t>Solid Waste</t>
  </si>
  <si>
    <t>Other</t>
  </si>
  <si>
    <t>Page No.</t>
  </si>
  <si>
    <t>Actual</t>
  </si>
  <si>
    <t>Est.</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</si>
  <si>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</si>
  <si>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</si>
  <si>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</si>
  <si>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</si>
  <si>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</si>
  <si>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</si>
  <si>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</si>
  <si>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</si>
  <si>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</si>
  <si>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</si>
  <si>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</si>
  <si>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</si>
  <si>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Clerk</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</si>
  <si>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</si>
  <si>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</si>
  <si>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</si>
  <si>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</si>
  <si>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</si>
  <si>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</si>
  <si>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</si>
  <si>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</si>
  <si>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</si>
  <si>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</si>
  <si>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</si>
  <si>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</si>
  <si>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</si>
  <si>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</si>
  <si>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</si>
  <si>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</si>
  <si>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</si>
  <si>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</si>
  <si>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</si>
  <si>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</si>
  <si>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</si>
  <si>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</si>
  <si>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 M Vehicle Tax</t>
  </si>
  <si>
    <t>CERTIFICATE</t>
  </si>
  <si>
    <t>STATEMENT OF CONDITIONAL LEASE-PURCHASE AND CERTIFICATE OF PARTICIPATION*</t>
  </si>
  <si>
    <t>NOTICE OF BUDGET HEARING</t>
  </si>
  <si>
    <t>BUDGET SUMMARY</t>
  </si>
  <si>
    <t>FUND PAGE - GENERAL</t>
  </si>
  <si>
    <t>FUND PAGE - GENERAL DETAIL</t>
  </si>
  <si>
    <t>FUND PAGE FOR FUNDS WITH A TAX LEVY</t>
  </si>
  <si>
    <t>FUND PAGE FOR FUNDS WITH NO TAX LEVY</t>
  </si>
  <si>
    <t>STATEMENT OF INDEBTEDNESS</t>
  </si>
  <si>
    <t>RVT</t>
  </si>
  <si>
    <t>County Treasurers 16/20M Vehicle Estimate</t>
  </si>
  <si>
    <t>16/20M Vehicle Tax Estimate</t>
  </si>
  <si>
    <t>Amount of Levy</t>
  </si>
  <si>
    <t xml:space="preserve"> 1.</t>
  </si>
  <si>
    <t>+</t>
  </si>
  <si>
    <t>$</t>
  </si>
  <si>
    <t xml:space="preserve"> 2.</t>
  </si>
  <si>
    <t>-</t>
  </si>
  <si>
    <t xml:space="preserve"> 3.</t>
  </si>
  <si>
    <t xml:space="preserve"> 4.</t>
  </si>
  <si>
    <t xml:space="preserve"> 5.</t>
  </si>
  <si>
    <t>5a.</t>
  </si>
  <si>
    <t>5b.</t>
  </si>
  <si>
    <t>5c.</t>
  </si>
  <si>
    <t>6.</t>
  </si>
  <si>
    <t>9.</t>
  </si>
  <si>
    <t>10.</t>
  </si>
  <si>
    <t>11.</t>
  </si>
  <si>
    <t>12.</t>
  </si>
  <si>
    <t>(Use Only if &gt; 0)</t>
  </si>
  <si>
    <t>16/20M Vehicle Tax</t>
  </si>
  <si>
    <t xml:space="preserve">The governing body of </t>
  </si>
  <si>
    <t>7.</t>
  </si>
  <si>
    <t>8.</t>
  </si>
  <si>
    <t>Balance On</t>
  </si>
  <si>
    <t>16/20M Veh</t>
  </si>
  <si>
    <t>13.</t>
  </si>
  <si>
    <t>14.</t>
  </si>
  <si>
    <t>Unencumbered Cash Balance Jan 1</t>
  </si>
  <si>
    <t>Unencumbered Cash Balance Dec 31</t>
  </si>
  <si>
    <t>Receipts:</t>
  </si>
  <si>
    <t xml:space="preserve">Enter information  in all areas that are green if they apply to the budget you are preparing. </t>
  </si>
  <si>
    <t>79-1946</t>
  </si>
  <si>
    <t>Schedule of Transfers</t>
  </si>
  <si>
    <t>Outstanding</t>
  </si>
  <si>
    <t>(Beginning Principal)</t>
  </si>
  <si>
    <t>Estimated Tax Rate is subject to change depending on the final assessed valuation.</t>
  </si>
  <si>
    <t>Lease Pur. Princ.</t>
  </si>
  <si>
    <t>Page No. 7</t>
  </si>
  <si>
    <t>Page No. 7a</t>
  </si>
  <si>
    <t>Page 7b</t>
  </si>
  <si>
    <t>Page 7c</t>
  </si>
  <si>
    <t>Page 7d</t>
  </si>
  <si>
    <t xml:space="preserve">                                                                          16/20M Vehicle Factor</t>
  </si>
  <si>
    <t xml:space="preserve">                                         Recreational Vehicle Factor</t>
  </si>
  <si>
    <t>Current</t>
  </si>
  <si>
    <t>Proposed</t>
  </si>
  <si>
    <t>Total - Page 7b</t>
  </si>
  <si>
    <t>Total - Page7c</t>
  </si>
  <si>
    <t>Total - Page7d</t>
  </si>
  <si>
    <t>Total - Page7b</t>
  </si>
  <si>
    <t>Total - Page 7c</t>
  </si>
  <si>
    <t>When the page numbers are changed on the fund pages, the Certificate page will also be changed.</t>
  </si>
  <si>
    <t>County Clerk's Use Only</t>
  </si>
  <si>
    <t>November 1st Valuation</t>
  </si>
  <si>
    <t>Address:</t>
  </si>
  <si>
    <t>County1 Spreadsheet Instructions</t>
  </si>
  <si>
    <t xml:space="preserve">Counties can use the county.xls or county1.xls files.   You must choose a form that meets the needs for the number of funds.  If you don't need all the funds, just leave the pages blank and number the completed pages sequentially. </t>
  </si>
  <si>
    <t>Input sheet for County1 budget form</t>
  </si>
  <si>
    <t>Enter County Name followed by 'County'</t>
  </si>
  <si>
    <t>Enter year being budgeted (YYYY)</t>
  </si>
  <si>
    <t>Information comes from the Certificate, Page No. 1</t>
  </si>
  <si>
    <t>Fund Names for all funds with a tax levy:</t>
  </si>
  <si>
    <t>Neighborhood Revitalization</t>
  </si>
  <si>
    <t>LAVTR</t>
  </si>
  <si>
    <t>City and County Revenue Sharing</t>
  </si>
  <si>
    <t>Computation of Delinquency</t>
  </si>
  <si>
    <r>
      <t>**</t>
    </r>
    <r>
      <rPr>
        <u val="single"/>
        <sz val="12"/>
        <rFont val="Times New Roman"/>
        <family val="1"/>
      </rPr>
      <t>Note</t>
    </r>
    <r>
      <rPr>
        <sz val="12"/>
        <rFont val="Times New Roman"/>
        <family val="1"/>
      </rPr>
      <t>: The delinquency rate can be up to 5% more than the actual delinquency rate from the preivous year.</t>
    </r>
  </si>
  <si>
    <t>From:</t>
  </si>
  <si>
    <t xml:space="preserve">  To:</t>
  </si>
  <si>
    <t>Amount for</t>
  </si>
  <si>
    <t>Transfers</t>
  </si>
  <si>
    <t>Authorized by</t>
  </si>
  <si>
    <t>Adjusted Totals</t>
  </si>
  <si>
    <t>Beginning Amount</t>
  </si>
  <si>
    <t xml:space="preserve">of </t>
  </si>
  <si>
    <t>Retirement</t>
  </si>
  <si>
    <t xml:space="preserve">Total Other </t>
  </si>
  <si>
    <t>The following were changed to this spreadsheet on 2/23/09</t>
  </si>
  <si>
    <t>1. Instruction under Submitting Budgets added 79-2926 requires electronic filing of the budget.</t>
  </si>
  <si>
    <t>2. Input other tab line 27 changed from Budget Summary to Budget Certificate.</t>
  </si>
  <si>
    <t xml:space="preserve">K.S.A. 79-2926 requires budgets be submitted by electronic means. </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</si>
  <si>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</si>
  <si>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</si>
  <si>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Counties</t>
  </si>
  <si>
    <t>1. InputPrYr tab added C13 'If amended….'</t>
  </si>
  <si>
    <t>2.No levypage21 tab add conditional statement to cells c29, c30, and d29</t>
  </si>
  <si>
    <t>3. Added tab 'TransfersStatutes'</t>
  </si>
  <si>
    <t>4. Changed foot note to reflect the changes made on 7/1/08 to the above tabs.</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</si>
  <si>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</si>
  <si>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</si>
  <si>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12. Changed the Certificate page so the county name flows instead of having unneeded spaces.</t>
  </si>
  <si>
    <t>14. Delinquency rate for actual for 3 decimal and note that rate can be up to 5% over the actual rate.</t>
  </si>
  <si>
    <t>15. Computation to Determine Limit changed the note on bottom to include publish ordinance and attach the published ordinance to the budget.</t>
  </si>
  <si>
    <t>19. Budget Summary changed the sentence "will meet…" so the year automatically changes.</t>
  </si>
  <si>
    <t>26. Added warning "Exceeds 5%" on all fund pages for the non-appropriated balance.</t>
  </si>
  <si>
    <t>28. Added Neighborhood Revitalization expenditure block to each tax levy fund pages.</t>
  </si>
  <si>
    <t>Non-Budgeted Funds - Counties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</si>
  <si>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</si>
  <si>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</si>
  <si>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</si>
  <si>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</si>
  <si>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sz val="12"/>
        <color indexed="8"/>
        <rFont val="Times New Roman"/>
        <family val="1"/>
      </rPr>
      <t xml:space="preserve">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</si>
  <si>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</si>
  <si>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19-119.</t>
    </r>
    <r>
      <rPr>
        <sz val="12"/>
        <color indexed="8"/>
        <rFont val="Times New Roman"/>
        <family val="1"/>
      </rPr>
      <t xml:space="preserve">  </t>
    </r>
    <r>
      <rPr>
        <b/>
        <sz val="12"/>
        <color indexed="8"/>
        <rFont val="Times New Roman"/>
        <family val="1"/>
      </rPr>
      <t xml:space="preserve">County equipment reserve fund. </t>
    </r>
    <r>
      <rPr>
        <sz val="12"/>
        <color indexed="8"/>
        <rFont val="Times New Roman"/>
        <family val="1"/>
      </rPr>
      <t xml:space="preserve"> Provides for the creation of a county equipment reserve fund to finance the acquisition of equipment.</t>
    </r>
  </si>
  <si>
    <r>
      <t xml:space="preserve">K.S.A. </t>
    </r>
    <r>
      <rPr>
        <b/>
        <sz val="12"/>
        <color indexed="8"/>
        <rFont val="Times New Roman"/>
        <family val="1"/>
      </rPr>
      <t>19-120.</t>
    </r>
    <r>
      <rPr>
        <sz val="12"/>
        <color indexed="8"/>
        <rFont val="Times New Roman"/>
        <family val="1"/>
      </rPr>
      <t xml:space="preserve">  </t>
    </r>
    <r>
      <rPr>
        <b/>
        <sz val="12"/>
        <color indexed="8"/>
        <rFont val="Times New Roman"/>
        <family val="1"/>
      </rPr>
      <t>Multi-year capital improvement fund.</t>
    </r>
    <r>
      <rPr>
        <sz val="12"/>
        <color indexed="8"/>
        <rFont val="Times New Roman"/>
        <family val="1"/>
      </rPr>
      <t xml:space="preserve">  (a)  The commissioners of any county with a multi-year capital improvement plan may establish a capital improvements fund.</t>
    </r>
  </si>
  <si>
    <r>
      <t xml:space="preserve">K.S.A. </t>
    </r>
    <r>
      <rPr>
        <b/>
        <sz val="12"/>
        <color indexed="8"/>
        <rFont val="Times New Roman"/>
        <family val="1"/>
      </rPr>
      <t>19-15,136.</t>
    </r>
    <r>
      <rPr>
        <sz val="12"/>
        <color indexed="8"/>
        <rFont val="Times New Roman"/>
        <family val="1"/>
      </rPr>
      <t xml:space="preserve">  </t>
    </r>
    <r>
      <rPr>
        <b/>
        <sz val="12"/>
        <color indexed="8"/>
        <rFont val="Times New Roman"/>
        <family val="1"/>
      </rPr>
      <t>Special building fund.</t>
    </r>
    <r>
      <rPr>
        <sz val="12"/>
        <color indexed="8"/>
        <rFont val="Times New Roman"/>
        <family val="1"/>
      </rPr>
      <t xml:space="preserve">  County commissioners may create a special building fund to act as the repository of proceeds from the sale of county home or farm property</t>
    </r>
  </si>
  <si>
    <r>
      <t xml:space="preserve">K.S.A. </t>
    </r>
    <r>
      <rPr>
        <b/>
        <sz val="12"/>
        <color indexed="8"/>
        <rFont val="Times New Roman"/>
        <family val="1"/>
      </rPr>
      <t>19-2120.</t>
    </r>
    <r>
      <rPr>
        <sz val="12"/>
        <color indexed="8"/>
        <rFont val="Times New Roman"/>
        <family val="1"/>
      </rPr>
      <t xml:space="preserve">  </t>
    </r>
    <r>
      <rPr>
        <b/>
        <sz val="12"/>
        <color indexed="8"/>
        <rFont val="Times New Roman"/>
        <family val="1"/>
      </rPr>
      <t>County home improvement fund in certain counties.</t>
    </r>
    <r>
      <rPr>
        <sz val="12"/>
        <color indexed="8"/>
        <rFont val="Times New Roman"/>
        <family val="1"/>
      </rPr>
      <t xml:space="preserve">  County commissioners in counties having a population of less than 3,000, or any county having a population of more than 5,400 and not more than 6,000 and an assessed tangible valuation of not less than $25,000,000 and not more than $35,000,000, owning a county home for the aged, shall place proceeds from its renting, leasing or letting into a county home improvement fund.</t>
    </r>
  </si>
  <si>
    <r>
      <t xml:space="preserve">[per </t>
    </r>
    <r>
      <rPr>
        <b/>
        <sz val="12"/>
        <rFont val="Times New Roman"/>
        <family val="1"/>
      </rPr>
      <t xml:space="preserve">K.S.A. </t>
    </r>
    <r>
      <rPr>
        <b/>
        <sz val="11"/>
        <color indexed="8"/>
        <rFont val="Arial"/>
        <family val="2"/>
      </rPr>
      <t>19-2121,</t>
    </r>
    <r>
      <rPr>
        <sz val="11"/>
        <color indexed="8"/>
        <rFont val="Arial"/>
        <family val="2"/>
      </rPr>
      <t xml:space="preserve"> such county home improvement fund shall not be subject to the provisions of K.S.A. 79-2925 to 79-2941 . . . .]</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</si>
  <si>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</si>
  <si>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</si>
  <si>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68-559a.</t>
    </r>
    <r>
      <rPr>
        <sz val="12"/>
        <color indexed="8"/>
        <rFont val="Times New Roman"/>
        <family val="1"/>
      </rPr>
      <t xml:space="preserve">   </t>
    </r>
    <r>
      <rPr>
        <b/>
        <sz val="12"/>
        <color indexed="8"/>
        <rFont val="Times New Roman"/>
        <family val="1"/>
      </rPr>
      <t>Special road and bridge fund.</t>
    </r>
    <r>
      <rPr>
        <sz val="12"/>
        <color indexed="8"/>
        <rFont val="Times New Roman"/>
        <family val="1"/>
      </rPr>
      <t xml:space="preserve">  Authorizes the creation of a special road and bridge fund and for funding of such through levy of an annual property tax of not to exceed two mills.</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</si>
  <si>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</si>
  <si>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</si>
  <si>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79-1482.</t>
    </r>
    <r>
      <rPr>
        <sz val="12"/>
        <color indexed="8"/>
        <rFont val="Times New Roman"/>
        <family val="1"/>
      </rPr>
      <t xml:space="preserve">  </t>
    </r>
    <r>
      <rPr>
        <b/>
        <sz val="12"/>
        <color indexed="8"/>
        <rFont val="Times New Roman"/>
        <family val="1"/>
      </rPr>
      <t>Special countywide reappraisal fund.</t>
    </r>
    <r>
      <rPr>
        <sz val="12"/>
        <color indexed="8"/>
        <rFont val="Times New Roman"/>
        <family val="1"/>
      </rPr>
      <t xml:space="preserve">  Counties may levy taxes and place the proceeds in a special countywide reappraisal fund to be used to pay costs associated with countywide reappraisal.</t>
    </r>
  </si>
  <si>
    <r>
      <t xml:space="preserve">K.S.A. </t>
    </r>
    <r>
      <rPr>
        <b/>
        <sz val="12"/>
        <color indexed="8"/>
        <rFont val="Times New Roman"/>
        <family val="1"/>
      </rPr>
      <t>79-1608.</t>
    </r>
    <r>
      <rPr>
        <sz val="12"/>
        <color indexed="8"/>
        <rFont val="Times New Roman"/>
        <family val="1"/>
      </rPr>
      <t xml:space="preserve">  </t>
    </r>
    <r>
      <rPr>
        <b/>
        <sz val="12"/>
        <color indexed="8"/>
        <rFont val="Times New Roman"/>
        <family val="1"/>
      </rPr>
      <t>Special appraisal fund.</t>
    </r>
    <r>
      <rPr>
        <sz val="12"/>
        <color indexed="8"/>
        <rFont val="Times New Roman"/>
        <family val="1"/>
      </rPr>
      <t xml:space="preserve">  Counties may create a special appraisal fund to be used for the purpose of assuring that all property in the county is classified and appraised according to law and for employment of or contracting for appraisal assistance, hearing officers or panels and arbitrators.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</si>
  <si>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</si>
  <si>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Counties may create non-budgeted funds for any gifts or bequests, and, for the operation of a county coliseum.</t>
    </r>
  </si>
  <si>
    <t>5. Added tab 'NonBudFunds'</t>
  </si>
  <si>
    <t>4. Added tabs A to E for possible violation</t>
  </si>
  <si>
    <t>6. Instructions tab changed cells 9g - j for changes for possible violations on fund pages</t>
  </si>
  <si>
    <t xml:space="preserve">8.  Instructions tab added line 6b to inform about TransferStatutes tab
</t>
  </si>
  <si>
    <t>7. Deleted on all fund pages the 'Yes' and 'No' and replace with see tab for possible violations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</si>
  <si>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</si>
  <si>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</si>
  <si>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12-196</t>
    </r>
    <r>
      <rPr>
        <sz val="12"/>
        <rFont val="Times New Roman"/>
        <family val="1"/>
      </rPr>
      <t xml:space="preserve">. </t>
    </r>
    <r>
      <rPr>
        <sz val="12"/>
        <color indexed="8"/>
        <rFont val="Times New Roman"/>
        <family val="1"/>
      </rPr>
      <t xml:space="preserve"> </t>
    </r>
    <r>
      <rPr>
        <b/>
        <sz val="12"/>
        <color indexed="8"/>
        <rFont val="Times New Roman"/>
        <family val="1"/>
      </rPr>
      <t>Transfer of sales tax proceeds.</t>
    </r>
    <r>
      <rPr>
        <sz val="12"/>
        <color indexed="8"/>
        <rFont val="Times New Roman"/>
        <family val="1"/>
      </rPr>
      <t xml:space="preserve">  The board of county commissioners may transfer any portion of the revenue received pursuant to K.S.A. 12-192 [countywide retailers sales tax] from the county general fund to the county road and bridge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</si>
  <si>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</si>
  <si>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</si>
  <si>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</si>
  <si>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 xml:space="preserve">.  </t>
    </r>
    <r>
      <rPr>
        <b/>
        <sz val="12"/>
        <color indexed="8"/>
        <rFont val="Times New Roman"/>
        <family val="1"/>
      </rPr>
      <t>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</si>
  <si>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K.S.A. 19-119</t>
    </r>
    <r>
      <rPr>
        <sz val="12"/>
        <rFont val="Times New Roman"/>
        <family val="1"/>
      </rPr>
      <t>.</t>
    </r>
    <r>
      <rPr>
        <b/>
        <sz val="12"/>
        <rFont val="Times New Roman"/>
        <family val="1"/>
      </rPr>
      <t xml:space="preserve">  Transfer to equipment reserve fund.</t>
    </r>
    <r>
      <rPr>
        <sz val="12"/>
        <rFont val="Times New Roman"/>
        <family val="1"/>
      </rPr>
      <t xml:space="preserve">  </t>
    </r>
    <r>
      <rPr>
        <sz val="12"/>
        <color indexed="8"/>
        <rFont val="Times New Roman"/>
        <family val="1"/>
      </rPr>
      <t>Moneys may be budgeted and transferred to an equipment reserve fund from any source which may be lawfully utilized for such purposes.</t>
    </r>
  </si>
  <si>
    <r>
      <t>K.S.A. 19-120</t>
    </r>
    <r>
      <rPr>
        <sz val="12"/>
        <color indexed="8"/>
        <rFont val="Times New Roman"/>
        <family val="1"/>
      </rPr>
      <t>.</t>
    </r>
    <r>
      <rPr>
        <b/>
        <sz val="12"/>
        <color indexed="8"/>
        <rFont val="Times New Roman"/>
        <family val="1"/>
      </rPr>
      <t xml:space="preserve">  Transfer to capital improvements fund.</t>
    </r>
    <r>
      <rPr>
        <sz val="12"/>
        <color indexed="8"/>
        <rFont val="Times New Roman"/>
        <family val="1"/>
      </rPr>
      <t xml:space="preserve">  Authorizes the budgeted transfer of moneys from other funds lawfully available for improvement purposes to the capital improvements fund, including moneys in the general fund.</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</si>
  <si>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Transfer to worker’s compensation reserve fund.</t>
    </r>
    <r>
      <rPr>
        <sz val="12"/>
        <color indexed="8"/>
        <rFont val="Times New Roman"/>
        <family val="1"/>
      </rPr>
      <t xml:space="preserve">  Where a county chooses to act as a self-insurer under the worker’s compensation act it is authorized it is authorized to make transfers to a worker’s compensation reserve fund at any time by transfer of money from the road and bridge fund of said county in such amount as the board deems necessary.</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</si>
  <si>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</si>
  <si>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</si>
  <si>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</si>
  <si>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NonBud tab changed Net valuation to July 1</t>
  </si>
  <si>
    <t>Valuation Factor:</t>
  </si>
  <si>
    <t>Neighborhood Revitalization Subj to Rebate:</t>
  </si>
  <si>
    <t>Neighborhood Revitalization factor:</t>
  </si>
  <si>
    <t>10.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</si>
  <si>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</si>
  <si>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</si>
  <si>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</si>
  <si>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</si>
  <si>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Shawnee County Clerk's Office</t>
  </si>
  <si>
    <t>Available at:</t>
  </si>
  <si>
    <t>Examples</t>
  </si>
  <si>
    <t>August 12, 2010</t>
  </si>
  <si>
    <t>7:00 PM or 7:00 AM</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</si>
  <si>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</si>
  <si>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</si>
  <si>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</si>
  <si>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</si>
  <si>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</si>
  <si>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</si>
  <si>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</si>
  <si>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</si>
  <si>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</si>
  <si>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</si>
  <si>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</si>
  <si>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</si>
  <si>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</si>
  <si>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</si>
  <si>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</si>
  <si>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</si>
  <si>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</si>
  <si>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</si>
  <si>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</si>
  <si>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</si>
  <si>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</si>
  <si>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</si>
  <si>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</si>
  <si>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</si>
  <si>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 &amp; bridge</t>
  </si>
  <si>
    <t xml:space="preserve">and noxious weed funds may split contractual services between the two </t>
  </si>
  <si>
    <t xml:space="preserve">funds.  If one of those funds is in trouble, you might be able to </t>
  </si>
  <si>
    <t xml:space="preserve">allocate a little more in contractual services to the healthy fund in </t>
  </si>
  <si>
    <t>order to 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</si>
  <si>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</si>
  <si>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</si>
  <si>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</si>
  <si>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</si>
  <si>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</si>
  <si>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</si>
  <si>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</si>
  <si>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</si>
  <si>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</si>
  <si>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</si>
  <si>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</si>
  <si>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</si>
  <si>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</si>
  <si>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</si>
  <si>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</si>
  <si>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</si>
  <si>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</si>
  <si>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</si>
  <si>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</si>
  <si>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</si>
  <si>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</si>
  <si>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</si>
  <si>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</si>
  <si>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</si>
  <si>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</si>
  <si>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</si>
  <si>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</si>
  <si>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</si>
  <si>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</si>
  <si>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</si>
  <si>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</si>
  <si>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</si>
  <si>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</si>
  <si>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</si>
  <si>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</si>
  <si>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</si>
  <si>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</si>
  <si>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</si>
  <si>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</si>
  <si>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</si>
  <si>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</si>
  <si>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</si>
  <si>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</si>
  <si>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</si>
  <si>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</si>
  <si>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</si>
  <si>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</si>
  <si>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</si>
  <si>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</si>
  <si>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</si>
  <si>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</si>
  <si>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</si>
  <si>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</si>
  <si>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</si>
  <si>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</si>
  <si>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</si>
  <si>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</si>
  <si>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</si>
  <si>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</si>
  <si>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</si>
  <si>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</si>
  <si>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</si>
  <si>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</si>
  <si>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</si>
  <si>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</si>
  <si>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</si>
  <si>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</si>
  <si>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</si>
  <si>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</si>
  <si>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</si>
  <si>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</si>
  <si>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</si>
  <si>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</si>
  <si>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</si>
  <si>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</si>
  <si>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</si>
  <si>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</si>
  <si>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</si>
  <si>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</si>
  <si>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</si>
  <si>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</si>
  <si>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</si>
  <si>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</si>
  <si>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</si>
  <si>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</si>
  <si>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</si>
  <si>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</si>
  <si>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</si>
  <si>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</si>
  <si>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</si>
  <si>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</si>
  <si>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</si>
  <si>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</si>
  <si>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</si>
  <si>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</si>
  <si>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</si>
  <si>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</si>
  <si>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</si>
  <si>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</si>
  <si>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</si>
  <si>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</si>
  <si>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</si>
  <si>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</si>
  <si>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</si>
  <si>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</si>
  <si>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</si>
  <si>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</si>
  <si>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 xml:space="preserve">funds.  If one of those funds is in trouble you might be able to </t>
  </si>
  <si>
    <t>order to 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</si>
  <si>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</si>
  <si>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</si>
  <si>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</si>
  <si>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</si>
  <si>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</si>
  <si>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</si>
  <si>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</si>
  <si>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</si>
  <si>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</si>
  <si>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</si>
  <si>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</si>
  <si>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</si>
  <si>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</si>
  <si>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</si>
  <si>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</si>
  <si>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</si>
  <si>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</si>
  <si>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</si>
  <si>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</si>
  <si>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</si>
  <si>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</si>
  <si>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</si>
  <si>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</si>
  <si>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</si>
  <si>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</si>
  <si>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</si>
  <si>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</si>
  <si>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</si>
  <si>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</si>
  <si>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</si>
  <si>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</si>
  <si>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</si>
  <si>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</si>
  <si>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</si>
  <si>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</si>
  <si>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</si>
  <si>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</si>
  <si>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</si>
  <si>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</si>
  <si>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</si>
  <si>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</si>
  <si>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</si>
  <si>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</si>
  <si>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</si>
  <si>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</si>
  <si>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</si>
  <si>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</si>
  <si>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</si>
  <si>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</si>
  <si>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</si>
  <si>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</si>
  <si>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</si>
  <si>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</si>
  <si>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</si>
  <si>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</si>
  <si>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</si>
  <si>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</si>
  <si>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</si>
  <si>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</si>
  <si>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</si>
  <si>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</si>
  <si>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</si>
  <si>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</si>
  <si>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</si>
  <si>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</si>
  <si>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</si>
  <si>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</si>
  <si>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</si>
  <si>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</si>
  <si>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</si>
  <si>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</si>
  <si>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</si>
  <si>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</si>
  <si>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Submitting the Budget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</si>
  <si>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</si>
  <si>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</si>
  <si>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</si>
  <si>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4b.  If someone other than a municipal employee assists in preparing the budget, please enter the person's or firm's name and address in the area provided. </t>
  </si>
  <si>
    <t>4c. The Certificate(2) (cert2) and Budget Summary (summ2) are used when the County Clerk has special districts that are to be submitted along with the County's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</si>
  <si>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</si>
  <si>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on the Budget Summary. </t>
    </r>
    <r>
      <rPr>
        <b/>
        <sz val="12"/>
        <rFont val="Times New Roman"/>
        <family val="1"/>
      </rPr>
      <t>If the county does not have any debt, then on the first line enter 'none'.</t>
    </r>
  </si>
  <si>
    <r>
      <t xml:space="preserve">9.  Statement of Conditional Lease, Lease-Purchases and Certificate of Participation (lpform) must be completed for all transactions which at the end of the lease period the lease is owned by the county.  Principal Balance Due for the actual year is linked on the Budget Summary page. </t>
    </r>
    <r>
      <rPr>
        <b/>
        <sz val="12"/>
        <rFont val="Times New Roman"/>
        <family val="1"/>
      </rPr>
      <t>If the county does not have any leases, then on the first line enter 'none'.</t>
    </r>
  </si>
  <si>
    <t>10.  The spreadsheet has individual fund sheets for General Fund (general), Debt Service (DebtService), Road &amp; Bridge, 22 levy pages (levy page10 and levy page20), 10 no levy fund pages (nolevypage21 to nolevypage28), and 4 non-budgeted tab which allows for 20 non-budgeted funds.  Only complete the fund pages needed.  When the fund pages are completed, the totals will be linked to the Certificate and Budget Summary pages.</t>
  </si>
  <si>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</si>
  <si>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</si>
  <si>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</si>
  <si>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these steps are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</si>
  <si>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</si>
  <si>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please review the entire document and verify that all amounts are correct.  In addition, the Certificate Page needs to be signed by at least one member of the governing body (signatures of the entire governing body is preferred, but not mandatory). </t>
  </si>
  <si>
    <t>answering objections of taxpayers relating to the proposed use of all funds and the amount of ad valorem tax.</t>
  </si>
  <si>
    <t>the Neighborhood Revitalization Rebate table.</t>
  </si>
  <si>
    <t>7c.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</si>
  <si>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</si>
  <si>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</si>
  <si>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</si>
  <si>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*Note:</t>
  </si>
  <si>
    <t>Expenditure</t>
  </si>
  <si>
    <t>Receipt</t>
  </si>
  <si>
    <t xml:space="preserve">Fund Transferred </t>
  </si>
  <si>
    <t>Fund Transferred</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</si>
  <si>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</si>
  <si>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</si>
  <si>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</si>
  <si>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</si>
  <si>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in the appropriate locations.  If any of the numbers are wrong, change them on this input sheet.</t>
  </si>
  <si>
    <t xml:space="preserve">Enter the following information from the sources shown.  This information will be  entered on the budget forms </t>
  </si>
  <si>
    <t>1. Road tab, changed the delinquency % cell reference from E23 to E24</t>
  </si>
  <si>
    <t>Budget Authority</t>
  </si>
  <si>
    <t>for Expenditures</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</si>
  <si>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</si>
  <si>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 xml:space="preserve">K.S.A. 8-145.  </t>
    </r>
    <r>
      <rPr>
        <b/>
        <sz val="12"/>
        <color indexed="8"/>
        <rFont val="Times New Roman"/>
        <family val="1"/>
      </rPr>
      <t>Transfer to general fund from special motor vehicle fund.</t>
    </r>
    <r>
      <rPr>
        <sz val="12"/>
        <color indexed="8"/>
        <rFont val="Times New Roman"/>
        <family val="1"/>
      </rPr>
      <t xml:space="preserve">  Any balance remaining in the special motor vehicle fund at the close of any calendar year shall be withdrawn and credited to the general fund of the county prior to June 1 of the following calendar year.</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</si>
  <si>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</si>
  <si>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1"/>
        <color indexed="8"/>
        <rFont val="Times New Roman"/>
        <family val="1"/>
      </rPr>
      <t>19-2661.</t>
    </r>
    <r>
      <rPr>
        <sz val="11"/>
        <color indexed="8"/>
        <rFont val="Times New Roman"/>
        <family val="1"/>
      </rPr>
      <t xml:space="preserve">  </t>
    </r>
    <r>
      <rPr>
        <b/>
        <sz val="11"/>
        <color indexed="8"/>
        <rFont val="Times New Roman"/>
        <family val="1"/>
      </rPr>
      <t>Transfer to refuse disposal sinking (debt service) fund.</t>
    </r>
    <r>
      <rPr>
        <sz val="11"/>
        <color indexed="8"/>
        <rFont val="Times New Roman"/>
        <family val="1"/>
      </rPr>
      <t xml:space="preserve">  Authorizes the transfer of surplus money from the refuse disposal fund to a refuse disposal debt service fund.</t>
    </r>
  </si>
  <si>
    <t>Local Sales Tax</t>
  </si>
  <si>
    <t>Does miscellaneous exceed 10% of Total Exp</t>
  </si>
  <si>
    <t>Does miscellaneous exceed 10% of Total Rec</t>
  </si>
  <si>
    <t>General Fund - Detail Expenditures</t>
  </si>
  <si>
    <t>Non-Appropriated Balance</t>
  </si>
  <si>
    <t>Total Expenditure/Non-Appr Balance</t>
  </si>
  <si>
    <t>Delinquent Comp Rate:</t>
  </si>
  <si>
    <t>Desired Carryover Amount:</t>
  </si>
  <si>
    <t>Estimated Mill Rate Impact:</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</si>
  <si>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</si>
  <si>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</si>
  <si>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</si>
  <si>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</si>
  <si>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</si>
  <si>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3. Instruction tab added 10a,b and f, 12 b and c, and 14</t>
  </si>
  <si>
    <t>4. Certificate and Certificate2 tab change the 'Expenditure' heading by adding  'Budget Authority for Expenditures'</t>
  </si>
  <si>
    <t>5. Certificate tab add the year in the block for 'County Clerk Use Only'</t>
  </si>
  <si>
    <t>6. Gen tab added revenue line for 'Compensation Use'</t>
  </si>
  <si>
    <t>7. Gen tab added table for 'Projection of Cash Carryover'</t>
  </si>
  <si>
    <t>8. Gen tab added table for 'Desired Carryover'</t>
  </si>
  <si>
    <t>9. Gen tab redefine print que to not include tables</t>
  </si>
  <si>
    <t>10. Gen tab hid the comp for see tabs</t>
  </si>
  <si>
    <t>11. DebtService tab added table for 'Projected Carryover'</t>
  </si>
  <si>
    <t>12. Road tab added table for 'Projected Carryover'</t>
  </si>
  <si>
    <t>13. DebtService and Road tab redefine print que and hid comp for see tabs</t>
  </si>
  <si>
    <t>14. Levy page10 and page20 tab hid comp for see tabs</t>
  </si>
  <si>
    <t>15. Summ and Summ2 tab changed proposed year expenditure column to 'Budget Authority (Includes Carryover)</t>
  </si>
  <si>
    <t>16. Summ tab added four tables to the right of the form</t>
  </si>
  <si>
    <t>17. Revised TransferStatutes and NonBudFunds tabs</t>
  </si>
  <si>
    <t>18. Added Mill Rate Computation tab</t>
  </si>
  <si>
    <t>19. Add Helpful Links tab</t>
  </si>
  <si>
    <t>20. Inputoth tab changed Actual Delinquency tax from -2 to -3</t>
  </si>
  <si>
    <t>21. Summ2 added year to Estimate Valuation column</t>
  </si>
  <si>
    <t>22. Added page no. to all tabs at the bottom of each page</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</si>
  <si>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</si>
  <si>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</si>
  <si>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</si>
  <si>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</si>
  <si>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</si>
  <si>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</si>
  <si>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</si>
  <si>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</si>
  <si>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</si>
  <si>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</si>
  <si>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</si>
  <si>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</si>
  <si>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</si>
  <si>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</si>
  <si>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</si>
  <si>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</si>
  <si>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</si>
  <si>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</si>
  <si>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</si>
  <si>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</si>
  <si>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</si>
  <si>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</si>
  <si>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</si>
  <si>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</si>
  <si>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</si>
  <si>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</si>
  <si>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</si>
  <si>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</si>
  <si>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</si>
  <si>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</si>
  <si>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</si>
  <si>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</si>
  <si>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</si>
  <si>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</si>
  <si>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</si>
  <si>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</si>
  <si>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</si>
  <si>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</si>
  <si>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</si>
  <si>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</si>
  <si>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</si>
  <si>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</si>
  <si>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</si>
  <si>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</si>
  <si>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</si>
  <si>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</si>
  <si>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</si>
  <si>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</si>
  <si>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</si>
  <si>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</si>
  <si>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</si>
  <si>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</si>
  <si>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</si>
  <si>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</si>
  <si>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</si>
  <si>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</si>
  <si>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</si>
  <si>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</si>
  <si>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</si>
  <si>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</si>
  <si>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</si>
  <si>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</si>
  <si>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</si>
  <si>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</si>
  <si>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</si>
  <si>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</si>
  <si>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</si>
  <si>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</si>
  <si>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</si>
  <si>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</si>
  <si>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</si>
  <si>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</si>
  <si>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</si>
  <si>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</si>
  <si>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</si>
  <si>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</si>
  <si>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28-115a.</t>
    </r>
    <r>
      <rPr>
        <sz val="12"/>
        <color indexed="8"/>
        <rFont val="Times New Roman"/>
        <family val="1"/>
      </rPr>
      <t xml:space="preserve">  </t>
    </r>
    <r>
      <rPr>
        <b/>
        <sz val="12"/>
        <color indexed="8"/>
        <rFont val="Times New Roman"/>
        <family val="1"/>
      </rPr>
      <t>Register of deeds technology fund.</t>
    </r>
    <r>
      <rPr>
        <sz val="12"/>
        <color indexed="8"/>
        <rFont val="Times New Roman"/>
        <family val="1"/>
      </rPr>
      <t xml:space="preserve">  Moneys in the fund (certain additional recording fees collected pursuant to K.S.A. 28-115(b)) shall be used by the register of deeds to acquire equipment and technological services for the storing, recording, archiving, retrieving, maintaining, and handling of data recorded or stored in the office of the register of deeds.</t>
    </r>
  </si>
  <si>
    <r>
      <t xml:space="preserve">K.S.A. </t>
    </r>
    <r>
      <rPr>
        <b/>
        <sz val="12"/>
        <color indexed="8"/>
        <rFont val="Times New Roman"/>
        <family val="1"/>
      </rPr>
      <t>68-1135.</t>
    </r>
    <r>
      <rPr>
        <sz val="12"/>
        <color indexed="8"/>
        <rFont val="Times New Roman"/>
        <family val="1"/>
      </rPr>
      <t xml:space="preserve">  </t>
    </r>
    <r>
      <rPr>
        <b/>
        <sz val="12"/>
        <color indexed="8"/>
        <rFont val="Times New Roman"/>
        <family val="1"/>
      </rPr>
      <t>Special bridge and culvert fund.</t>
    </r>
    <r>
      <rPr>
        <sz val="12"/>
        <color indexed="8"/>
        <rFont val="Times New Roman"/>
        <family val="1"/>
      </rPr>
      <t xml:space="preserve">  Counties are authorized to levy taxes for the purpose of creating and providing a special fund to be used in building and reconstructing bridges and culverts and constructing the approaches thereto or to be used in repaying loans or advances received from the highway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</si>
  <si>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pages . </t>
    </r>
  </si>
  <si>
    <t xml:space="preserve">2. The information entered into the Input Other (inputOth) worksheet is obtained from the County Clerk, County Treasurer, and the budget from two years ago(the year for actual year column for the current budget).  After the information has been entered, please verify the data is correct. </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</si>
  <si>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</si>
  <si>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</si>
  <si>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</si>
  <si>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</si>
  <si>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</si>
  <si>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</si>
  <si>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</si>
  <si>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</si>
  <si>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</si>
  <si>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</si>
  <si>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</si>
  <si>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</si>
  <si>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1. Summ tabs changed proposed year expenditure column to 'Budget Authority for Expenditures'</t>
  </si>
  <si>
    <r>
      <t xml:space="preserve">K.S.A. 65-204.  Transfer to County Health Capital Outlay Fund from County Health Fund.  </t>
    </r>
    <r>
      <rPr>
        <sz val="12"/>
        <rFont val="Times New Roman"/>
        <family val="1"/>
      </rPr>
      <t>Any moneys remaining in the county health fund at the end of any county fiscal year for which a levy is made under this section may be transferred to the county health capital outlay fund, which is hereby created, for the making of capital expenditures incident to county health purposes.</t>
    </r>
  </si>
  <si>
    <t>Type</t>
  </si>
  <si>
    <t xml:space="preserve"> Debt</t>
  </si>
  <si>
    <t xml:space="preserve"> Purchased</t>
  </si>
  <si>
    <t>Items</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</si>
  <si>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</si>
  <si>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</si>
  <si>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</si>
  <si>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</si>
  <si>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</si>
  <si>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</si>
  <si>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Clerk Name:</t>
  </si>
  <si>
    <t>Must be at least 10 days between date published and hearing held.</t>
  </si>
  <si>
    <t>January</t>
  </si>
  <si>
    <t>February</t>
  </si>
  <si>
    <t>March</t>
  </si>
  <si>
    <t>April</t>
  </si>
  <si>
    <t>May</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</si>
  <si>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</si>
  <si>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</si>
  <si>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</si>
  <si>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</si>
  <si>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</si>
  <si>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</si>
  <si>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</si>
  <si>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</si>
  <si>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</si>
  <si>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</si>
  <si>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 16/20M Vehicle Taxes </t>
  </si>
  <si>
    <t>Budgeted Funds</t>
  </si>
  <si>
    <t>Expenditures Must Be Changed by:</t>
  </si>
  <si>
    <t>Mill Rate Comparison</t>
  </si>
  <si>
    <t xml:space="preserve">Prior Year </t>
  </si>
  <si>
    <t xml:space="preserve">Current Year </t>
  </si>
  <si>
    <t xml:space="preserve">Proposed Budget </t>
  </si>
  <si>
    <t>Allocation of Vehicle Taxes</t>
  </si>
  <si>
    <t>3b. Once a date has been entered in the Date block, the following statement will appear: 'Latest date for notice to be published in your newspaper'.  Please ensure to take into consideration as to when your newspaper is published when arriving at the hearing date.</t>
  </si>
  <si>
    <t>6.  Motor Vehicle Allocation(mvalloc) are completed from information entered on the input pages (inputpryr and inputoth).  Once calculated, the tables information are linked to the applicable fund pages. If the information is not correct, please do not change the tables, but rather correct the information on the input pages.</t>
  </si>
  <si>
    <r>
      <t>10a.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</si>
  <si>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10b.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</si>
  <si>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10c.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</si>
  <si>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</si>
  <si>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the proposed column miscellaneous receipt also takes into consideration the amount of ad valorem taxes in determining the 10% Rule.</t>
    </r>
  </si>
  <si>
    <r>
      <t xml:space="preserve">10f. The Debt Service fund page (DebtService) can contain all debts owe by the county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county has No Fund warrants, these can be included in the Debt Service fund page and levy taxes for this debt. </t>
    </r>
    <r>
      <rPr>
        <b/>
        <sz val="12"/>
        <rFont val="Times New Roman"/>
        <family val="1"/>
      </rPr>
      <t>Note</t>
    </r>
    <r>
      <rPr>
        <sz val="12"/>
        <rFont val="Times New Roman"/>
        <family val="1"/>
      </rPr>
      <t xml:space="preserve">, No Fund warrants </t>
    </r>
    <r>
      <rPr>
        <u val="single"/>
        <sz val="12"/>
        <rFont val="Times New Roman"/>
        <family val="1"/>
      </rPr>
      <t>are not required</t>
    </r>
    <r>
      <rPr>
        <sz val="12"/>
        <rFont val="Times New Roman"/>
        <family val="1"/>
      </rPr>
      <t xml:space="preserve"> to be included in the Debt Service and may still have a No Fund page to account for them if the county desires.  </t>
    </r>
  </si>
  <si>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</si>
  <si>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10h. The 4 non-budgeted pages (NonBudA to D) each are designed to hold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</si>
  <si>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10i. The non-budgeted pages in the last column, the last two boxes should have the same figures as the last box take totals from the right side with the next to last box takes totals from the bottom.</t>
  </si>
  <si>
    <r>
      <t xml:space="preserve">10j. All levy fund pages have a Non-Appropriated Balance block. K.S.A. 79-2927 allows the county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turns red.  In order to remove this warning message, you must reduce the non-appropriate figure.</t>
    </r>
  </si>
  <si>
    <t xml:space="preserve">10k. Each fund after the "unencumbered cash bal dec31", will show the budget authority expenditure amount for the actual and current year. </t>
  </si>
  <si>
    <r>
      <t>10l. For tax levy or no tax levy fund pages, a comparison is made between the budget authority for the actual year and the actual total expenditures for the actual year as shown in the budget. If the total expenditures exceed the budget authority amount, then a '</t>
    </r>
    <r>
      <rPr>
        <sz val="12"/>
        <color indexed="10"/>
        <rFont val="Times New Roman"/>
        <family val="1"/>
      </rPr>
      <t>See Tab A</t>
    </r>
    <r>
      <rPr>
        <sz val="12"/>
        <rFont val="Times New Roman"/>
        <family val="1"/>
      </rPr>
      <t>' appears to indicate a possible violation and the expenditure blocks turns red.  Another comparison is made for the unencumbered cash balance dec 31 to determine if the fund ended with a negative cash balance and if so, then a '</t>
    </r>
    <r>
      <rPr>
        <sz val="12"/>
        <color indexed="10"/>
        <rFont val="Times New Roman"/>
        <family val="1"/>
      </rPr>
      <t>See Tab B</t>
    </r>
    <r>
      <rPr>
        <sz val="12"/>
        <rFont val="Times New Roman"/>
        <family val="1"/>
      </rPr>
      <t xml:space="preserve">' will appear for the violation and the unencumbered cash block turns red. </t>
    </r>
  </si>
  <si>
    <r>
      <t>10m. For tax levy or no tax levy fund pages, a comparison is maybe between the budget authority for the current year and total expenditures for the current budget expenditures as shown in the budget. If the current year adjusted expenditures are more than the budget authority, then a possible violation has occurred and red '</t>
    </r>
    <r>
      <rPr>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sz val="12"/>
        <color indexed="10"/>
        <rFont val="Times New Roman"/>
        <family val="1"/>
      </rPr>
      <t>See Tab D</t>
    </r>
    <r>
      <rPr>
        <sz val="12"/>
        <rFont val="Times New Roman"/>
        <family val="1"/>
      </rPr>
      <t>' will appear for the possible violation and the unencumbered cash block turns red.</t>
    </r>
  </si>
  <si>
    <r>
      <t>10n.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</si>
  <si>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</si>
  <si>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</si>
  <si>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</si>
  <si>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</si>
  <si>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changed #11b to reflect all tax levy pages with 'Projected Carryover' table</t>
  </si>
  <si>
    <t>6. Instructions tab, changed #11c to reflect all tax levy pages with 'Desired Carryover' and warning about delinquency rate</t>
  </si>
  <si>
    <t>7. Instructions tab, added #11d for last year mill rate, proposed total mill rate, and last year total mill rate</t>
  </si>
  <si>
    <t>8. Instructions tab, changed #12b added name of official</t>
  </si>
  <si>
    <t>9. Instructions tab, added #12c for computation of one mill</t>
  </si>
  <si>
    <t>10. Instructions tab, changed #12d added the name of the tables and warning about delinquency rate if used</t>
  </si>
  <si>
    <t>11. Instructions tab, changed #12e added the name of the table and warning about delinquency rate if used</t>
  </si>
  <si>
    <t>12. Instructions tab, changed #12f added that not signing the Budget Summary page will not require to be reprinted</t>
  </si>
  <si>
    <t xml:space="preserve">13. InputPrYr tab, added column for adjusting ad valorem taxes to reflect a better picture of actual taxes received, allow a rate to be used to compute the new amount, and links the new amounts to the appropriate fund page, if used, otherwise used the original amounts </t>
  </si>
  <si>
    <t>14. InputOth tab, section for Computation of Delinquency, change to % from rate and provided example, link to all tax levy fund page will show as %  vs rate</t>
  </si>
  <si>
    <t>15. InputBudSum tab, added official name and latest date for publication of Notice of Budget Hearing</t>
  </si>
  <si>
    <t xml:space="preserve">16. Cert tab, under Table of Content, added Computation to Determine State Library Grant </t>
  </si>
  <si>
    <t>17. Cert tab, right justifyed figures versus having figures centered</t>
  </si>
  <si>
    <t>18. Cert tab, put spaces between governing body signatures block</t>
  </si>
  <si>
    <t>19. Mvalloc tab, removed slider column and computation for slider</t>
  </si>
  <si>
    <t>20. All tax levy fund pages removed the link from Mvalloc tab for slider and converted cells to blank</t>
  </si>
  <si>
    <t xml:space="preserve">21. Debt and Lpform tab added a blank new column at left side and formated 'type of debt' and 'item purchased'  </t>
  </si>
  <si>
    <t>22. All fund pages changed the year column heading, example 'Prior Year Actual' to 'Prior Year' second line 'Actual YYYY'</t>
  </si>
  <si>
    <t xml:space="preserve">23. Change out the 'Mill Rate Computation' tab so to agree with the website </t>
  </si>
  <si>
    <t>24. Added KSA 65-204 to transfer tab</t>
  </si>
  <si>
    <t>25. All tax levy fund pages added 'Mill Rate Comparison' table</t>
  </si>
  <si>
    <t>26. Certificate tab added a place for the email address of the assisted by</t>
  </si>
  <si>
    <t>Email:</t>
  </si>
  <si>
    <t>____________________________________  __________________________________</t>
  </si>
  <si>
    <t>12a. At the bottom of the page is a green shaded area, enter the page number.</t>
  </si>
  <si>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</si>
  <si>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</si>
  <si>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</si>
  <si>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</si>
  <si>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12f. Once the 'Notice of Budget Hearing' has been printed in the local newspaper, please review the notice to ensure the information was correctly printed.  If the information is not correct, the Notice may need to be republished, and may delay the submission of the budget.</t>
  </si>
  <si>
    <t>12g. If the Special District budgets are computed by the County Clerk, the Clerk could complete the County Spec District.xls spreadsheet and this spreadsheet would be included with the county's budget.  Both Budget Summary pages would be taken to the newspaper for publication.</t>
  </si>
  <si>
    <t>1.  Added "resolution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</si>
  <si>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</si>
  <si>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</si>
  <si>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Certificate page links to levy page 19 were corrected</t>
  </si>
  <si>
    <t>1.  "Budget Authority Amount" cell added to budget year column of all funds.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</si>
  <si>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</si>
  <si>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</si>
  <si>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</si>
  <si>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</si>
  <si>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</si>
  <si>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</si>
  <si>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</si>
  <si>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</si>
  <si>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</si>
  <si>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and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</si>
  <si>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</si>
  <si>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</si>
  <si>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</si>
  <si>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</si>
  <si>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</si>
  <si>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</si>
  <si>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</si>
  <si>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</si>
  <si>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</si>
  <si>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</si>
  <si>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</si>
  <si>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5/19/14</t>
  </si>
  <si>
    <t>The following changes were made to this workbook on 4/9/14</t>
  </si>
  <si>
    <t>The following changes were made to this workbook on 7/11/13</t>
  </si>
  <si>
    <t>The following changes were made to this workbook on 3/27/13</t>
  </si>
  <si>
    <t>The following changes were made to this workbook on 10/9/12</t>
  </si>
  <si>
    <t>The following changes were made to this workbook on 12/23/11</t>
  </si>
  <si>
    <t>The following changes were made to this workbook on 4/19/11</t>
  </si>
  <si>
    <t>The following changes were made to this workbook on 9/23/10</t>
  </si>
  <si>
    <t>The following changes were made to this workbook on 6/29/10</t>
  </si>
  <si>
    <t>The following changes were made to this workbook on 1/05/10</t>
  </si>
  <si>
    <t>The following changes were made to this workbook on 12/28/09</t>
  </si>
  <si>
    <t>The following changes were made to this workbook on 12/08/09</t>
  </si>
  <si>
    <t>The following changes were made to this workbook on 9/23/09</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</si>
  <si>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</si>
  <si>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county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</si>
  <si>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</si>
  <si>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</si>
  <si>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Sheridan County</t>
  </si>
  <si>
    <t>Noxious Weed</t>
  </si>
  <si>
    <t>2-1318</t>
  </si>
  <si>
    <t>Public Health</t>
  </si>
  <si>
    <t>Council on Aging</t>
  </si>
  <si>
    <t>Library Service Contract</t>
  </si>
  <si>
    <t>Hospital Maintenance</t>
  </si>
  <si>
    <t>Pool Lease-Purchase</t>
  </si>
  <si>
    <t>19-4011</t>
  </si>
  <si>
    <t>Sp. Elec.</t>
  </si>
  <si>
    <t>12-1230</t>
  </si>
  <si>
    <t>19-4606</t>
  </si>
  <si>
    <t xml:space="preserve">10-111(c) </t>
  </si>
  <si>
    <t>Noxious Weed Capital Outlay</t>
  </si>
  <si>
    <t>911 Emergency Tax</t>
  </si>
  <si>
    <t>Parks &amp; Recreation</t>
  </si>
  <si>
    <t>Solid Waste Disposal</t>
  </si>
  <si>
    <t>Alcohol Program</t>
  </si>
  <si>
    <t>Special Ambulance</t>
  </si>
  <si>
    <t>911 Wireless</t>
  </si>
  <si>
    <t>Special Hwy Improvement</t>
  </si>
  <si>
    <t>Special Machinery</t>
  </si>
  <si>
    <t>Public Transportation Van</t>
  </si>
  <si>
    <t>Capital Project</t>
  </si>
  <si>
    <t>Special Motor Vehicle</t>
  </si>
  <si>
    <t>VIN</t>
  </si>
  <si>
    <t>Prosecuting Attorney Tr.</t>
  </si>
  <si>
    <t>CDBG (Micro-Loan)</t>
  </si>
  <si>
    <t>Recycling Grant</t>
  </si>
  <si>
    <t>Special Technology</t>
  </si>
  <si>
    <t>Concealed Carry Law</t>
  </si>
  <si>
    <t>Sexual Offender Registry</t>
  </si>
  <si>
    <t>FEMA Allocation of Road</t>
  </si>
  <si>
    <t>CDBG for Elevator</t>
  </si>
  <si>
    <t>Oil Valuation Depletion Trust</t>
  </si>
  <si>
    <t>Pool Project</t>
  </si>
  <si>
    <t>the County Clerk's Office, Hoxie, Kansas</t>
  </si>
  <si>
    <t>the Commissioner's Room, Hoxie, Kansas</t>
  </si>
  <si>
    <t>David E. Leopold, CPA</t>
  </si>
  <si>
    <t>PO Box 235</t>
  </si>
  <si>
    <t>Hoxie, KS 67740</t>
  </si>
  <si>
    <t>delcpa@ruraltel.net</t>
  </si>
  <si>
    <t>Rural Fire District #1</t>
  </si>
  <si>
    <t>80-1545</t>
  </si>
  <si>
    <t>68-141g</t>
  </si>
  <si>
    <t>Special Hwy. Improvement</t>
  </si>
  <si>
    <t>68-590</t>
  </si>
  <si>
    <t>Noxious Weed Cap. Out.</t>
  </si>
  <si>
    <t>Close Fund</t>
  </si>
  <si>
    <t>8-145</t>
  </si>
  <si>
    <t>12-110d</t>
  </si>
  <si>
    <t>Sp. Election</t>
  </si>
  <si>
    <t>N/A</t>
  </si>
  <si>
    <t>Swimming Pool</t>
  </si>
  <si>
    <t>Severance Tax</t>
  </si>
  <si>
    <t>Local Comp/Retail Sales Tax</t>
  </si>
  <si>
    <t>Int. &amp; Chgs. On Del., Current, &amp; MVPP</t>
  </si>
  <si>
    <t>Ambulance Fees</t>
  </si>
  <si>
    <t>Antique Registration Feeds</t>
  </si>
  <si>
    <t>Games License Fees</t>
  </si>
  <si>
    <t>County Officer's Fees</t>
  </si>
  <si>
    <t>Mortgage Registration Fees</t>
  </si>
  <si>
    <t>Moving Fees</t>
  </si>
  <si>
    <t>Rent</t>
  </si>
  <si>
    <t>Filing Fees</t>
  </si>
  <si>
    <t>National Info Consortium</t>
  </si>
  <si>
    <t>Diversion Fund Fees</t>
  </si>
  <si>
    <t>Booking Fees</t>
  </si>
  <si>
    <t>Jail Keep</t>
  </si>
  <si>
    <t>County Attorney Insufficient Checks</t>
  </si>
  <si>
    <t>District Coroner - State of Kansas</t>
  </si>
  <si>
    <t>Alcohol/Drug Assessment Fee</t>
  </si>
  <si>
    <t>NR Administrative Fees</t>
  </si>
  <si>
    <t>Sale of Surplus Property</t>
  </si>
  <si>
    <t>Release of Lien Fees</t>
  </si>
  <si>
    <t>Transfer from:</t>
  </si>
  <si>
    <t xml:space="preserve">  Special Motor Vehicle</t>
  </si>
  <si>
    <t xml:space="preserve">  Closed Funds</t>
  </si>
  <si>
    <t xml:space="preserve">  Insurance</t>
  </si>
  <si>
    <t xml:space="preserve">  Utilities &amp; Telephone</t>
  </si>
  <si>
    <t xml:space="preserve">  Legal Services</t>
  </si>
  <si>
    <t xml:space="preserve">  Publications &amp; Supplies</t>
  </si>
  <si>
    <t xml:space="preserve">  Jurors</t>
  </si>
  <si>
    <t xml:space="preserve">  Audit</t>
  </si>
  <si>
    <t xml:space="preserve">  Equipment</t>
  </si>
  <si>
    <t xml:space="preserve">  Building Repairs</t>
  </si>
  <si>
    <t xml:space="preserve">  Postage</t>
  </si>
  <si>
    <t>Apportionments</t>
  </si>
  <si>
    <t xml:space="preserve">  Airports</t>
  </si>
  <si>
    <t xml:space="preserve">  Economic Development</t>
  </si>
  <si>
    <t xml:space="preserve">  Fair</t>
  </si>
  <si>
    <t xml:space="preserve">  Historical Society</t>
  </si>
  <si>
    <t xml:space="preserve">  Soil Conservation</t>
  </si>
  <si>
    <t xml:space="preserve">  Personal Services</t>
  </si>
  <si>
    <t xml:space="preserve">  Training Officer</t>
  </si>
  <si>
    <t xml:space="preserve">  EMS Building Work</t>
  </si>
  <si>
    <t xml:space="preserve">  EMT Student Reimbursement</t>
  </si>
  <si>
    <t xml:space="preserve">  Expenditures</t>
  </si>
  <si>
    <t>Appraiser</t>
  </si>
  <si>
    <t xml:space="preserve">County Attorney  </t>
  </si>
  <si>
    <t>County Commissioners</t>
  </si>
  <si>
    <t>County Register of Deeds</t>
  </si>
  <si>
    <t>County Sheriff</t>
  </si>
  <si>
    <t>County Health Officer</t>
  </si>
  <si>
    <t>Custodian</t>
  </si>
  <si>
    <t>Dispatch</t>
  </si>
  <si>
    <t>Emergency Preparedness</t>
  </si>
  <si>
    <t xml:space="preserve">  Social Security &amp; Medicare</t>
  </si>
  <si>
    <t>District Coroner</t>
  </si>
  <si>
    <t>Prisoner Care</t>
  </si>
  <si>
    <t>Area Council on Aging</t>
  </si>
  <si>
    <t>Vehicle Replacement</t>
  </si>
  <si>
    <t>Information Technology</t>
  </si>
  <si>
    <t>Child Advocacy Group</t>
  </si>
  <si>
    <t>Oil Valuation Adjustments</t>
  </si>
  <si>
    <t>Transfer to:</t>
  </si>
  <si>
    <t xml:space="preserve">  Special Ambulance</t>
  </si>
  <si>
    <t xml:space="preserve">  Pool Project</t>
  </si>
  <si>
    <t>Federal Exchange Program</t>
  </si>
  <si>
    <t>State of Kansas - DOT</t>
  </si>
  <si>
    <t>Personal Services</t>
  </si>
  <si>
    <t xml:space="preserve">Expenditures </t>
  </si>
  <si>
    <t xml:space="preserve"> Transfers to:</t>
  </si>
  <si>
    <t xml:space="preserve">  Recycling Grant</t>
  </si>
  <si>
    <t xml:space="preserve">  Special Machinery</t>
  </si>
  <si>
    <t xml:space="preserve">  Spec. Hwy. Improvement</t>
  </si>
  <si>
    <t>Page No. 8</t>
  </si>
  <si>
    <t>Reimbursements</t>
  </si>
  <si>
    <t>Transfer to Noxious Weed Cap. Outlay</t>
  </si>
  <si>
    <t>Page No. 9</t>
  </si>
  <si>
    <t>State of Kansas</t>
  </si>
  <si>
    <t>WIC</t>
  </si>
  <si>
    <t>Services/Fees</t>
  </si>
  <si>
    <t>Donations</t>
  </si>
  <si>
    <t>Capital Outlay</t>
  </si>
  <si>
    <t>Page No. 10</t>
  </si>
  <si>
    <t>Page No. 11</t>
  </si>
  <si>
    <t>Page No. 12</t>
  </si>
  <si>
    <t>Transfer from Noxious Weed</t>
  </si>
  <si>
    <t>Telephone Companies</t>
  </si>
  <si>
    <t>Tax Expenditures</t>
  </si>
  <si>
    <t>Page No. 13</t>
  </si>
  <si>
    <t>Page No. 14</t>
  </si>
  <si>
    <t>Liquor Tax</t>
  </si>
  <si>
    <t>Public Usage</t>
  </si>
  <si>
    <t>City Usage</t>
  </si>
  <si>
    <t>City of Selden</t>
  </si>
  <si>
    <t>Page No. 15</t>
  </si>
  <si>
    <t>Surplus Sale</t>
  </si>
  <si>
    <t>Transfer from General</t>
  </si>
  <si>
    <t>E-911 Receipts</t>
  </si>
  <si>
    <t>State of Kansas Grant</t>
  </si>
  <si>
    <t>Page No. 16</t>
  </si>
  <si>
    <t>Trsf from Road &amp; Bridge</t>
  </si>
  <si>
    <t>NWKS Area Transit</t>
  </si>
  <si>
    <t>Donations &amp; Misc.</t>
  </si>
  <si>
    <t>Lien Fees</t>
  </si>
  <si>
    <t>Sales &amp; Comp Fees</t>
  </si>
  <si>
    <t>Motor Vehicle Fees</t>
  </si>
  <si>
    <t>Reflector</t>
  </si>
  <si>
    <t>Contractual</t>
  </si>
  <si>
    <t>Commodities</t>
  </si>
  <si>
    <t>Transfer to General</t>
  </si>
  <si>
    <t>VINs</t>
  </si>
  <si>
    <t>Fees &amp; Misc.</t>
  </si>
  <si>
    <t>Case Fees</t>
  </si>
  <si>
    <t>KS PATF</t>
  </si>
  <si>
    <t>Close to General</t>
  </si>
  <si>
    <t>Technology Fees</t>
  </si>
  <si>
    <t>Licenses</t>
  </si>
  <si>
    <t xml:space="preserve">Receipts </t>
  </si>
  <si>
    <t>State of Kansas - FEMA</t>
  </si>
  <si>
    <t>Trsf from General</t>
  </si>
  <si>
    <t>Page No. 21</t>
  </si>
  <si>
    <t>Page No. 22</t>
  </si>
  <si>
    <t>Closed to General</t>
  </si>
  <si>
    <t>ST Note Advance</t>
  </si>
  <si>
    <t xml:space="preserve">Receipts  </t>
  </si>
  <si>
    <t>Close to Road &amp; Bridge</t>
  </si>
  <si>
    <t>FEMA Allocation for Road</t>
  </si>
  <si>
    <t xml:space="preserve">Road &amp; Bridge </t>
  </si>
  <si>
    <t xml:space="preserve">  FEMA Road Allocation</t>
  </si>
  <si>
    <t>Loan Payments</t>
  </si>
  <si>
    <t>Other Grants/Reimbursements</t>
  </si>
  <si>
    <t>Lease Payments</t>
  </si>
  <si>
    <t>Noxious Weed Cap Out.</t>
  </si>
  <si>
    <t>Library Serv. Contract</t>
  </si>
  <si>
    <t>Watercraft Tax</t>
  </si>
  <si>
    <t>Drug Forfeiture Fund</t>
  </si>
  <si>
    <t>CMV Tax</t>
  </si>
  <si>
    <t>Options - Domestic &amp; Sexual Victims</t>
  </si>
  <si>
    <t>KNRC</t>
  </si>
  <si>
    <t>Cash Basis Reserve</t>
  </si>
  <si>
    <t>Page No. 23</t>
  </si>
  <si>
    <t>August 11, 2014</t>
  </si>
  <si>
    <t>10:00 AM</t>
  </si>
  <si>
    <t>19-120</t>
  </si>
  <si>
    <t xml:space="preserve">  Capital Project </t>
  </si>
  <si>
    <t>Landfill Capital Outlay</t>
  </si>
  <si>
    <t xml:space="preserve">  Landfill Capital Outlay</t>
  </si>
  <si>
    <t>Paula Bielser</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</si>
</sst>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m/d/yy"/>
    <numFmt numFmtId="173" formatCode="m/d"/>
    <numFmt numFmtId="174" formatCode="_(* #,##0.0_);_(* \(#,##0.0\);_(* &quot;-&quot;??_);_(@_)"/>
    <numFmt numFmtId="175" formatCode="_(* #,##0_);_(* \(#,##0\);_(* &quot;-&quot;??_);_(@_)"/>
    <numFmt numFmtId="176" formatCode="#,##0.0_);\(#,##0.0\)"/>
    <numFmt numFmtId="177" formatCode="#,##0.000_);\(#,##0.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
    <numFmt numFmtId="184" formatCode="#,##0.000"/>
    <numFmt numFmtId="185" formatCode="[$-409]mmmm\ d\,\ yyyy;@"/>
    <numFmt numFmtId="186" formatCode="[$-409]h:mm\ AM/PM;@"/>
    <numFmt numFmtId="187" formatCode="\1\2\-\1\1\1\1"/>
    <numFmt numFmtId="188" formatCode="[$-409]dddd\,\ mmmm\ dd\,\ yyyy"/>
    <numFmt numFmtId="189" formatCode="m/d/yy;@"/>
    <numFmt numFmtId="190" formatCode="&quot;$&quot;#,##0"/>
    <numFmt numFmtId="191" formatCode="&quot;$&quot;#,##0.00"/>
    <numFmt numFmtId="192" formatCode="#,###"/>
    <numFmt numFmtId="193" formatCode="0.0%"/>
    <numFmt numFmtId="194" formatCode="#,##0.000_);[Red]\(#,##0.000\)"/>
  </numFmts>
  <fonts count="10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4"/>
      <name val="Times New Roman"/>
      <family val="1"/>
    </font>
    <font>
      <sz val="11"/>
      <name val="Times New Roman"/>
      <family val="1"/>
    </font>
    <font>
      <sz val="8"/>
      <name val="Courier"/>
      <family val="3"/>
    </font>
    <font>
      <u val="single"/>
      <sz val="12"/>
      <color indexed="36"/>
      <name val="Courier New"/>
      <family val="3"/>
    </font>
    <font>
      <u val="single"/>
      <sz val="12"/>
      <color indexed="12"/>
      <name val="Courier New"/>
      <family val="3"/>
    </font>
    <font>
      <sz val="12"/>
      <name val="Courier New"/>
      <family val="3"/>
    </font>
    <font>
      <b/>
      <sz val="11"/>
      <name val="Times New Roman"/>
      <family val="1"/>
    </font>
    <font>
      <sz val="10"/>
      <name val="Times New Roman"/>
      <family val="1"/>
    </font>
    <font>
      <b/>
      <sz val="10"/>
      <name val="Times New Roman"/>
      <family val="1"/>
    </font>
    <font>
      <sz val="10"/>
      <name val="Courier"/>
      <family val="3"/>
    </font>
    <font>
      <sz val="8"/>
      <name val="Times New Roman"/>
      <family val="1"/>
    </font>
    <font>
      <b/>
      <u val="single"/>
      <sz val="12"/>
      <name val="Times New Roman"/>
      <family val="1"/>
    </font>
    <font>
      <sz val="12"/>
      <color indexed="10"/>
      <name val="Times New Roman"/>
      <family val="1"/>
    </font>
    <font>
      <b/>
      <u val="single"/>
      <sz val="12"/>
      <color indexed="10"/>
      <name val="Times New Roman"/>
      <family val="1"/>
    </font>
    <font>
      <b/>
      <u val="single"/>
      <sz val="12"/>
      <name val="Courier"/>
      <family val="3"/>
    </font>
    <font>
      <b/>
      <sz val="8"/>
      <name val="Times New Roman"/>
      <family val="1"/>
    </font>
    <font>
      <b/>
      <u val="single"/>
      <sz val="10"/>
      <name val="Times New Roman"/>
      <family val="1"/>
    </font>
    <font>
      <b/>
      <sz val="12"/>
      <color indexed="10"/>
      <name val="Times New Roman"/>
      <family val="1"/>
    </font>
    <font>
      <sz val="12"/>
      <color indexed="10"/>
      <name val="Courier"/>
      <family val="3"/>
    </font>
    <font>
      <i/>
      <sz val="12"/>
      <name val="Times New Roman"/>
      <family val="1"/>
    </font>
    <font>
      <b/>
      <u val="single"/>
      <sz val="14"/>
      <name val="Times New Roman"/>
      <family val="1"/>
    </font>
    <font>
      <b/>
      <sz val="12"/>
      <color indexed="8"/>
      <name val="Times New Roman"/>
      <family val="1"/>
    </font>
    <font>
      <sz val="12"/>
      <color indexed="8"/>
      <name val="Times New Roman"/>
      <family val="1"/>
    </font>
    <font>
      <b/>
      <sz val="11"/>
      <color indexed="8"/>
      <name val="Arial"/>
      <family val="2"/>
    </font>
    <font>
      <sz val="11"/>
      <color indexed="8"/>
      <name val="Arial"/>
      <family val="2"/>
    </font>
    <font>
      <b/>
      <u val="single"/>
      <sz val="8"/>
      <color indexed="10"/>
      <name val="Times New Roman"/>
      <family val="1"/>
    </font>
    <font>
      <sz val="14"/>
      <name val="Courier"/>
      <family val="3"/>
    </font>
    <font>
      <b/>
      <sz val="14"/>
      <name val="Times New Roman"/>
      <family val="1"/>
    </font>
    <font>
      <u val="single"/>
      <sz val="12"/>
      <color indexed="12"/>
      <name val="Courier"/>
      <family val="3"/>
    </font>
    <font>
      <i/>
      <u val="single"/>
      <sz val="12"/>
      <name val="Courier"/>
      <family val="3"/>
    </font>
    <font>
      <sz val="11"/>
      <color indexed="8"/>
      <name val="Times New Roman"/>
      <family val="1"/>
    </font>
    <font>
      <b/>
      <sz val="11"/>
      <color indexed="8"/>
      <name val="Times New Roman"/>
      <family val="1"/>
    </font>
    <font>
      <b/>
      <u val="single"/>
      <sz val="10"/>
      <name val="Courier"/>
      <family val="3"/>
    </font>
    <font>
      <sz val="10"/>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u val="single"/>
      <sz val="12"/>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4"/>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0"/>
      <color rgb="FFFF0000"/>
      <name val="Times New Roman"/>
      <family val="1"/>
    </font>
    <font>
      <b/>
      <sz val="10"/>
      <color rgb="FFFF0000"/>
      <name val="Times New Roman"/>
      <family val="1"/>
    </font>
    <font>
      <sz val="14"/>
      <color rgb="FFFF0000"/>
      <name val="Times New Roman"/>
      <family val="1"/>
    </font>
    <font>
      <b/>
      <sz val="14"/>
      <color theme="1"/>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13"/>
        <bgColor indexed="64"/>
      </patternFill>
    </fill>
    <fill>
      <patternFill patternType="solid">
        <fgColor indexed="34"/>
        <bgColor indexed="64"/>
      </patternFill>
    </fill>
    <fill>
      <patternFill patternType="solid">
        <fgColor rgb="FFFFFFC0"/>
        <bgColor indexed="64"/>
      </patternFill>
    </fill>
    <fill>
      <patternFill patternType="solid">
        <fgColor rgb="FFFFFF0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double"/>
    </border>
    <border>
      <left>
        <color indexed="63"/>
      </left>
      <right style="thin"/>
      <top>
        <color indexed="63"/>
      </top>
      <bottom>
        <color indexed="63"/>
      </bottom>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medium"/>
    </border>
    <border>
      <left style="medium"/>
      <right/>
      <top style="medium"/>
      <bottom/>
    </border>
    <border>
      <left style="medium"/>
      <right/>
      <top/>
      <bottom/>
    </border>
    <border>
      <left/>
      <right style="medium"/>
      <top/>
      <bottom/>
    </border>
    <border>
      <left/>
      <right/>
      <top style="medium"/>
      <bottom/>
    </border>
    <border>
      <left/>
      <right style="medium"/>
      <top style="medium"/>
      <bottom/>
    </border>
    <border>
      <left style="medium"/>
      <right/>
      <top/>
      <bottom style="thin"/>
    </border>
    <border>
      <left style="medium"/>
      <right/>
      <top/>
      <bottom style="medium"/>
    </border>
    <border>
      <left/>
      <right/>
      <top/>
      <bottom style="medium"/>
    </border>
    <border>
      <left/>
      <right style="medium"/>
      <top/>
      <bottom style="medium"/>
    </border>
    <border>
      <left style="medium"/>
      <right/>
      <top style="thin"/>
      <bottom/>
    </border>
    <border>
      <left/>
      <right style="medium"/>
      <top style="thin"/>
      <botto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5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10"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1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0" borderId="0">
      <alignment/>
      <protection/>
    </xf>
    <xf numFmtId="0" fontId="71" fillId="0" borderId="0">
      <alignment/>
      <protection/>
    </xf>
    <xf numFmtId="0" fontId="71" fillId="0" borderId="0">
      <alignment/>
      <protection/>
    </xf>
    <xf numFmtId="0" fontId="0" fillId="0" borderId="0">
      <alignment/>
      <protection/>
    </xf>
    <xf numFmtId="0" fontId="0" fillId="0" borderId="0">
      <alignment/>
      <protection/>
    </xf>
    <xf numFmtId="0" fontId="7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868">
    <xf numFmtId="0" fontId="0" fillId="0" borderId="0" xfId="0" applyAlignment="1">
      <alignment/>
    </xf>
    <xf numFmtId="0" fontId="4" fillId="0" borderId="0" xfId="0" applyFont="1" applyAlignment="1" applyProtection="1">
      <alignment/>
      <protection locked="0"/>
    </xf>
    <xf numFmtId="0" fontId="4" fillId="0" borderId="0" xfId="0" applyFont="1" applyAlignment="1">
      <alignment/>
    </xf>
    <xf numFmtId="0" fontId="4" fillId="0" borderId="0" xfId="0" applyFont="1" applyAlignment="1">
      <alignment horizontal="centerContinuous"/>
    </xf>
    <xf numFmtId="37" fontId="4" fillId="0" borderId="0" xfId="0" applyNumberFormat="1" applyFont="1" applyAlignment="1" applyProtection="1">
      <alignment horizontal="left"/>
      <protection locked="0"/>
    </xf>
    <xf numFmtId="37" fontId="4" fillId="0" borderId="0" xfId="0" applyNumberFormat="1" applyFont="1" applyAlignment="1" applyProtection="1">
      <alignment horizontal="center"/>
      <protection locked="0"/>
    </xf>
    <xf numFmtId="37" fontId="4" fillId="33" borderId="10" xfId="0" applyNumberFormat="1" applyFont="1" applyFill="1" applyBorder="1" applyAlignment="1" applyProtection="1">
      <alignment/>
      <protection locked="0"/>
    </xf>
    <xf numFmtId="0" fontId="4" fillId="33" borderId="0" xfId="0" applyFont="1" applyFill="1" applyAlignment="1" applyProtection="1">
      <alignment/>
      <protection locked="0"/>
    </xf>
    <xf numFmtId="164" fontId="4" fillId="33" borderId="10" xfId="0" applyNumberFormat="1" applyFont="1" applyFill="1" applyBorder="1" applyAlignment="1" applyProtection="1">
      <alignment/>
      <protection locked="0"/>
    </xf>
    <xf numFmtId="37" fontId="4" fillId="34" borderId="11" xfId="0" applyNumberFormat="1" applyFont="1" applyFill="1" applyBorder="1" applyAlignment="1" applyProtection="1">
      <alignment horizontal="center"/>
      <protection/>
    </xf>
    <xf numFmtId="37" fontId="4" fillId="34" borderId="0" xfId="0" applyNumberFormat="1" applyFont="1" applyFill="1" applyAlignment="1" applyProtection="1">
      <alignment horizontal="right"/>
      <protection/>
    </xf>
    <xf numFmtId="0" fontId="4" fillId="34" borderId="0" xfId="0" applyFont="1" applyFill="1" applyAlignment="1" applyProtection="1">
      <alignment/>
      <protection/>
    </xf>
    <xf numFmtId="37" fontId="4" fillId="34" borderId="0" xfId="0" applyNumberFormat="1" applyFont="1" applyFill="1" applyAlignment="1" applyProtection="1">
      <alignment horizontal="left"/>
      <protection/>
    </xf>
    <xf numFmtId="37" fontId="4" fillId="34" borderId="0" xfId="0" applyNumberFormat="1" applyFont="1" applyFill="1" applyAlignment="1" applyProtection="1">
      <alignment horizontal="centerContinuous"/>
      <protection/>
    </xf>
    <xf numFmtId="0" fontId="4" fillId="34" borderId="0" xfId="0" applyFont="1" applyFill="1" applyAlignment="1" applyProtection="1">
      <alignment horizontal="centerContinuous"/>
      <protection/>
    </xf>
    <xf numFmtId="37" fontId="4" fillId="34" borderId="0" xfId="0" applyNumberFormat="1" applyFont="1" applyFill="1" applyAlignment="1" applyProtection="1">
      <alignment horizontal="fill"/>
      <protection/>
    </xf>
    <xf numFmtId="37" fontId="4" fillId="34" borderId="12" xfId="0" applyNumberFormat="1" applyFont="1" applyFill="1" applyBorder="1" applyAlignment="1" applyProtection="1">
      <alignment horizontal="centerContinuous"/>
      <protection/>
    </xf>
    <xf numFmtId="0" fontId="4" fillId="34" borderId="13" xfId="0" applyFont="1" applyFill="1" applyBorder="1" applyAlignment="1" applyProtection="1">
      <alignment horizontal="centerContinuous"/>
      <protection/>
    </xf>
    <xf numFmtId="0" fontId="4" fillId="34" borderId="14" xfId="0" applyFont="1" applyFill="1" applyBorder="1" applyAlignment="1" applyProtection="1">
      <alignment horizontal="centerContinuous"/>
      <protection/>
    </xf>
    <xf numFmtId="37" fontId="4" fillId="34" borderId="15" xfId="0" applyNumberFormat="1" applyFont="1" applyFill="1" applyBorder="1" applyAlignment="1" applyProtection="1">
      <alignment horizontal="center"/>
      <protection/>
    </xf>
    <xf numFmtId="37" fontId="4" fillId="34" borderId="16" xfId="0" applyNumberFormat="1" applyFont="1" applyFill="1" applyBorder="1" applyAlignment="1" applyProtection="1">
      <alignment horizontal="left"/>
      <protection/>
    </xf>
    <xf numFmtId="37" fontId="4" fillId="34" borderId="10" xfId="0" applyNumberFormat="1" applyFont="1" applyFill="1" applyBorder="1" applyAlignment="1" applyProtection="1">
      <alignment horizontal="left"/>
      <protection/>
    </xf>
    <xf numFmtId="37" fontId="4" fillId="34" borderId="10" xfId="0" applyNumberFormat="1" applyFont="1" applyFill="1" applyBorder="1" applyAlignment="1" applyProtection="1">
      <alignment/>
      <protection/>
    </xf>
    <xf numFmtId="37" fontId="4" fillId="34" borderId="16" xfId="0" applyNumberFormat="1" applyFont="1" applyFill="1" applyBorder="1" applyAlignment="1" applyProtection="1">
      <alignment horizontal="fill"/>
      <protection/>
    </xf>
    <xf numFmtId="37" fontId="4" fillId="34" borderId="0" xfId="0" applyNumberFormat="1" applyFont="1" applyFill="1" applyAlignment="1" applyProtection="1">
      <alignment/>
      <protection/>
    </xf>
    <xf numFmtId="0" fontId="4" fillId="34" borderId="0" xfId="0" applyFont="1" applyFill="1" applyAlignment="1">
      <alignment/>
    </xf>
    <xf numFmtId="0" fontId="4" fillId="34" borderId="17" xfId="0" applyFont="1" applyFill="1" applyBorder="1" applyAlignment="1" applyProtection="1">
      <alignment horizontal="center"/>
      <protection/>
    </xf>
    <xf numFmtId="0" fontId="4" fillId="34" borderId="0" xfId="0" applyFont="1" applyFill="1" applyAlignment="1" applyProtection="1">
      <alignment horizontal="center"/>
      <protection/>
    </xf>
    <xf numFmtId="37" fontId="4" fillId="34" borderId="0" xfId="0" applyNumberFormat="1" applyFont="1" applyFill="1" applyAlignment="1" applyProtection="1" quotePrefix="1">
      <alignment horizontal="right"/>
      <protection/>
    </xf>
    <xf numFmtId="37" fontId="5" fillId="34" borderId="0" xfId="0" applyNumberFormat="1" applyFont="1" applyFill="1" applyAlignment="1" applyProtection="1">
      <alignment horizontal="centerContinuous"/>
      <protection/>
    </xf>
    <xf numFmtId="0" fontId="4" fillId="34" borderId="15" xfId="0" applyFont="1" applyFill="1" applyBorder="1" applyAlignment="1" applyProtection="1">
      <alignment horizontal="centerContinuous"/>
      <protection/>
    </xf>
    <xf numFmtId="1" fontId="4" fillId="34" borderId="12" xfId="0" applyNumberFormat="1" applyFont="1" applyFill="1" applyBorder="1" applyAlignment="1" applyProtection="1">
      <alignment horizontal="centerContinuous"/>
      <protection/>
    </xf>
    <xf numFmtId="164" fontId="4" fillId="34" borderId="10" xfId="0" applyNumberFormat="1" applyFont="1" applyFill="1" applyBorder="1" applyAlignment="1" applyProtection="1">
      <alignment/>
      <protection/>
    </xf>
    <xf numFmtId="0" fontId="4" fillId="34" borderId="0" xfId="0" applyNumberFormat="1" applyFont="1" applyFill="1" applyAlignment="1" applyProtection="1">
      <alignment horizontal="right"/>
      <protection/>
    </xf>
    <xf numFmtId="37" fontId="4" fillId="34" borderId="0" xfId="0" applyNumberFormat="1" applyFont="1" applyFill="1" applyBorder="1" applyAlignment="1" applyProtection="1">
      <alignment horizontal="left"/>
      <protection/>
    </xf>
    <xf numFmtId="0" fontId="4" fillId="34" borderId="0" xfId="0" applyFont="1" applyFill="1" applyAlignment="1">
      <alignment horizontal="center"/>
    </xf>
    <xf numFmtId="164" fontId="4" fillId="34" borderId="10" xfId="0" applyNumberFormat="1" applyFont="1" applyFill="1" applyBorder="1" applyAlignment="1" applyProtection="1">
      <alignment/>
      <protection locked="0"/>
    </xf>
    <xf numFmtId="166" fontId="4" fillId="34" borderId="0" xfId="0" applyNumberFormat="1" applyFont="1" applyFill="1" applyAlignment="1" applyProtection="1">
      <alignment horizontal="center"/>
      <protection/>
    </xf>
    <xf numFmtId="37" fontId="4" fillId="34" borderId="16" xfId="0" applyNumberFormat="1" applyFont="1" applyFill="1" applyBorder="1" applyAlignment="1" applyProtection="1">
      <alignment horizontal="center"/>
      <protection/>
    </xf>
    <xf numFmtId="37" fontId="4" fillId="34" borderId="0" xfId="0" applyNumberFormat="1" applyFont="1" applyFill="1" applyBorder="1" applyAlignment="1" applyProtection="1">
      <alignment horizontal="center"/>
      <protection/>
    </xf>
    <xf numFmtId="165" fontId="4" fillId="35" borderId="16" xfId="0" applyNumberFormat="1" applyFont="1" applyFill="1" applyBorder="1" applyAlignment="1" applyProtection="1">
      <alignment horizontal="center"/>
      <protection/>
    </xf>
    <xf numFmtId="165" fontId="4" fillId="34" borderId="0" xfId="0" applyNumberFormat="1" applyFont="1" applyFill="1" applyBorder="1" applyAlignment="1" applyProtection="1">
      <alignment horizontal="center"/>
      <protection/>
    </xf>
    <xf numFmtId="0" fontId="4" fillId="34" borderId="0" xfId="0" applyFont="1" applyFill="1" applyAlignment="1">
      <alignment horizontal="left"/>
    </xf>
    <xf numFmtId="37" fontId="5" fillId="34" borderId="0" xfId="0" applyNumberFormat="1" applyFont="1" applyFill="1" applyAlignment="1" applyProtection="1">
      <alignment horizontal="center"/>
      <protection/>
    </xf>
    <xf numFmtId="0" fontId="0" fillId="34" borderId="0" xfId="0" applyFill="1" applyAlignment="1">
      <alignment/>
    </xf>
    <xf numFmtId="0" fontId="0" fillId="34" borderId="0" xfId="0" applyFill="1" applyAlignment="1">
      <alignment/>
    </xf>
    <xf numFmtId="177" fontId="4" fillId="34" borderId="0" xfId="0" applyNumberFormat="1" applyFont="1" applyFill="1" applyBorder="1" applyAlignment="1" applyProtection="1">
      <alignment horizontal="center"/>
      <protection/>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protection/>
    </xf>
    <xf numFmtId="0" fontId="24" fillId="0" borderId="0" xfId="0" applyFont="1" applyAlignment="1">
      <alignment vertical="center" wrapText="1"/>
    </xf>
    <xf numFmtId="0" fontId="4" fillId="33" borderId="0" xfId="0" applyFont="1" applyFill="1" applyAlignment="1" applyProtection="1">
      <alignment vertical="center" wrapText="1"/>
      <protection/>
    </xf>
    <xf numFmtId="0" fontId="4" fillId="0" borderId="0" xfId="0" applyFont="1" applyFill="1" applyAlignment="1" applyProtection="1">
      <alignment vertical="center" wrapText="1"/>
      <protection/>
    </xf>
    <xf numFmtId="0" fontId="4" fillId="34" borderId="0" xfId="0" applyFont="1" applyFill="1" applyAlignment="1">
      <alignment vertical="center" wrapText="1"/>
    </xf>
    <xf numFmtId="0" fontId="4" fillId="36" borderId="0" xfId="0" applyFont="1" applyFill="1" applyAlignment="1">
      <alignment vertical="center" wrapText="1"/>
    </xf>
    <xf numFmtId="0" fontId="4" fillId="37" borderId="0" xfId="0" applyFont="1" applyFill="1" applyAlignment="1">
      <alignment vertical="center"/>
    </xf>
    <xf numFmtId="37" fontId="4" fillId="0" borderId="0" xfId="0" applyNumberFormat="1" applyFont="1" applyFill="1" applyAlignment="1" applyProtection="1">
      <alignment horizontal="left" vertical="center" wrapText="1"/>
      <protection/>
    </xf>
    <xf numFmtId="37" fontId="4" fillId="34" borderId="0" xfId="0" applyNumberFormat="1" applyFont="1" applyFill="1" applyAlignment="1" applyProtection="1">
      <alignment horizontal="left" vertical="center"/>
      <protection/>
    </xf>
    <xf numFmtId="0" fontId="4" fillId="34" borderId="0" xfId="0" applyFont="1" applyFill="1" applyAlignment="1" applyProtection="1">
      <alignment vertical="center"/>
      <protection/>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horizontal="left" vertical="center"/>
      <protection locked="0"/>
    </xf>
    <xf numFmtId="0" fontId="5" fillId="33" borderId="10" xfId="0" applyFont="1" applyFill="1" applyBorder="1" applyAlignment="1" applyProtection="1">
      <alignment horizontal="center" vertical="center"/>
      <protection locked="0"/>
    </xf>
    <xf numFmtId="0" fontId="5" fillId="34" borderId="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4" borderId="0" xfId="0" applyFont="1" applyFill="1" applyAlignment="1" applyProtection="1">
      <alignment horizontal="center" vertical="center"/>
      <protection/>
    </xf>
    <xf numFmtId="0" fontId="4" fillId="36" borderId="15" xfId="0" applyFont="1" applyFill="1" applyBorder="1" applyAlignment="1" applyProtection="1">
      <alignment horizontal="center" vertical="center"/>
      <protection/>
    </xf>
    <xf numFmtId="37" fontId="4" fillId="36" borderId="15" xfId="0" applyNumberFormat="1" applyFont="1" applyFill="1" applyBorder="1" applyAlignment="1" applyProtection="1">
      <alignment horizontal="center" vertical="center"/>
      <protection/>
    </xf>
    <xf numFmtId="0" fontId="4" fillId="36" borderId="15"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horizontal="center" vertical="center"/>
      <protection/>
    </xf>
    <xf numFmtId="37" fontId="4" fillId="36" borderId="17"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0" fontId="4" fillId="34" borderId="10" xfId="0" applyFont="1" applyFill="1" applyBorder="1" applyAlignment="1" applyProtection="1">
      <alignment vertical="center"/>
      <protection locked="0"/>
    </xf>
    <xf numFmtId="3" fontId="4" fillId="33" borderId="10" xfId="0" applyNumberFormat="1" applyFont="1" applyFill="1" applyBorder="1" applyAlignment="1" applyProtection="1">
      <alignment vertical="center"/>
      <protection locked="0"/>
    </xf>
    <xf numFmtId="3" fontId="4" fillId="33" borderId="10" xfId="0" applyNumberFormat="1" applyFont="1" applyFill="1" applyBorder="1" applyAlignment="1" applyProtection="1">
      <alignment vertical="center" wrapText="1"/>
      <protection locked="0"/>
    </xf>
    <xf numFmtId="164" fontId="4" fillId="33" borderId="10" xfId="0" applyNumberFormat="1" applyFont="1" applyFill="1" applyBorder="1" applyAlignment="1" applyProtection="1">
      <alignment vertical="center"/>
      <protection locked="0"/>
    </xf>
    <xf numFmtId="0" fontId="4" fillId="34" borderId="10" xfId="0" applyFont="1" applyFill="1" applyBorder="1" applyAlignment="1" applyProtection="1">
      <alignment vertical="center"/>
      <protection/>
    </xf>
    <xf numFmtId="164" fontId="4" fillId="33" borderId="10" xfId="0" applyNumberFormat="1" applyFont="1" applyFill="1" applyBorder="1" applyAlignment="1" applyProtection="1">
      <alignment vertical="center"/>
      <protection locked="0"/>
    </xf>
    <xf numFmtId="0" fontId="4" fillId="33" borderId="10" xfId="0" applyFont="1" applyFill="1" applyBorder="1" applyAlignment="1" applyProtection="1">
      <alignment horizontal="left" vertical="center"/>
      <protection locked="0"/>
    </xf>
    <xf numFmtId="0" fontId="4" fillId="33" borderId="10" xfId="0" applyFont="1" applyFill="1" applyBorder="1" applyAlignment="1" applyProtection="1">
      <alignment vertical="center"/>
      <protection locked="0"/>
    </xf>
    <xf numFmtId="3" fontId="4" fillId="33" borderId="10" xfId="0" applyNumberFormat="1" applyFont="1" applyFill="1" applyBorder="1" applyAlignment="1" applyProtection="1">
      <alignment vertical="center"/>
      <protection locked="0"/>
    </xf>
    <xf numFmtId="37" fontId="4" fillId="34" borderId="16" xfId="0" applyNumberFormat="1" applyFont="1" applyFill="1" applyBorder="1" applyAlignment="1" applyProtection="1">
      <alignment horizontal="left" vertical="center"/>
      <protection/>
    </xf>
    <xf numFmtId="0" fontId="4" fillId="34" borderId="16" xfId="0" applyFont="1" applyFill="1" applyBorder="1" applyAlignment="1" applyProtection="1">
      <alignment vertical="center"/>
      <protection/>
    </xf>
    <xf numFmtId="0" fontId="4" fillId="34" borderId="14" xfId="0" applyFont="1" applyFill="1" applyBorder="1" applyAlignment="1" applyProtection="1">
      <alignment vertical="center"/>
      <protection/>
    </xf>
    <xf numFmtId="3" fontId="4" fillId="35" borderId="14" xfId="0" applyNumberFormat="1" applyFont="1" applyFill="1" applyBorder="1" applyAlignment="1" applyProtection="1">
      <alignment vertical="center"/>
      <protection/>
    </xf>
    <xf numFmtId="164" fontId="4" fillId="35" borderId="10" xfId="0" applyNumberFormat="1" applyFont="1" applyFill="1" applyBorder="1" applyAlignment="1" applyProtection="1">
      <alignment vertical="center"/>
      <protection/>
    </xf>
    <xf numFmtId="164" fontId="4" fillId="34" borderId="16" xfId="0" applyNumberFormat="1" applyFont="1" applyFill="1" applyBorder="1" applyAlignment="1" applyProtection="1">
      <alignment vertical="center"/>
      <protection locked="0"/>
    </xf>
    <xf numFmtId="0" fontId="4" fillId="34" borderId="18" xfId="0"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37" fontId="4" fillId="34" borderId="0" xfId="0" applyNumberFormat="1" applyFont="1" applyFill="1" applyBorder="1" applyAlignment="1" applyProtection="1">
      <alignment horizontal="left" vertical="center"/>
      <protection/>
    </xf>
    <xf numFmtId="164" fontId="4" fillId="34" borderId="0" xfId="0" applyNumberFormat="1" applyFont="1" applyFill="1" applyBorder="1" applyAlignment="1" applyProtection="1">
      <alignment vertical="center"/>
      <protection locked="0"/>
    </xf>
    <xf numFmtId="3" fontId="4" fillId="34" borderId="0" xfId="0" applyNumberFormat="1" applyFont="1" applyFill="1" applyBorder="1" applyAlignment="1" applyProtection="1">
      <alignment vertical="center"/>
      <protection/>
    </xf>
    <xf numFmtId="37" fontId="5" fillId="38" borderId="0" xfId="0" applyNumberFormat="1" applyFont="1" applyFill="1" applyAlignment="1" applyProtection="1">
      <alignment horizontal="left" vertical="center"/>
      <protection/>
    </xf>
    <xf numFmtId="0" fontId="4" fillId="34" borderId="0" xfId="0" applyFont="1" applyFill="1" applyAlignment="1">
      <alignment vertical="center"/>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vertical="center"/>
      <protection/>
    </xf>
    <xf numFmtId="37" fontId="4" fillId="36" borderId="16" xfId="0" applyNumberFormat="1" applyFont="1" applyFill="1" applyBorder="1" applyAlignment="1" applyProtection="1">
      <alignment horizontal="left" vertical="center"/>
      <protection/>
    </xf>
    <xf numFmtId="0" fontId="4" fillId="36" borderId="16" xfId="0" applyFont="1" applyFill="1" applyBorder="1" applyAlignment="1" applyProtection="1">
      <alignment vertical="center"/>
      <protection/>
    </xf>
    <xf numFmtId="37" fontId="4" fillId="36" borderId="13" xfId="0" applyNumberFormat="1" applyFont="1" applyFill="1" applyBorder="1" applyAlignment="1" applyProtection="1">
      <alignment horizontal="left" vertical="center"/>
      <protection/>
    </xf>
    <xf numFmtId="0" fontId="4" fillId="36" borderId="13" xfId="0" applyFont="1" applyFill="1" applyBorder="1" applyAlignment="1" applyProtection="1">
      <alignment vertical="center"/>
      <protection/>
    </xf>
    <xf numFmtId="0" fontId="4" fillId="34" borderId="13" xfId="0"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18" fillId="38" borderId="0" xfId="0" applyNumberFormat="1" applyFont="1" applyFill="1" applyAlignment="1" applyProtection="1">
      <alignment horizontal="left" vertical="center"/>
      <protection/>
    </xf>
    <xf numFmtId="0" fontId="6" fillId="36" borderId="0" xfId="0" applyFont="1" applyFill="1" applyAlignment="1">
      <alignment vertical="center"/>
    </xf>
    <xf numFmtId="0" fontId="4" fillId="38" borderId="0" xfId="0" applyFont="1" applyFill="1" applyAlignment="1" applyProtection="1">
      <alignment vertical="center"/>
      <protection locked="0"/>
    </xf>
    <xf numFmtId="0" fontId="4" fillId="34" borderId="0" xfId="0" applyFont="1" applyFill="1" applyAlignment="1" applyProtection="1">
      <alignment vertical="center"/>
      <protection locked="0"/>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0" fontId="4" fillId="38" borderId="16" xfId="0" applyFont="1" applyFill="1" applyBorder="1" applyAlignment="1" applyProtection="1">
      <alignment vertical="center"/>
      <protection locked="0"/>
    </xf>
    <xf numFmtId="0" fontId="4" fillId="34" borderId="0" xfId="0" applyFont="1" applyFill="1" applyBorder="1" applyAlignment="1" applyProtection="1">
      <alignment vertical="center"/>
      <protection locked="0"/>
    </xf>
    <xf numFmtId="0" fontId="4" fillId="38" borderId="13" xfId="0" applyFont="1" applyFill="1" applyBorder="1" applyAlignment="1" applyProtection="1">
      <alignment vertical="center"/>
      <protection locked="0"/>
    </xf>
    <xf numFmtId="0" fontId="4" fillId="0" borderId="0" xfId="0" applyFont="1" applyAlignment="1" applyProtection="1">
      <alignment vertical="center"/>
      <protection locked="0"/>
    </xf>
    <xf numFmtId="37" fontId="4" fillId="34" borderId="0" xfId="0" applyNumberFormat="1" applyFont="1" applyFill="1" applyAlignment="1">
      <alignment vertical="center"/>
    </xf>
    <xf numFmtId="3" fontId="4" fillId="34" borderId="0" xfId="0" applyNumberFormat="1" applyFont="1" applyFill="1" applyAlignment="1" applyProtection="1">
      <alignment vertical="center"/>
      <protection/>
    </xf>
    <xf numFmtId="37" fontId="4" fillId="34" borderId="13" xfId="0" applyNumberFormat="1" applyFont="1" applyFill="1" applyBorder="1" applyAlignment="1" applyProtection="1">
      <alignment horizontal="left" vertical="center"/>
      <protection/>
    </xf>
    <xf numFmtId="37" fontId="4" fillId="33" borderId="10" xfId="0" applyNumberFormat="1" applyFont="1" applyFill="1" applyBorder="1" applyAlignment="1" applyProtection="1">
      <alignment vertical="center"/>
      <protection locked="0"/>
    </xf>
    <xf numFmtId="37" fontId="4" fillId="34" borderId="12" xfId="0" applyNumberFormat="1" applyFont="1" applyFill="1" applyBorder="1" applyAlignment="1" applyProtection="1">
      <alignment horizontal="left" vertical="center"/>
      <protection/>
    </xf>
    <xf numFmtId="3" fontId="4" fillId="34" borderId="18" xfId="0" applyNumberFormat="1" applyFont="1" applyFill="1" applyBorder="1" applyAlignment="1" applyProtection="1">
      <alignment vertical="center"/>
      <protection/>
    </xf>
    <xf numFmtId="3" fontId="4" fillId="34" borderId="14" xfId="0" applyNumberFormat="1"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0" fontId="0" fillId="34" borderId="0" xfId="0" applyFill="1" applyAlignment="1">
      <alignment vertical="center"/>
    </xf>
    <xf numFmtId="0" fontId="4" fillId="36" borderId="15" xfId="0" applyFont="1" applyFill="1" applyBorder="1" applyAlignment="1">
      <alignment horizontal="center" vertical="center"/>
    </xf>
    <xf numFmtId="0" fontId="4" fillId="36" borderId="11" xfId="0" applyFont="1" applyFill="1" applyBorder="1" applyAlignment="1">
      <alignment horizontal="center" vertical="center"/>
    </xf>
    <xf numFmtId="0" fontId="19" fillId="34" borderId="0" xfId="0" applyFont="1" applyFill="1" applyAlignment="1">
      <alignment vertical="center"/>
    </xf>
    <xf numFmtId="0" fontId="25" fillId="34" borderId="0" xfId="0" applyFont="1" applyFill="1" applyAlignment="1">
      <alignment vertical="center"/>
    </xf>
    <xf numFmtId="0" fontId="4" fillId="36" borderId="17" xfId="0" applyFont="1" applyFill="1" applyBorder="1" applyAlignment="1">
      <alignment horizontal="center" vertical="center"/>
    </xf>
    <xf numFmtId="37" fontId="4" fillId="34" borderId="17" xfId="0" applyNumberFormat="1" applyFont="1" applyFill="1" applyBorder="1" applyAlignment="1">
      <alignment vertical="center"/>
    </xf>
    <xf numFmtId="3" fontId="4" fillId="33" borderId="17" xfId="0" applyNumberFormat="1" applyFont="1" applyFill="1" applyBorder="1" applyAlignment="1" applyProtection="1">
      <alignment vertical="center"/>
      <protection locked="0"/>
    </xf>
    <xf numFmtId="0" fontId="14" fillId="34" borderId="0" xfId="0" applyFont="1" applyFill="1" applyAlignment="1">
      <alignment vertical="center"/>
    </xf>
    <xf numFmtId="0" fontId="14" fillId="0" borderId="0" xfId="0" applyFont="1" applyAlignment="1">
      <alignment vertical="center"/>
    </xf>
    <xf numFmtId="0" fontId="14" fillId="34" borderId="0" xfId="0" applyFont="1" applyFill="1" applyAlignment="1" applyProtection="1">
      <alignment vertical="center"/>
      <protection/>
    </xf>
    <xf numFmtId="0" fontId="0" fillId="0" borderId="0" xfId="0" applyAlignment="1">
      <alignment vertical="center"/>
    </xf>
    <xf numFmtId="37" fontId="14" fillId="34" borderId="0" xfId="0" applyNumberFormat="1" applyFont="1" applyFill="1" applyAlignment="1" applyProtection="1">
      <alignment horizontal="centerContinuous" vertical="center"/>
      <protection/>
    </xf>
    <xf numFmtId="0" fontId="14" fillId="34" borderId="0" xfId="0" applyFont="1" applyFill="1" applyAlignment="1" applyProtection="1">
      <alignment horizontal="centerContinuous" vertical="center"/>
      <protection/>
    </xf>
    <xf numFmtId="37" fontId="14" fillId="34" borderId="0" xfId="0" applyNumberFormat="1" applyFont="1" applyFill="1" applyAlignment="1" applyProtection="1">
      <alignment horizontal="left" vertical="center"/>
      <protection/>
    </xf>
    <xf numFmtId="37" fontId="14" fillId="34" borderId="0" xfId="0" applyNumberFormat="1" applyFont="1" applyFill="1" applyAlignment="1" applyProtection="1">
      <alignment horizontal="fill" vertical="center"/>
      <protection/>
    </xf>
    <xf numFmtId="37" fontId="14" fillId="34" borderId="12" xfId="0" applyNumberFormat="1" applyFont="1" applyFill="1" applyBorder="1" applyAlignment="1" applyProtection="1">
      <alignment horizontal="centerContinuous" vertical="center"/>
      <protection/>
    </xf>
    <xf numFmtId="0" fontId="14" fillId="34" borderId="13" xfId="0" applyFont="1" applyFill="1" applyBorder="1" applyAlignment="1" applyProtection="1">
      <alignment horizontal="centerContinuous" vertical="center"/>
      <protection/>
    </xf>
    <xf numFmtId="0" fontId="14" fillId="34" borderId="14" xfId="0" applyFont="1" applyFill="1" applyBorder="1" applyAlignment="1" applyProtection="1">
      <alignment horizontal="centerContinuous" vertical="center"/>
      <protection/>
    </xf>
    <xf numFmtId="37" fontId="14" fillId="34" borderId="15" xfId="0" applyNumberFormat="1" applyFont="1" applyFill="1" applyBorder="1" applyAlignment="1" applyProtection="1">
      <alignment horizontal="center" vertical="center"/>
      <protection/>
    </xf>
    <xf numFmtId="37" fontId="15" fillId="34" borderId="16" xfId="0" applyNumberFormat="1" applyFont="1" applyFill="1" applyBorder="1" applyAlignment="1" applyProtection="1">
      <alignment horizontal="left" vertical="center"/>
      <protection/>
    </xf>
    <xf numFmtId="0" fontId="14" fillId="34" borderId="16" xfId="0" applyFont="1" applyFill="1" applyBorder="1" applyAlignment="1" applyProtection="1">
      <alignment vertical="center"/>
      <protection/>
    </xf>
    <xf numFmtId="37" fontId="14" fillId="34" borderId="17" xfId="0" applyNumberFormat="1" applyFont="1" applyFill="1" applyBorder="1" applyAlignment="1" applyProtection="1">
      <alignment horizontal="center" vertical="center"/>
      <protection/>
    </xf>
    <xf numFmtId="37" fontId="14" fillId="34" borderId="10" xfId="0" applyNumberFormat="1" applyFont="1" applyFill="1" applyBorder="1" applyAlignment="1" applyProtection="1">
      <alignment horizontal="left" vertical="center"/>
      <protection/>
    </xf>
    <xf numFmtId="37" fontId="14" fillId="34" borderId="11" xfId="0" applyNumberFormat="1" applyFont="1" applyFill="1" applyBorder="1" applyAlignment="1" applyProtection="1">
      <alignment horizontal="center" vertical="center"/>
      <protection/>
    </xf>
    <xf numFmtId="0" fontId="14" fillId="34" borderId="0" xfId="0" applyFont="1" applyFill="1" applyBorder="1" applyAlignment="1" applyProtection="1">
      <alignment vertical="center"/>
      <protection/>
    </xf>
    <xf numFmtId="37" fontId="14" fillId="34" borderId="12" xfId="0" applyNumberFormat="1" applyFont="1" applyFill="1" applyBorder="1" applyAlignment="1" applyProtection="1">
      <alignment horizontal="left" vertical="center"/>
      <protection/>
    </xf>
    <xf numFmtId="0" fontId="14" fillId="34" borderId="14" xfId="0" applyFont="1" applyFill="1" applyBorder="1" applyAlignment="1" applyProtection="1">
      <alignment vertical="center"/>
      <protection/>
    </xf>
    <xf numFmtId="37" fontId="14" fillId="34" borderId="18" xfId="0" applyNumberFormat="1" applyFont="1" applyFill="1" applyBorder="1" applyAlignment="1" applyProtection="1">
      <alignment horizontal="center" vertical="center"/>
      <protection/>
    </xf>
    <xf numFmtId="37" fontId="14" fillId="34" borderId="10" xfId="0" applyNumberFormat="1" applyFont="1" applyFill="1" applyBorder="1" applyAlignment="1" applyProtection="1">
      <alignment horizontal="center" vertical="center"/>
      <protection/>
    </xf>
    <xf numFmtId="0" fontId="14" fillId="34" borderId="11" xfId="0" applyFont="1" applyFill="1" applyBorder="1" applyAlignment="1" applyProtection="1">
      <alignment vertical="center"/>
      <protection/>
    </xf>
    <xf numFmtId="37" fontId="14" fillId="34" borderId="14" xfId="0" applyNumberFormat="1" applyFont="1" applyFill="1" applyBorder="1" applyAlignment="1" applyProtection="1">
      <alignment horizontal="center" vertical="center"/>
      <protection/>
    </xf>
    <xf numFmtId="37" fontId="23" fillId="34" borderId="17" xfId="0" applyNumberFormat="1" applyFont="1" applyFill="1" applyBorder="1" applyAlignment="1" applyProtection="1">
      <alignment horizontal="left" vertical="center"/>
      <protection/>
    </xf>
    <xf numFmtId="37" fontId="23" fillId="34" borderId="17" xfId="0" applyNumberFormat="1" applyFont="1" applyFill="1" applyBorder="1" applyAlignment="1" applyProtection="1">
      <alignment horizontal="center" vertical="center"/>
      <protection/>
    </xf>
    <xf numFmtId="0" fontId="14" fillId="34" borderId="10" xfId="0" applyFont="1" applyFill="1" applyBorder="1" applyAlignment="1" applyProtection="1">
      <alignment vertical="center"/>
      <protection/>
    </xf>
    <xf numFmtId="0" fontId="14" fillId="34" borderId="17" xfId="0" applyFont="1" applyFill="1" applyBorder="1" applyAlignment="1" applyProtection="1">
      <alignment vertical="center"/>
      <protection/>
    </xf>
    <xf numFmtId="37" fontId="14" fillId="34" borderId="12" xfId="0" applyNumberFormat="1" applyFont="1" applyFill="1" applyBorder="1" applyAlignment="1" applyProtection="1">
      <alignment horizontal="center" vertical="center"/>
      <protection/>
    </xf>
    <xf numFmtId="37" fontId="14" fillId="34" borderId="10" xfId="0" applyNumberFormat="1" applyFont="1" applyFill="1" applyBorder="1" applyAlignment="1" applyProtection="1">
      <alignment vertical="center"/>
      <protection/>
    </xf>
    <xf numFmtId="183" fontId="4" fillId="34" borderId="10" xfId="0" applyNumberFormat="1" applyFont="1" applyFill="1" applyBorder="1" applyAlignment="1" applyProtection="1">
      <alignment vertical="center"/>
      <protection/>
    </xf>
    <xf numFmtId="37" fontId="4" fillId="34" borderId="10" xfId="0" applyNumberFormat="1" applyFont="1" applyFill="1" applyBorder="1" applyAlignment="1" applyProtection="1">
      <alignment horizontal="center" vertical="center"/>
      <protection/>
    </xf>
    <xf numFmtId="0" fontId="14" fillId="34" borderId="10" xfId="0" applyFont="1" applyFill="1" applyBorder="1" applyAlignment="1" applyProtection="1">
      <alignment horizontal="center" vertical="center"/>
      <protection/>
    </xf>
    <xf numFmtId="0" fontId="14" fillId="34" borderId="15" xfId="0" applyFont="1" applyFill="1" applyBorder="1" applyAlignment="1" applyProtection="1">
      <alignment vertical="center"/>
      <protection/>
    </xf>
    <xf numFmtId="37" fontId="15" fillId="34" borderId="15" xfId="0" applyNumberFormat="1" applyFont="1" applyFill="1" applyBorder="1" applyAlignment="1" applyProtection="1">
      <alignment horizontal="left" vertical="center"/>
      <protection/>
    </xf>
    <xf numFmtId="37" fontId="14" fillId="34" borderId="19" xfId="0" applyNumberFormat="1" applyFont="1" applyFill="1" applyBorder="1" applyAlignment="1" applyProtection="1">
      <alignment horizontal="left" vertical="center"/>
      <protection/>
    </xf>
    <xf numFmtId="0" fontId="14" fillId="34" borderId="20" xfId="0" applyFont="1" applyFill="1" applyBorder="1" applyAlignment="1" applyProtection="1">
      <alignment vertical="center"/>
      <protection/>
    </xf>
    <xf numFmtId="37" fontId="14" fillId="34" borderId="0" xfId="0" applyNumberFormat="1" applyFont="1" applyFill="1" applyBorder="1" applyAlignment="1" applyProtection="1">
      <alignment vertical="center"/>
      <protection/>
    </xf>
    <xf numFmtId="0" fontId="14" fillId="34" borderId="0" xfId="0" applyFont="1" applyFill="1" applyAlignment="1" applyProtection="1">
      <alignment horizontal="center" vertical="center"/>
      <protection/>
    </xf>
    <xf numFmtId="0" fontId="19" fillId="39" borderId="14" xfId="0" applyFont="1" applyFill="1" applyBorder="1" applyAlignment="1" applyProtection="1">
      <alignment horizontal="center" vertical="center"/>
      <protection/>
    </xf>
    <xf numFmtId="3" fontId="14" fillId="33" borderId="10" xfId="0" applyNumberFormat="1" applyFont="1" applyFill="1" applyBorder="1" applyAlignment="1" applyProtection="1">
      <alignment vertical="center"/>
      <protection locked="0"/>
    </xf>
    <xf numFmtId="37" fontId="14" fillId="34" borderId="0" xfId="0" applyNumberFormat="1" applyFont="1" applyFill="1" applyAlignment="1" applyProtection="1">
      <alignment horizontal="right" vertical="center"/>
      <protection/>
    </xf>
    <xf numFmtId="0" fontId="14" fillId="33" borderId="16" xfId="0" applyFont="1" applyFill="1" applyBorder="1" applyAlignment="1" applyProtection="1">
      <alignment vertical="center"/>
      <protection locked="0"/>
    </xf>
    <xf numFmtId="0" fontId="14" fillId="33" borderId="13" xfId="0" applyFont="1" applyFill="1" applyBorder="1" applyAlignment="1" applyProtection="1">
      <alignment vertical="center"/>
      <protection locked="0"/>
    </xf>
    <xf numFmtId="0" fontId="14" fillId="34" borderId="0" xfId="0" applyFont="1" applyFill="1" applyAlignment="1" applyProtection="1">
      <alignment horizontal="right" vertical="center"/>
      <protection/>
    </xf>
    <xf numFmtId="0" fontId="14" fillId="34" borderId="0" xfId="0" applyFont="1" applyFill="1" applyAlignment="1" applyProtection="1">
      <alignment horizontal="left" vertical="center"/>
      <protection/>
    </xf>
    <xf numFmtId="0" fontId="14" fillId="0" borderId="0" xfId="0" applyFont="1" applyAlignment="1" applyProtection="1">
      <alignment vertical="center"/>
      <protection locked="0"/>
    </xf>
    <xf numFmtId="37" fontId="4" fillId="34" borderId="0" xfId="0" applyNumberFormat="1" applyFont="1" applyFill="1" applyAlignment="1" applyProtection="1">
      <alignment horizontal="centerContinuous" vertical="center"/>
      <protection/>
    </xf>
    <xf numFmtId="37" fontId="4" fillId="34" borderId="12" xfId="0" applyNumberFormat="1"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14" xfId="0" applyFont="1" applyFill="1" applyBorder="1" applyAlignment="1" applyProtection="1">
      <alignment horizontal="centerContinuous" vertical="center"/>
      <protection/>
    </xf>
    <xf numFmtId="37" fontId="4" fillId="34" borderId="15"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left" vertical="center"/>
      <protection/>
    </xf>
    <xf numFmtId="37" fontId="4" fillId="34" borderId="17"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0" xfId="0" applyNumberFormat="1" applyFont="1" applyFill="1" applyBorder="1" applyAlignment="1" applyProtection="1">
      <alignment horizontal="center" vertical="center"/>
      <protection/>
    </xf>
    <xf numFmtId="37" fontId="4" fillId="33" borderId="10" xfId="0" applyNumberFormat="1" applyFont="1" applyFill="1" applyBorder="1" applyAlignment="1" applyProtection="1">
      <alignment horizontal="left" vertical="center"/>
      <protection locked="0"/>
    </xf>
    <xf numFmtId="37" fontId="4" fillId="34" borderId="10" xfId="0" applyNumberFormat="1" applyFont="1" applyFill="1" applyBorder="1" applyAlignment="1" applyProtection="1">
      <alignment horizontal="fill" vertical="center"/>
      <protection/>
    </xf>
    <xf numFmtId="37" fontId="4" fillId="35" borderId="21" xfId="0" applyNumberFormat="1" applyFont="1" applyFill="1" applyBorder="1" applyAlignment="1" applyProtection="1">
      <alignment vertical="center"/>
      <protection/>
    </xf>
    <xf numFmtId="183" fontId="4" fillId="35" borderId="21"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7" fontId="4" fillId="0" borderId="0" xfId="0" applyNumberFormat="1" applyFont="1" applyAlignment="1" applyProtection="1">
      <alignment horizontal="left" vertical="center"/>
      <protection locked="0"/>
    </xf>
    <xf numFmtId="0" fontId="4" fillId="0" borderId="0" xfId="0" applyFont="1" applyAlignment="1" applyProtection="1">
      <alignment horizontal="center" vertical="center"/>
      <protection locked="0"/>
    </xf>
    <xf numFmtId="37" fontId="4" fillId="0" borderId="0" xfId="0" applyNumberFormat="1" applyFont="1" applyAlignment="1" applyProtection="1">
      <alignment horizontal="fill" vertical="center"/>
      <protection locked="0"/>
    </xf>
    <xf numFmtId="37" fontId="4"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6"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7" fontId="4" fillId="34" borderId="0" xfId="0" applyNumberFormat="1" applyFont="1" applyFill="1" applyAlignment="1" applyProtection="1">
      <alignment horizontal="right" vertical="center"/>
      <protection/>
    </xf>
    <xf numFmtId="0" fontId="5" fillId="34" borderId="16" xfId="0" applyFont="1" applyFill="1" applyBorder="1" applyAlignment="1" applyProtection="1">
      <alignment horizontal="center" vertical="center"/>
      <protection/>
    </xf>
    <xf numFmtId="0" fontId="5" fillId="34" borderId="15"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4" fillId="34" borderId="24" xfId="0" applyFont="1" applyFill="1" applyBorder="1" applyAlignment="1" applyProtection="1">
      <alignment horizontal="center" vertical="center"/>
      <protection/>
    </xf>
    <xf numFmtId="0" fontId="4" fillId="33" borderId="17" xfId="0" applyFont="1" applyFill="1" applyBorder="1" applyAlignment="1" applyProtection="1">
      <alignment vertical="center"/>
      <protection locked="0"/>
    </xf>
    <xf numFmtId="175" fontId="4" fillId="33" borderId="17" xfId="42" applyNumberFormat="1" applyFont="1" applyFill="1" applyBorder="1" applyAlignment="1" applyProtection="1">
      <alignment vertical="center"/>
      <protection locked="0"/>
    </xf>
    <xf numFmtId="175" fontId="4" fillId="33" borderId="10" xfId="42" applyNumberFormat="1" applyFont="1" applyFill="1" applyBorder="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1" fontId="4" fillId="34" borderId="0" xfId="0" applyNumberFormat="1" applyFont="1" applyFill="1" applyBorder="1" applyAlignment="1" applyProtection="1">
      <alignment horizontal="right" vertical="center"/>
      <protection/>
    </xf>
    <xf numFmtId="0" fontId="5" fillId="34" borderId="0" xfId="546" applyFont="1" applyFill="1" applyAlignment="1" applyProtection="1">
      <alignment horizontal="centerContinuous"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center" vertical="center"/>
      <protection/>
    </xf>
    <xf numFmtId="0" fontId="4" fillId="34" borderId="19" xfId="0" applyFont="1" applyFill="1" applyBorder="1" applyAlignment="1" applyProtection="1">
      <alignment horizontal="centerContinuous" vertical="center"/>
      <protection/>
    </xf>
    <xf numFmtId="0" fontId="4" fillId="34" borderId="20"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 vertical="center"/>
      <protection/>
    </xf>
    <xf numFmtId="1" fontId="4" fillId="34" borderId="25" xfId="0" applyNumberFormat="1" applyFont="1" applyFill="1" applyBorder="1" applyAlignment="1" applyProtection="1">
      <alignment horizontal="center" vertical="center"/>
      <protection/>
    </xf>
    <xf numFmtId="0" fontId="4" fillId="34" borderId="10" xfId="0" applyFont="1" applyFill="1" applyBorder="1" applyAlignment="1" applyProtection="1">
      <alignment horizontal="left" vertical="center"/>
      <protection/>
    </xf>
    <xf numFmtId="0" fontId="4" fillId="34" borderId="17" xfId="0" applyFont="1" applyFill="1" applyBorder="1" applyAlignment="1" applyProtection="1">
      <alignment horizontal="center" vertical="center"/>
      <protection/>
    </xf>
    <xf numFmtId="2" fontId="4" fillId="34" borderId="10"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0" fontId="4" fillId="33" borderId="10" xfId="0" applyFont="1" applyFill="1" applyBorder="1" applyAlignment="1" applyProtection="1">
      <alignment horizontal="center" vertical="center"/>
      <protection locked="0"/>
    </xf>
    <xf numFmtId="2" fontId="4" fillId="33" borderId="10" xfId="0" applyNumberFormat="1" applyFont="1" applyFill="1" applyBorder="1" applyAlignment="1" applyProtection="1">
      <alignment horizontal="center" vertical="center"/>
      <protection locked="0"/>
    </xf>
    <xf numFmtId="3" fontId="4" fillId="33" borderId="10" xfId="0" applyNumberFormat="1" applyFont="1" applyFill="1" applyBorder="1" applyAlignment="1" applyProtection="1">
      <alignment horizontal="center" vertical="center"/>
      <protection locked="0"/>
    </xf>
    <xf numFmtId="37" fontId="4" fillId="33" borderId="10" xfId="0" applyNumberFormat="1" applyFont="1" applyFill="1" applyBorder="1" applyAlignment="1" applyProtection="1">
      <alignment horizontal="center" vertical="center"/>
      <protection locked="0"/>
    </xf>
    <xf numFmtId="173" fontId="4" fillId="33" borderId="10" xfId="0" applyNumberFormat="1" applyFont="1" applyFill="1" applyBorder="1" applyAlignment="1" applyProtection="1">
      <alignment horizontal="center" vertical="center"/>
      <protection locked="0"/>
    </xf>
    <xf numFmtId="0" fontId="5" fillId="34" borderId="10" xfId="0" applyFont="1" applyFill="1" applyBorder="1" applyAlignment="1" applyProtection="1">
      <alignment horizontal="center" vertical="center"/>
      <protection/>
    </xf>
    <xf numFmtId="172"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37" fontId="5" fillId="35" borderId="10" xfId="0" applyNumberFormat="1" applyFont="1" applyFill="1" applyBorder="1" applyAlignment="1" applyProtection="1">
      <alignment horizontal="center" vertical="center"/>
      <protection/>
    </xf>
    <xf numFmtId="173" fontId="5" fillId="34" borderId="10" xfId="0" applyNumberFormat="1" applyFont="1" applyFill="1" applyBorder="1" applyAlignment="1" applyProtection="1">
      <alignment horizontal="center" vertical="center"/>
      <protection/>
    </xf>
    <xf numFmtId="172"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73" fontId="4" fillId="34"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 fontId="5" fillId="35"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4" borderId="0" xfId="0" applyNumberFormat="1" applyFont="1" applyFill="1" applyAlignment="1" applyProtection="1">
      <alignment horizontal="right" vertical="center"/>
      <protection/>
    </xf>
    <xf numFmtId="0" fontId="4" fillId="34" borderId="0" xfId="0" applyFont="1" applyFill="1" applyAlignment="1" applyProtection="1">
      <alignment horizontal="right" vertical="center"/>
      <protection/>
    </xf>
    <xf numFmtId="0" fontId="4" fillId="34" borderId="26" xfId="0" applyFont="1" applyFill="1" applyBorder="1" applyAlignment="1" applyProtection="1">
      <alignment vertical="center"/>
      <protection/>
    </xf>
    <xf numFmtId="0" fontId="4" fillId="34" borderId="15"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8" fillId="34" borderId="17" xfId="0" applyFont="1" applyFill="1" applyBorder="1" applyAlignment="1" applyProtection="1">
      <alignment horizontal="center" vertical="center"/>
      <protection/>
    </xf>
    <xf numFmtId="14" fontId="4" fillId="34" borderId="17" xfId="0" applyNumberFormat="1" applyFont="1" applyFill="1" applyBorder="1" applyAlignment="1" applyProtection="1" quotePrefix="1">
      <alignment horizontal="center" vertical="center"/>
      <protection/>
    </xf>
    <xf numFmtId="0" fontId="4" fillId="33" borderId="10" xfId="0" applyFont="1" applyFill="1" applyBorder="1" applyAlignment="1" applyProtection="1">
      <alignment vertical="center"/>
      <protection locked="0"/>
    </xf>
    <xf numFmtId="1" fontId="4" fillId="33" borderId="10" xfId="0" applyNumberFormat="1" applyFont="1" applyFill="1" applyBorder="1" applyAlignment="1" applyProtection="1">
      <alignment vertical="center"/>
      <protection locked="0"/>
    </xf>
    <xf numFmtId="2" fontId="4" fillId="33" borderId="10" xfId="0" applyNumberFormat="1" applyFont="1" applyFill="1" applyBorder="1" applyAlignment="1" applyProtection="1">
      <alignment vertical="center"/>
      <protection locked="0"/>
    </xf>
    <xf numFmtId="3" fontId="5" fillId="35" borderId="21" xfId="0" applyNumberFormat="1" applyFont="1" applyFill="1" applyBorder="1" applyAlignment="1" applyProtection="1">
      <alignment vertical="center"/>
      <protection/>
    </xf>
    <xf numFmtId="0" fontId="4" fillId="0" borderId="0" xfId="0" applyFont="1" applyBorder="1" applyAlignment="1">
      <alignment vertical="center"/>
    </xf>
    <xf numFmtId="0" fontId="4" fillId="37" borderId="0" xfId="545" applyFont="1" applyFill="1" applyAlignment="1" applyProtection="1">
      <alignment vertical="center"/>
      <protection/>
    </xf>
    <xf numFmtId="0" fontId="4" fillId="37" borderId="0" xfId="0" applyFont="1" applyFill="1" applyAlignment="1" applyProtection="1">
      <alignment vertical="center"/>
      <protection/>
    </xf>
    <xf numFmtId="0" fontId="4" fillId="34" borderId="0" xfId="0" applyFont="1" applyFill="1" applyAlignment="1" applyProtection="1" quotePrefix="1">
      <alignment horizontal="right" vertical="center"/>
      <protection/>
    </xf>
    <xf numFmtId="0" fontId="4" fillId="34" borderId="0" xfId="0" applyFont="1" applyFill="1" applyAlignment="1" applyProtection="1">
      <alignment horizontal="left" vertical="center"/>
      <protection/>
    </xf>
    <xf numFmtId="1" fontId="4" fillId="34" borderId="17"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3" fontId="4" fillId="33" borderId="14" xfId="0" applyNumberFormat="1" applyFont="1" applyFill="1" applyBorder="1" applyAlignment="1" applyProtection="1">
      <alignment vertical="center"/>
      <protection locked="0"/>
    </xf>
    <xf numFmtId="37" fontId="4" fillId="34" borderId="12" xfId="0" applyNumberFormat="1" applyFont="1" applyFill="1" applyBorder="1" applyAlignment="1" applyProtection="1">
      <alignment vertical="center"/>
      <protection/>
    </xf>
    <xf numFmtId="37" fontId="4" fillId="33" borderId="10"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3" borderId="12" xfId="0" applyFont="1" applyFill="1" applyBorder="1" applyAlignment="1" applyProtection="1">
      <alignment horizontal="left" vertical="center"/>
      <protection locked="0"/>
    </xf>
    <xf numFmtId="0" fontId="4" fillId="34" borderId="12" xfId="0" applyFont="1" applyFill="1" applyBorder="1" applyAlignment="1" applyProtection="1">
      <alignment vertical="center"/>
      <protection/>
    </xf>
    <xf numFmtId="3" fontId="19" fillId="40" borderId="20" xfId="0" applyNumberFormat="1" applyFont="1" applyFill="1" applyBorder="1" applyAlignment="1" applyProtection="1">
      <alignment horizontal="center" vertical="center"/>
      <protection/>
    </xf>
    <xf numFmtId="37" fontId="5" fillId="34" borderId="12" xfId="0" applyNumberFormat="1" applyFont="1" applyFill="1" applyBorder="1" applyAlignment="1" applyProtection="1">
      <alignment horizontal="left" vertical="center"/>
      <protection/>
    </xf>
    <xf numFmtId="37" fontId="5" fillId="35" borderId="10" xfId="0" applyNumberFormat="1" applyFont="1" applyFill="1" applyBorder="1" applyAlignment="1" applyProtection="1">
      <alignment vertical="center"/>
      <protection/>
    </xf>
    <xf numFmtId="0" fontId="5" fillId="34" borderId="0" xfId="0" applyFont="1" applyFill="1" applyAlignment="1" applyProtection="1">
      <alignment horizontal="left" vertical="center"/>
      <protection/>
    </xf>
    <xf numFmtId="0" fontId="4" fillId="34" borderId="0" xfId="0" applyFont="1" applyFill="1" applyAlignment="1" applyProtection="1">
      <alignment horizontal="fill" vertical="center"/>
      <protection/>
    </xf>
    <xf numFmtId="0" fontId="4" fillId="34" borderId="17" xfId="0" applyNumberFormat="1" applyFont="1" applyFill="1" applyBorder="1" applyAlignment="1" applyProtection="1">
      <alignment horizontal="center" vertical="center"/>
      <protection/>
    </xf>
    <xf numFmtId="37" fontId="5"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37" fontId="4" fillId="35" borderId="10" xfId="0" applyNumberFormat="1" applyFont="1" applyFill="1" applyBorder="1" applyAlignment="1" applyProtection="1">
      <alignment vertical="center"/>
      <protection/>
    </xf>
    <xf numFmtId="0" fontId="19" fillId="0" borderId="0" xfId="0" applyFont="1" applyAlignment="1">
      <alignment vertical="center"/>
    </xf>
    <xf numFmtId="0" fontId="20" fillId="34" borderId="0" xfId="0" applyFont="1" applyFill="1" applyAlignment="1" applyProtection="1">
      <alignment horizontal="center" vertical="center"/>
      <protection/>
    </xf>
    <xf numFmtId="0" fontId="4" fillId="34" borderId="0" xfId="0" applyFont="1" applyFill="1" applyAlignment="1">
      <alignment horizontal="right" vertical="center"/>
    </xf>
    <xf numFmtId="1" fontId="4" fillId="34" borderId="15" xfId="0" applyNumberFormat="1" applyFont="1" applyFill="1" applyBorder="1" applyAlignment="1" applyProtection="1">
      <alignment horizontal="center" vertical="center"/>
      <protection/>
    </xf>
    <xf numFmtId="0" fontId="4" fillId="33" borderId="10" xfId="0" applyFont="1" applyFill="1" applyBorder="1" applyAlignment="1" applyProtection="1">
      <alignment horizontal="left" vertical="center"/>
      <protection locked="0"/>
    </xf>
    <xf numFmtId="37" fontId="4" fillId="35" borderId="15" xfId="0" applyNumberFormat="1" applyFont="1" applyFill="1" applyBorder="1" applyAlignment="1" applyProtection="1">
      <alignment vertical="center"/>
      <protection/>
    </xf>
    <xf numFmtId="0" fontId="4" fillId="34" borderId="0" xfId="0" applyNumberFormat="1" applyFont="1" applyFill="1" applyAlignment="1" applyProtection="1">
      <alignment vertical="center"/>
      <protection/>
    </xf>
    <xf numFmtId="37" fontId="4" fillId="34" borderId="0" xfId="0" applyNumberFormat="1" applyFont="1" applyFill="1" applyAlignment="1" applyProtection="1">
      <alignment horizontal="fill" vertical="center"/>
      <protection/>
    </xf>
    <xf numFmtId="0" fontId="4" fillId="35" borderId="0" xfId="0" applyFont="1" applyFill="1" applyAlignment="1" applyProtection="1">
      <alignment horizontal="left" vertical="center"/>
      <protection/>
    </xf>
    <xf numFmtId="37" fontId="5" fillId="39" borderId="21" xfId="0" applyNumberFormat="1" applyFont="1" applyFill="1" applyBorder="1" applyAlignment="1" applyProtection="1">
      <alignment vertical="center"/>
      <protection/>
    </xf>
    <xf numFmtId="0" fontId="19" fillId="37" borderId="0" xfId="0" applyFont="1" applyFill="1" applyAlignment="1">
      <alignment vertical="center"/>
    </xf>
    <xf numFmtId="37" fontId="4" fillId="37" borderId="0" xfId="0" applyNumberFormat="1" applyFont="1" applyFill="1" applyAlignment="1">
      <alignment vertical="center"/>
    </xf>
    <xf numFmtId="37" fontId="4" fillId="0" borderId="0" xfId="0" applyNumberFormat="1" applyFont="1" applyAlignment="1">
      <alignment vertical="center"/>
    </xf>
    <xf numFmtId="166" fontId="4" fillId="34" borderId="0" xfId="0" applyNumberFormat="1" applyFont="1" applyFill="1" applyAlignment="1" applyProtection="1">
      <alignment vertical="center"/>
      <protection/>
    </xf>
    <xf numFmtId="37" fontId="4" fillId="34" borderId="0" xfId="0" applyNumberFormat="1" applyFont="1" applyFill="1" applyAlignment="1" applyProtection="1" quotePrefix="1">
      <alignment horizontal="right" vertical="center"/>
      <protection/>
    </xf>
    <xf numFmtId="37" fontId="4" fillId="34" borderId="25" xfId="0" applyNumberFormat="1" applyFont="1" applyFill="1" applyBorder="1" applyAlignment="1" applyProtection="1">
      <alignment horizontal="left" vertical="center"/>
      <protection/>
    </xf>
    <xf numFmtId="3" fontId="4" fillId="34" borderId="10" xfId="0" applyNumberFormat="1" applyFont="1" applyFill="1" applyBorder="1" applyAlignment="1" applyProtection="1">
      <alignment horizontal="fill" vertical="center"/>
      <protection/>
    </xf>
    <xf numFmtId="3" fontId="4" fillId="34" borderId="10" xfId="0" applyNumberFormat="1" applyFont="1" applyFill="1" applyBorder="1" applyAlignment="1" applyProtection="1">
      <alignment horizontal="right" vertical="center"/>
      <protection/>
    </xf>
    <xf numFmtId="3" fontId="19" fillId="40" borderId="10" xfId="0" applyNumberFormat="1" applyFont="1" applyFill="1" applyBorder="1" applyAlignment="1" applyProtection="1">
      <alignment horizontal="center" vertical="center"/>
      <protection/>
    </xf>
    <xf numFmtId="3" fontId="4" fillId="39" borderId="10" xfId="0" applyNumberFormat="1" applyFont="1" applyFill="1" applyBorder="1" applyAlignment="1" applyProtection="1">
      <alignment vertical="center"/>
      <protection/>
    </xf>
    <xf numFmtId="0" fontId="4" fillId="33" borderId="0" xfId="0" applyFont="1" applyFill="1" applyAlignment="1" applyProtection="1">
      <alignment horizontal="left" vertical="center"/>
      <protection locked="0"/>
    </xf>
    <xf numFmtId="0" fontId="4" fillId="33" borderId="12" xfId="0" applyFont="1" applyFill="1" applyBorder="1" applyAlignment="1" applyProtection="1">
      <alignment horizontal="left" vertical="center"/>
      <protection/>
    </xf>
    <xf numFmtId="3" fontId="5" fillId="35" borderId="10" xfId="0" applyNumberFormat="1" applyFont="1" applyFill="1" applyBorder="1" applyAlignment="1" applyProtection="1">
      <alignment vertical="center"/>
      <protection/>
    </xf>
    <xf numFmtId="0" fontId="4" fillId="34" borderId="0" xfId="0" applyFont="1" applyFill="1" applyAlignment="1" applyProtection="1">
      <alignment horizontal="center" vertical="center"/>
      <protection locked="0"/>
    </xf>
    <xf numFmtId="37" fontId="4" fillId="33" borderId="12" xfId="0" applyNumberFormat="1" applyFont="1" applyFill="1" applyBorder="1" applyAlignment="1" applyProtection="1">
      <alignment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4" fillId="34" borderId="14" xfId="0" applyFont="1" applyFill="1" applyBorder="1" applyAlignment="1">
      <alignment horizontal="center" vertical="center"/>
    </xf>
    <xf numFmtId="0" fontId="4" fillId="34" borderId="16" xfId="0" applyFont="1" applyFill="1" applyBorder="1" applyAlignment="1">
      <alignment vertical="center"/>
    </xf>
    <xf numFmtId="0" fontId="17" fillId="34" borderId="15" xfId="0" applyFont="1" applyFill="1" applyBorder="1" applyAlignment="1">
      <alignment vertical="center"/>
    </xf>
    <xf numFmtId="0" fontId="17" fillId="34" borderId="14" xfId="0" applyFont="1" applyFill="1" applyBorder="1" applyAlignment="1">
      <alignment horizontal="center" vertical="center"/>
    </xf>
    <xf numFmtId="0" fontId="17" fillId="34" borderId="20" xfId="0" applyFont="1" applyFill="1" applyBorder="1" applyAlignment="1">
      <alignment vertical="center"/>
    </xf>
    <xf numFmtId="0" fontId="17" fillId="34" borderId="10" xfId="0" applyFont="1" applyFill="1" applyBorder="1" applyAlignment="1">
      <alignment horizontal="center" vertical="center"/>
    </xf>
    <xf numFmtId="0" fontId="4" fillId="34" borderId="14" xfId="0" applyFont="1" applyFill="1" applyBorder="1" applyAlignment="1">
      <alignment vertical="center"/>
    </xf>
    <xf numFmtId="0" fontId="4" fillId="34" borderId="10" xfId="0" applyFont="1" applyFill="1" applyBorder="1" applyAlignment="1">
      <alignment horizontal="center" vertical="center"/>
    </xf>
    <xf numFmtId="0" fontId="17" fillId="34" borderId="25" xfId="0" applyFont="1" applyFill="1" applyBorder="1" applyAlignment="1">
      <alignment vertical="center"/>
    </xf>
    <xf numFmtId="3" fontId="17" fillId="33" borderId="10" xfId="0" applyNumberFormat="1" applyFont="1" applyFill="1" applyBorder="1" applyAlignment="1" applyProtection="1">
      <alignment horizontal="center" vertical="center"/>
      <protection locked="0"/>
    </xf>
    <xf numFmtId="0" fontId="17" fillId="34" borderId="16" xfId="0" applyFont="1" applyFill="1" applyBorder="1" applyAlignment="1">
      <alignment vertical="center"/>
    </xf>
    <xf numFmtId="3" fontId="17" fillId="35" borderId="10" xfId="0" applyNumberFormat="1" applyFont="1" applyFill="1" applyBorder="1" applyAlignment="1">
      <alignment horizontal="center" vertical="center"/>
    </xf>
    <xf numFmtId="0" fontId="17" fillId="34" borderId="0" xfId="0" applyFont="1" applyFill="1" applyAlignment="1">
      <alignment vertical="center"/>
    </xf>
    <xf numFmtId="3" fontId="17" fillId="34" borderId="0" xfId="0" applyNumberFormat="1" applyFont="1" applyFill="1" applyAlignment="1">
      <alignment horizontal="center" vertical="center"/>
    </xf>
    <xf numFmtId="0" fontId="17" fillId="34" borderId="0" xfId="0" applyFont="1" applyFill="1" applyAlignment="1">
      <alignment horizontal="center" vertical="center"/>
    </xf>
    <xf numFmtId="0" fontId="17" fillId="33" borderId="10" xfId="0" applyFont="1" applyFill="1" applyBorder="1" applyAlignment="1" applyProtection="1">
      <alignment vertical="center"/>
      <protection locked="0"/>
    </xf>
    <xf numFmtId="0" fontId="17" fillId="33" borderId="20" xfId="0" applyFont="1" applyFill="1" applyBorder="1" applyAlignment="1" applyProtection="1">
      <alignment vertical="center"/>
      <protection locked="0"/>
    </xf>
    <xf numFmtId="0" fontId="17" fillId="33" borderId="0" xfId="0" applyFont="1" applyFill="1" applyAlignment="1" applyProtection="1">
      <alignment vertical="center"/>
      <protection locked="0"/>
    </xf>
    <xf numFmtId="0" fontId="17" fillId="33" borderId="14" xfId="0" applyFont="1" applyFill="1" applyBorder="1" applyAlignment="1" applyProtection="1">
      <alignment vertical="center"/>
      <protection locked="0"/>
    </xf>
    <xf numFmtId="0" fontId="17" fillId="33" borderId="17" xfId="0" applyFont="1" applyFill="1" applyBorder="1" applyAlignment="1" applyProtection="1">
      <alignment vertical="center"/>
      <protection locked="0"/>
    </xf>
    <xf numFmtId="0" fontId="17" fillId="33" borderId="22" xfId="0" applyFont="1" applyFill="1" applyBorder="1" applyAlignment="1" applyProtection="1">
      <alignment vertical="center"/>
      <protection locked="0"/>
    </xf>
    <xf numFmtId="3" fontId="17" fillId="34" borderId="10" xfId="0" applyNumberFormat="1" applyFont="1" applyFill="1" applyBorder="1" applyAlignment="1">
      <alignment horizontal="center" vertical="center"/>
    </xf>
    <xf numFmtId="3" fontId="22" fillId="39" borderId="10" xfId="0" applyNumberFormat="1" applyFont="1" applyFill="1" applyBorder="1" applyAlignment="1">
      <alignment horizontal="center" vertical="center"/>
    </xf>
    <xf numFmtId="3" fontId="4" fillId="34" borderId="0" xfId="0" applyNumberFormat="1" applyFont="1" applyFill="1" applyAlignment="1">
      <alignment vertical="center"/>
    </xf>
    <xf numFmtId="3" fontId="4" fillId="0" borderId="0" xfId="0" applyNumberFormat="1" applyFont="1" applyAlignment="1">
      <alignment vertical="center"/>
    </xf>
    <xf numFmtId="3" fontId="22" fillId="35" borderId="10" xfId="0" applyNumberFormat="1" applyFont="1" applyFill="1" applyBorder="1" applyAlignment="1">
      <alignment horizontal="center" vertical="center"/>
    </xf>
    <xf numFmtId="0" fontId="4" fillId="0" borderId="0" xfId="0" applyFont="1" applyAlignment="1">
      <alignment horizontal="centerContinuous" vertical="center"/>
    </xf>
    <xf numFmtId="0" fontId="4" fillId="34" borderId="15" xfId="0" applyFont="1" applyFill="1" applyBorder="1" applyAlignment="1" applyProtection="1">
      <alignment horizontal="centerContinuous" vertical="center"/>
      <protection/>
    </xf>
    <xf numFmtId="1" fontId="4" fillId="34" borderId="12" xfId="0" applyNumberFormat="1" applyFont="1" applyFill="1" applyBorder="1" applyAlignment="1" applyProtection="1">
      <alignment horizontal="centerContinuous" vertical="center"/>
      <protection/>
    </xf>
    <xf numFmtId="164" fontId="4" fillId="34" borderId="10" xfId="0" applyNumberFormat="1" applyFont="1" applyFill="1" applyBorder="1" applyAlignment="1" applyProtection="1">
      <alignment vertical="center"/>
      <protection/>
    </xf>
    <xf numFmtId="37" fontId="4" fillId="34" borderId="10" xfId="0" applyNumberFormat="1" applyFont="1" applyFill="1" applyBorder="1" applyAlignment="1" applyProtection="1">
      <alignment vertical="center"/>
      <protection locked="0"/>
    </xf>
    <xf numFmtId="1" fontId="4" fillId="34" borderId="0" xfId="0" applyNumberFormat="1" applyFont="1" applyFill="1" applyAlignment="1" applyProtection="1">
      <alignment vertical="center"/>
      <protection/>
    </xf>
    <xf numFmtId="1" fontId="6" fillId="34" borderId="0" xfId="0" applyNumberFormat="1" applyFont="1" applyFill="1" applyAlignment="1" applyProtection="1">
      <alignment horizontal="center" vertical="center"/>
      <protection/>
    </xf>
    <xf numFmtId="37" fontId="4" fillId="34" borderId="21" xfId="0" applyNumberFormat="1" applyFont="1" applyFill="1" applyBorder="1" applyAlignment="1" applyProtection="1">
      <alignment vertical="center"/>
      <protection/>
    </xf>
    <xf numFmtId="0" fontId="4" fillId="33" borderId="0" xfId="0" applyFont="1" applyFill="1" applyAlignment="1" applyProtection="1">
      <alignment vertical="center"/>
      <protection locked="0"/>
    </xf>
    <xf numFmtId="0" fontId="4" fillId="34" borderId="15" xfId="0"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3" fontId="4" fillId="33" borderId="10" xfId="0" applyNumberFormat="1" applyFont="1" applyFill="1" applyBorder="1" applyAlignment="1" applyProtection="1">
      <alignment horizontal="center" vertical="center"/>
      <protection locked="0"/>
    </xf>
    <xf numFmtId="184" fontId="4" fillId="34" borderId="10" xfId="0" applyNumberFormat="1" applyFont="1" applyFill="1" applyBorder="1" applyAlignment="1" applyProtection="1">
      <alignment horizontal="center" vertical="center"/>
      <protection/>
    </xf>
    <xf numFmtId="3" fontId="4" fillId="33" borderId="15" xfId="0" applyNumberFormat="1" applyFont="1" applyFill="1" applyBorder="1" applyAlignment="1" applyProtection="1">
      <alignment horizontal="center" vertical="center"/>
      <protection locked="0"/>
    </xf>
    <xf numFmtId="3" fontId="4" fillId="34" borderId="21" xfId="0" applyNumberFormat="1" applyFont="1" applyFill="1" applyBorder="1" applyAlignment="1" applyProtection="1">
      <alignment horizontal="center" vertical="center"/>
      <protection/>
    </xf>
    <xf numFmtId="184" fontId="4" fillId="34" borderId="21"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4" fontId="4" fillId="34" borderId="16" xfId="0" applyNumberFormat="1" applyFont="1" applyFill="1" applyBorder="1" applyAlignment="1" applyProtection="1">
      <alignment horizontal="center" vertical="center"/>
      <protection/>
    </xf>
    <xf numFmtId="184" fontId="4" fillId="34" borderId="0" xfId="0" applyNumberFormat="1" applyFont="1" applyFill="1" applyBorder="1" applyAlignment="1" applyProtection="1">
      <alignment horizontal="center" vertical="center"/>
      <protection/>
    </xf>
    <xf numFmtId="3" fontId="4" fillId="34" borderId="16" xfId="0" applyNumberFormat="1" applyFont="1" applyFill="1" applyBorder="1" applyAlignment="1">
      <alignment horizontal="center" vertical="center"/>
    </xf>
    <xf numFmtId="0" fontId="0" fillId="34" borderId="0" xfId="0" applyFill="1" applyAlignment="1">
      <alignment horizontal="center" vertical="center"/>
    </xf>
    <xf numFmtId="184" fontId="4" fillId="34" borderId="16" xfId="0" applyNumberFormat="1" applyFont="1" applyFill="1" applyBorder="1" applyAlignment="1">
      <alignment horizontal="center" vertical="center"/>
    </xf>
    <xf numFmtId="183" fontId="4" fillId="34" borderId="0" xfId="0" applyNumberFormat="1" applyFont="1" applyFill="1" applyBorder="1" applyAlignment="1" applyProtection="1">
      <alignment vertical="center"/>
      <protection/>
    </xf>
    <xf numFmtId="0" fontId="6" fillId="0" borderId="0" xfId="0" applyFont="1" applyAlignment="1">
      <alignment vertical="center"/>
    </xf>
    <xf numFmtId="0" fontId="27" fillId="0" borderId="0" xfId="0" applyFont="1" applyAlignment="1">
      <alignment horizontal="center" vertical="center"/>
    </xf>
    <xf numFmtId="0" fontId="5" fillId="0" borderId="0" xfId="0" applyFont="1" applyAlignment="1">
      <alignment vertical="center" wrapText="1"/>
    </xf>
    <xf numFmtId="3" fontId="32" fillId="39" borderId="0" xfId="0" applyNumberFormat="1" applyFont="1" applyFill="1" applyAlignment="1">
      <alignment horizontal="center" vertical="center"/>
    </xf>
    <xf numFmtId="0" fontId="4" fillId="0" borderId="0" xfId="443" applyNumberFormat="1" applyFont="1" applyAlignment="1">
      <alignment vertical="center" wrapText="1"/>
      <protection/>
    </xf>
    <xf numFmtId="0" fontId="4" fillId="0" borderId="0" xfId="476" applyNumberFormat="1" applyFont="1" applyAlignment="1">
      <alignment vertical="center" wrapText="1"/>
      <protection/>
    </xf>
    <xf numFmtId="0" fontId="4" fillId="0" borderId="0" xfId="501" applyFont="1" applyAlignment="1">
      <alignment vertical="center" wrapText="1"/>
      <protection/>
    </xf>
    <xf numFmtId="0" fontId="4" fillId="0" borderId="0" xfId="225" applyFont="1" applyAlignment="1">
      <alignment vertical="center" wrapText="1"/>
      <protection/>
    </xf>
    <xf numFmtId="0" fontId="0" fillId="0" borderId="0" xfId="0" applyAlignment="1">
      <alignment/>
    </xf>
    <xf numFmtId="37" fontId="14" fillId="34" borderId="0" xfId="0" applyNumberFormat="1" applyFont="1" applyFill="1" applyBorder="1" applyAlignment="1" applyProtection="1">
      <alignment horizontal="left" vertical="center"/>
      <protection/>
    </xf>
    <xf numFmtId="0" fontId="4" fillId="0" borderId="0" xfId="533" applyFont="1" applyAlignment="1">
      <alignment vertical="center"/>
      <protection/>
    </xf>
    <xf numFmtId="37" fontId="14" fillId="34" borderId="0" xfId="0" applyNumberFormat="1" applyFont="1" applyFill="1" applyBorder="1" applyAlignment="1" applyProtection="1">
      <alignment horizontal="fill" vertical="center"/>
      <protection/>
    </xf>
    <xf numFmtId="0" fontId="12" fillId="0" borderId="0" xfId="516" applyFont="1">
      <alignment/>
      <protection/>
    </xf>
    <xf numFmtId="0" fontId="4" fillId="0" borderId="0" xfId="516" applyFont="1" applyAlignment="1">
      <alignment horizontal="left" vertical="center"/>
      <protection/>
    </xf>
    <xf numFmtId="185" fontId="17" fillId="0" borderId="0" xfId="516" applyNumberFormat="1" applyFont="1" applyAlignment="1">
      <alignment horizontal="left" vertical="center"/>
      <protection/>
    </xf>
    <xf numFmtId="49" fontId="4" fillId="0" borderId="0" xfId="516" applyNumberFormat="1" applyFont="1" applyAlignment="1">
      <alignment horizontal="left" vertical="center"/>
      <protection/>
    </xf>
    <xf numFmtId="0" fontId="17" fillId="0" borderId="0" xfId="516" applyFont="1" applyAlignment="1">
      <alignment horizontal="left" vertical="center"/>
      <protection/>
    </xf>
    <xf numFmtId="186" fontId="17" fillId="0" borderId="0" xfId="516" applyNumberFormat="1" applyFont="1" applyAlignment="1">
      <alignment horizontal="left" vertical="center"/>
      <protection/>
    </xf>
    <xf numFmtId="0" fontId="6" fillId="0" borderId="0" xfId="145" applyFont="1" applyAlignment="1">
      <alignment vertical="center"/>
      <protection/>
    </xf>
    <xf numFmtId="0" fontId="4" fillId="0" borderId="0" xfId="150" applyFont="1" applyAlignment="1">
      <alignment vertical="center"/>
      <protection/>
    </xf>
    <xf numFmtId="0" fontId="21"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52" applyFont="1">
      <alignment/>
      <protection/>
    </xf>
    <xf numFmtId="0" fontId="0" fillId="0" borderId="0" xfId="252" applyFont="1" applyFill="1">
      <alignment/>
      <protection/>
    </xf>
    <xf numFmtId="0" fontId="0" fillId="0" borderId="0" xfId="0" applyFont="1" applyAlignment="1">
      <alignment/>
    </xf>
    <xf numFmtId="0" fontId="1" fillId="0" borderId="0" xfId="0" applyFont="1" applyAlignment="1">
      <alignment horizontal="center"/>
    </xf>
    <xf numFmtId="0" fontId="4" fillId="0" borderId="0" xfId="539" applyFont="1" applyAlignment="1">
      <alignment vertical="center" wrapText="1"/>
      <protection/>
    </xf>
    <xf numFmtId="0" fontId="4" fillId="0" borderId="0" xfId="92" applyFont="1" applyAlignment="1">
      <alignment vertical="center" wrapText="1"/>
      <protection/>
    </xf>
    <xf numFmtId="0" fontId="6" fillId="0" borderId="0" xfId="144" applyFont="1" applyAlignment="1">
      <alignment vertical="center"/>
      <protection/>
    </xf>
    <xf numFmtId="0" fontId="88"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 fontId="17" fillId="35" borderId="17" xfId="0" applyNumberFormat="1" applyFont="1" applyFill="1" applyBorder="1" applyAlignment="1">
      <alignment horizontal="center" vertical="center"/>
    </xf>
    <xf numFmtId="14" fontId="4" fillId="33" borderId="10" xfId="0" applyNumberFormat="1" applyFont="1" applyFill="1" applyBorder="1" applyAlignment="1" applyProtection="1">
      <alignment vertical="center"/>
      <protection locked="0"/>
    </xf>
    <xf numFmtId="14" fontId="4" fillId="33" borderId="10" xfId="0" applyNumberFormat="1" applyFont="1" applyFill="1" applyBorder="1" applyAlignment="1" applyProtection="1">
      <alignment horizontal="center" vertical="center"/>
      <protection locked="0"/>
    </xf>
    <xf numFmtId="3" fontId="4" fillId="33" borderId="12" xfId="0" applyNumberFormat="1" applyFont="1" applyFill="1" applyBorder="1" applyAlignment="1" applyProtection="1">
      <alignment vertical="center"/>
      <protection locked="0"/>
    </xf>
    <xf numFmtId="3" fontId="19" fillId="40" borderId="12" xfId="0" applyNumberFormat="1" applyFont="1" applyFill="1" applyBorder="1" applyAlignment="1" applyProtection="1">
      <alignment horizontal="center" vertical="center"/>
      <protection/>
    </xf>
    <xf numFmtId="3" fontId="5" fillId="35" borderId="12" xfId="0" applyNumberFormat="1" applyFont="1" applyFill="1" applyBorder="1" applyAlignment="1" applyProtection="1">
      <alignment vertical="center"/>
      <protection/>
    </xf>
    <xf numFmtId="0" fontId="4" fillId="34" borderId="25"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vertical="center"/>
      <protection/>
    </xf>
    <xf numFmtId="3" fontId="4" fillId="35" borderId="12" xfId="0" applyNumberFormat="1" applyFont="1" applyFill="1" applyBorder="1" applyAlignment="1" applyProtection="1">
      <alignment vertical="center"/>
      <protection/>
    </xf>
    <xf numFmtId="49" fontId="4" fillId="33" borderId="10" xfId="0" applyNumberFormat="1" applyFont="1" applyFill="1" applyBorder="1" applyAlignment="1" applyProtection="1">
      <alignment horizontal="center" vertical="center"/>
      <protection locked="0"/>
    </xf>
    <xf numFmtId="37" fontId="14" fillId="34" borderId="0" xfId="0" applyNumberFormat="1" applyFont="1" applyFill="1" applyAlignment="1" applyProtection="1">
      <alignment horizontal="center" vertical="center"/>
      <protection locked="0"/>
    </xf>
    <xf numFmtId="37" fontId="14" fillId="34" borderId="0" xfId="0" applyNumberFormat="1" applyFont="1" applyFill="1" applyAlignment="1" applyProtection="1">
      <alignment horizontal="left" vertical="center"/>
      <protection locked="0"/>
    </xf>
    <xf numFmtId="0" fontId="14" fillId="36" borderId="10" xfId="0" applyFont="1" applyFill="1" applyBorder="1" applyAlignment="1" applyProtection="1">
      <alignment horizontal="center" vertical="center"/>
      <protection/>
    </xf>
    <xf numFmtId="37" fontId="14" fillId="34" borderId="27" xfId="0" applyNumberFormat="1" applyFont="1" applyFill="1" applyBorder="1" applyAlignment="1" applyProtection="1">
      <alignment horizontal="center" vertical="center"/>
      <protection/>
    </xf>
    <xf numFmtId="0" fontId="4" fillId="39" borderId="18" xfId="94" applyFont="1" applyFill="1" applyBorder="1" applyAlignment="1" applyProtection="1">
      <alignment vertical="center"/>
      <protection/>
    </xf>
    <xf numFmtId="0" fontId="14" fillId="39" borderId="18" xfId="94" applyFont="1" applyFill="1" applyBorder="1" applyAlignment="1" applyProtection="1">
      <alignment vertical="center"/>
      <protection/>
    </xf>
    <xf numFmtId="37" fontId="14" fillId="34" borderId="17" xfId="105" applyNumberFormat="1" applyFont="1" applyFill="1" applyBorder="1" applyAlignment="1" applyProtection="1">
      <alignment horizontal="center" vertical="center"/>
      <protection/>
    </xf>
    <xf numFmtId="37" fontId="14" fillId="34" borderId="11" xfId="105" applyNumberFormat="1" applyFont="1" applyFill="1" applyBorder="1" applyAlignment="1" applyProtection="1">
      <alignment horizontal="center" vertical="center"/>
      <protection/>
    </xf>
    <xf numFmtId="3" fontId="19" fillId="40" borderId="15" xfId="0" applyNumberFormat="1" applyFont="1" applyFill="1" applyBorder="1" applyAlignment="1" applyProtection="1">
      <alignment horizontal="center" vertical="center"/>
      <protection/>
    </xf>
    <xf numFmtId="0" fontId="5" fillId="34" borderId="18" xfId="0" applyFont="1" applyFill="1" applyBorder="1" applyAlignment="1" applyProtection="1">
      <alignment vertical="center"/>
      <protection/>
    </xf>
    <xf numFmtId="37" fontId="5" fillId="34"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4" fillId="39" borderId="12" xfId="0" applyNumberFormat="1" applyFont="1" applyFill="1" applyBorder="1" applyAlignment="1" applyProtection="1">
      <alignment vertical="center"/>
      <protection/>
    </xf>
    <xf numFmtId="0" fontId="29" fillId="0" borderId="0" xfId="0" applyFont="1" applyAlignment="1">
      <alignment/>
    </xf>
    <xf numFmtId="0" fontId="28" fillId="0" borderId="0" xfId="0" applyFont="1" applyAlignment="1">
      <alignment wrapText="1"/>
    </xf>
    <xf numFmtId="0" fontId="0" fillId="0" borderId="0" xfId="0" applyAlignment="1">
      <alignment vertical="center" wrapText="1"/>
    </xf>
    <xf numFmtId="0" fontId="5" fillId="0" borderId="0" xfId="0" applyFont="1" applyAlignment="1">
      <alignment wrapText="1"/>
    </xf>
    <xf numFmtId="0" fontId="13" fillId="0" borderId="0" xfId="0" applyFont="1" applyAlignment="1">
      <alignment wrapText="1"/>
    </xf>
    <xf numFmtId="0" fontId="33" fillId="0" borderId="0" xfId="0" applyFont="1" applyAlignment="1">
      <alignment vertical="center"/>
    </xf>
    <xf numFmtId="0" fontId="34" fillId="0" borderId="0" xfId="0" applyFont="1" applyAlignment="1">
      <alignment horizontal="center"/>
    </xf>
    <xf numFmtId="37" fontId="4" fillId="34" borderId="11" xfId="94" applyNumberFormat="1" applyFont="1" applyFill="1" applyBorder="1" applyAlignment="1" applyProtection="1">
      <alignment horizontal="center" vertical="center"/>
      <protection/>
    </xf>
    <xf numFmtId="37" fontId="4" fillId="34" borderId="17" xfId="94" applyNumberFormat="1" applyFont="1" applyFill="1" applyBorder="1" applyAlignment="1" applyProtection="1">
      <alignment horizontal="center" vertical="center"/>
      <protection/>
    </xf>
    <xf numFmtId="0" fontId="15" fillId="39" borderId="16" xfId="94" applyFont="1" applyFill="1" applyBorder="1" applyAlignment="1" applyProtection="1">
      <alignment vertical="center"/>
      <protection/>
    </xf>
    <xf numFmtId="190" fontId="15" fillId="39" borderId="25" xfId="94" applyNumberFormat="1" applyFont="1" applyFill="1" applyBorder="1" applyAlignment="1" applyProtection="1">
      <alignment horizontal="center" vertical="center"/>
      <protection/>
    </xf>
    <xf numFmtId="190" fontId="14" fillId="34" borderId="26" xfId="94" applyNumberFormat="1" applyFont="1" applyFill="1" applyBorder="1" applyAlignment="1" applyProtection="1">
      <alignment vertical="center"/>
      <protection/>
    </xf>
    <xf numFmtId="190" fontId="14" fillId="34" borderId="25" xfId="94" applyNumberFormat="1" applyFont="1" applyFill="1" applyBorder="1" applyAlignment="1" applyProtection="1">
      <alignment horizontal="center" vertical="center"/>
      <protection/>
    </xf>
    <xf numFmtId="0" fontId="14" fillId="34" borderId="0" xfId="94" applyFont="1" applyFill="1" applyBorder="1" applyAlignment="1" applyProtection="1">
      <alignment vertical="center"/>
      <protection/>
    </xf>
    <xf numFmtId="0" fontId="14" fillId="34" borderId="22" xfId="94" applyFont="1" applyFill="1" applyBorder="1" applyAlignment="1" applyProtection="1">
      <alignment vertical="center"/>
      <protection/>
    </xf>
    <xf numFmtId="0" fontId="14" fillId="34" borderId="0" xfId="94" applyFont="1" applyFill="1" applyBorder="1" applyAlignment="1" applyProtection="1">
      <alignment horizontal="left" vertical="center"/>
      <protection/>
    </xf>
    <xf numFmtId="0" fontId="40" fillId="0" borderId="0" xfId="0" applyFont="1" applyAlignment="1">
      <alignment vertical="center"/>
    </xf>
    <xf numFmtId="190" fontId="14" fillId="34" borderId="26" xfId="94" applyNumberFormat="1" applyFont="1" applyFill="1" applyBorder="1" applyAlignment="1" applyProtection="1">
      <alignment horizontal="center" vertical="center"/>
      <protection/>
    </xf>
    <xf numFmtId="0" fontId="4" fillId="34" borderId="0" xfId="109" applyFont="1" applyFill="1" applyAlignment="1" applyProtection="1">
      <alignment horizontal="right" vertical="center"/>
      <protection/>
    </xf>
    <xf numFmtId="0" fontId="89" fillId="34" borderId="0" xfId="0"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0" fontId="4" fillId="34" borderId="28" xfId="0" applyFont="1" applyFill="1" applyBorder="1" applyAlignment="1" applyProtection="1">
      <alignment vertical="center"/>
      <protection locked="0"/>
    </xf>
    <xf numFmtId="0" fontId="4" fillId="34" borderId="28" xfId="0" applyFont="1" applyFill="1" applyBorder="1" applyAlignment="1" applyProtection="1">
      <alignment vertical="center"/>
      <protection/>
    </xf>
    <xf numFmtId="37" fontId="4" fillId="34" borderId="28" xfId="0" applyNumberFormat="1" applyFont="1" applyFill="1" applyBorder="1" applyAlignment="1" applyProtection="1">
      <alignment vertical="center"/>
      <protection/>
    </xf>
    <xf numFmtId="164" fontId="4" fillId="34" borderId="17"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fill" vertical="center"/>
      <protection/>
    </xf>
    <xf numFmtId="37" fontId="4" fillId="34" borderId="17" xfId="0" applyNumberFormat="1" applyFont="1" applyFill="1" applyBorder="1" applyAlignment="1" applyProtection="1">
      <alignment vertical="center"/>
      <protection/>
    </xf>
    <xf numFmtId="0" fontId="0" fillId="0" borderId="0" xfId="94">
      <alignment/>
      <protection/>
    </xf>
    <xf numFmtId="37" fontId="4" fillId="34" borderId="15" xfId="94" applyNumberFormat="1" applyFont="1" applyFill="1" applyBorder="1" applyAlignment="1" applyProtection="1">
      <alignment horizontal="center"/>
      <protection/>
    </xf>
    <xf numFmtId="37" fontId="4" fillId="34" borderId="17" xfId="94" applyNumberFormat="1" applyFont="1" applyFill="1" applyBorder="1" applyAlignment="1" applyProtection="1">
      <alignment horizontal="center"/>
      <protection/>
    </xf>
    <xf numFmtId="0" fontId="4" fillId="34" borderId="0" xfId="94" applyFont="1" applyFill="1" applyBorder="1" applyAlignment="1" applyProtection="1">
      <alignment vertical="center"/>
      <protection/>
    </xf>
    <xf numFmtId="0" fontId="4" fillId="34" borderId="26" xfId="94" applyFont="1" applyFill="1" applyBorder="1" applyAlignment="1" applyProtection="1">
      <alignment vertical="center"/>
      <protection/>
    </xf>
    <xf numFmtId="0" fontId="4" fillId="34" borderId="22" xfId="94" applyFont="1" applyFill="1" applyBorder="1" applyAlignment="1" applyProtection="1">
      <alignment vertical="center"/>
      <protection/>
    </xf>
    <xf numFmtId="0" fontId="4" fillId="0" borderId="0" xfId="94" applyFont="1" applyFill="1" applyBorder="1" applyAlignment="1" applyProtection="1">
      <alignment vertical="center"/>
      <protection/>
    </xf>
    <xf numFmtId="0" fontId="14" fillId="41" borderId="26" xfId="105" applyFont="1" applyFill="1" applyBorder="1" applyProtection="1">
      <alignment/>
      <protection/>
    </xf>
    <xf numFmtId="0" fontId="4" fillId="41" borderId="0" xfId="105" applyFont="1" applyFill="1" applyBorder="1" applyProtection="1">
      <alignment/>
      <protection/>
    </xf>
    <xf numFmtId="190" fontId="4" fillId="41" borderId="22" xfId="105" applyNumberFormat="1" applyFont="1" applyFill="1" applyBorder="1" applyAlignment="1" applyProtection="1">
      <alignment horizontal="center"/>
      <protection/>
    </xf>
    <xf numFmtId="0" fontId="4" fillId="41" borderId="25" xfId="105" applyFont="1" applyFill="1" applyBorder="1" applyProtection="1">
      <alignment/>
      <protection/>
    </xf>
    <xf numFmtId="0" fontId="4" fillId="41" borderId="16" xfId="105" applyFont="1" applyFill="1" applyBorder="1" applyProtection="1">
      <alignment/>
      <protection/>
    </xf>
    <xf numFmtId="190" fontId="4" fillId="42" borderId="18" xfId="105" applyNumberFormat="1" applyFont="1" applyFill="1" applyBorder="1" applyAlignment="1" applyProtection="1">
      <alignment horizontal="center"/>
      <protection/>
    </xf>
    <xf numFmtId="0" fontId="4" fillId="0" borderId="0" xfId="105" applyFont="1" applyFill="1" applyBorder="1" applyProtection="1">
      <alignment/>
      <protection/>
    </xf>
    <xf numFmtId="0" fontId="4" fillId="41" borderId="26" xfId="105" applyFont="1" applyFill="1" applyBorder="1" applyProtection="1">
      <alignment/>
      <protection/>
    </xf>
    <xf numFmtId="0" fontId="4" fillId="41" borderId="22" xfId="105" applyFont="1" applyFill="1" applyBorder="1" applyProtection="1">
      <alignment/>
      <protection/>
    </xf>
    <xf numFmtId="183" fontId="4" fillId="41" borderId="22" xfId="105" applyNumberFormat="1" applyFont="1" applyFill="1" applyBorder="1" applyAlignment="1" applyProtection="1">
      <alignment horizontal="center"/>
      <protection/>
    </xf>
    <xf numFmtId="0" fontId="4" fillId="42" borderId="26" xfId="105" applyFont="1" applyFill="1" applyBorder="1" applyProtection="1">
      <alignment/>
      <protection/>
    </xf>
    <xf numFmtId="0" fontId="4" fillId="42" borderId="0" xfId="105" applyFont="1" applyFill="1" applyBorder="1" applyProtection="1">
      <alignment/>
      <protection/>
    </xf>
    <xf numFmtId="0" fontId="4" fillId="42" borderId="25" xfId="105" applyFont="1" applyFill="1" applyBorder="1" applyProtection="1">
      <alignment/>
      <protection/>
    </xf>
    <xf numFmtId="0" fontId="4" fillId="42" borderId="16" xfId="105" applyFont="1" applyFill="1" applyBorder="1" applyProtection="1">
      <alignment/>
      <protection/>
    </xf>
    <xf numFmtId="0" fontId="4" fillId="0" borderId="0" xfId="105" applyFont="1" applyProtection="1">
      <alignment/>
      <protection/>
    </xf>
    <xf numFmtId="190" fontId="4" fillId="41" borderId="18" xfId="105" applyNumberFormat="1" applyFont="1" applyFill="1" applyBorder="1" applyAlignment="1" applyProtection="1">
      <alignment horizontal="center"/>
      <protection/>
    </xf>
    <xf numFmtId="184" fontId="4" fillId="43" borderId="22" xfId="105" applyNumberFormat="1" applyFont="1" applyFill="1" applyBorder="1" applyAlignment="1" applyProtection="1">
      <alignment horizontal="center"/>
      <protection locked="0"/>
    </xf>
    <xf numFmtId="37" fontId="4" fillId="44" borderId="21" xfId="0" applyNumberFormat="1" applyFont="1" applyFill="1" applyBorder="1" applyAlignment="1" applyProtection="1">
      <alignment vertical="center"/>
      <protection/>
    </xf>
    <xf numFmtId="0" fontId="29" fillId="0" borderId="0" xfId="0" applyFont="1" applyAlignment="1">
      <alignment vertical="center"/>
    </xf>
    <xf numFmtId="0" fontId="42" fillId="0" borderId="0" xfId="0" applyFont="1" applyBorder="1" applyAlignment="1">
      <alignment horizontal="centerContinuous"/>
    </xf>
    <xf numFmtId="0" fontId="42" fillId="0" borderId="0" xfId="0" applyFont="1" applyBorder="1" applyAlignment="1">
      <alignment/>
    </xf>
    <xf numFmtId="0" fontId="42" fillId="0" borderId="0" xfId="0" applyFont="1" applyAlignment="1">
      <alignment/>
    </xf>
    <xf numFmtId="0" fontId="4" fillId="0" borderId="0" xfId="94" applyFont="1" applyAlignment="1">
      <alignment vertical="center"/>
      <protection/>
    </xf>
    <xf numFmtId="0" fontId="4" fillId="0" borderId="0" xfId="109" applyFont="1" applyAlignment="1">
      <alignment vertical="center"/>
      <protection/>
    </xf>
    <xf numFmtId="0" fontId="4" fillId="0" borderId="0" xfId="94" applyFont="1">
      <alignment/>
      <protection/>
    </xf>
    <xf numFmtId="0" fontId="43" fillId="0" borderId="0" xfId="94" applyFont="1" applyAlignment="1">
      <alignment horizontal="center"/>
      <protection/>
    </xf>
    <xf numFmtId="0" fontId="4" fillId="0" borderId="0" xfId="94" applyFont="1" applyAlignment="1">
      <alignment wrapText="1"/>
      <protection/>
    </xf>
    <xf numFmtId="0" fontId="44" fillId="0" borderId="0" xfId="79" applyFont="1" applyAlignment="1" applyProtection="1">
      <alignment/>
      <protection/>
    </xf>
    <xf numFmtId="0" fontId="4" fillId="0" borderId="0" xfId="109" applyFont="1" applyAlignment="1">
      <alignment vertical="center" wrapText="1"/>
      <protection/>
    </xf>
    <xf numFmtId="0" fontId="90" fillId="41" borderId="0" xfId="0" applyFont="1" applyFill="1" applyAlignment="1">
      <alignment/>
    </xf>
    <xf numFmtId="0" fontId="90" fillId="41" borderId="29" xfId="0" applyFont="1" applyFill="1" applyBorder="1" applyAlignment="1">
      <alignment/>
    </xf>
    <xf numFmtId="0" fontId="91" fillId="0" borderId="0" xfId="0" applyFont="1" applyBorder="1" applyAlignment="1">
      <alignment/>
    </xf>
    <xf numFmtId="0" fontId="90" fillId="0" borderId="0" xfId="0" applyFont="1" applyBorder="1" applyAlignment="1">
      <alignment horizontal="centerContinuous"/>
    </xf>
    <xf numFmtId="0" fontId="90" fillId="41" borderId="29" xfId="0" applyFont="1" applyFill="1" applyBorder="1" applyAlignment="1">
      <alignment/>
    </xf>
    <xf numFmtId="0" fontId="90" fillId="41" borderId="30" xfId="0" applyFont="1" applyFill="1" applyBorder="1" applyAlignment="1">
      <alignment horizontal="centerContinuous" vertical="center"/>
    </xf>
    <xf numFmtId="190" fontId="90" fillId="41" borderId="0" xfId="0" applyNumberFormat="1" applyFont="1" applyFill="1" applyBorder="1" applyAlignment="1">
      <alignment horizontal="centerContinuous" vertical="center"/>
    </xf>
    <xf numFmtId="0" fontId="90" fillId="41" borderId="0" xfId="0" applyFont="1" applyFill="1" applyBorder="1" applyAlignment="1">
      <alignment horizontal="centerContinuous" vertical="center"/>
    </xf>
    <xf numFmtId="184" fontId="90" fillId="41" borderId="0" xfId="0" applyNumberFormat="1" applyFont="1" applyFill="1" applyBorder="1" applyAlignment="1" applyProtection="1">
      <alignment horizontal="centerContinuous" vertical="center"/>
      <protection locked="0"/>
    </xf>
    <xf numFmtId="191" fontId="90" fillId="41" borderId="0" xfId="0" applyNumberFormat="1" applyFont="1" applyFill="1" applyBorder="1" applyAlignment="1">
      <alignment horizontal="centerContinuous" vertical="center"/>
    </xf>
    <xf numFmtId="0" fontId="90" fillId="41" borderId="31" xfId="0" applyFont="1" applyFill="1" applyBorder="1" applyAlignment="1">
      <alignment horizontal="centerContinuous" vertical="center"/>
    </xf>
    <xf numFmtId="0" fontId="90" fillId="41" borderId="30" xfId="0" applyFont="1" applyFill="1" applyBorder="1" applyAlignment="1">
      <alignment horizontal="centerContinuous"/>
    </xf>
    <xf numFmtId="190" fontId="90" fillId="41" borderId="0" xfId="0" applyNumberFormat="1" applyFont="1" applyFill="1" applyBorder="1" applyAlignment="1">
      <alignment horizontal="centerContinuous"/>
    </xf>
    <xf numFmtId="0" fontId="90" fillId="41" borderId="0" xfId="0" applyFont="1" applyFill="1" applyBorder="1" applyAlignment="1">
      <alignment horizontal="centerContinuous"/>
    </xf>
    <xf numFmtId="184" fontId="90" fillId="41" borderId="0" xfId="0" applyNumberFormat="1" applyFont="1" applyFill="1" applyBorder="1" applyAlignment="1" applyProtection="1">
      <alignment horizontal="centerContinuous"/>
      <protection locked="0"/>
    </xf>
    <xf numFmtId="191" fontId="90" fillId="41" borderId="0" xfId="0" applyNumberFormat="1" applyFont="1" applyFill="1" applyBorder="1" applyAlignment="1">
      <alignment horizontal="centerContinuous"/>
    </xf>
    <xf numFmtId="0" fontId="90" fillId="41" borderId="31" xfId="0" applyFont="1" applyFill="1" applyBorder="1" applyAlignment="1">
      <alignment horizontal="centerContinuous"/>
    </xf>
    <xf numFmtId="0" fontId="42" fillId="45" borderId="0" xfId="0" applyFont="1" applyFill="1" applyAlignment="1">
      <alignment/>
    </xf>
    <xf numFmtId="0" fontId="42" fillId="41" borderId="0" xfId="0" applyFont="1" applyFill="1" applyAlignment="1">
      <alignment/>
    </xf>
    <xf numFmtId="0" fontId="90" fillId="45" borderId="0" xfId="0" applyFont="1" applyFill="1" applyAlignment="1">
      <alignment horizontal="center" wrapText="1"/>
    </xf>
    <xf numFmtId="0" fontId="42" fillId="41" borderId="0" xfId="0" applyFont="1" applyFill="1" applyAlignment="1">
      <alignment horizontal="center"/>
    </xf>
    <xf numFmtId="0" fontId="42" fillId="41" borderId="32" xfId="0" applyFont="1" applyFill="1" applyBorder="1" applyAlignment="1">
      <alignment/>
    </xf>
    <xf numFmtId="0" fontId="42" fillId="41" borderId="33" xfId="0" applyFont="1" applyFill="1" applyBorder="1" applyAlignment="1">
      <alignment/>
    </xf>
    <xf numFmtId="190" fontId="42" fillId="41" borderId="34" xfId="0" applyNumberFormat="1" applyFont="1" applyFill="1" applyBorder="1" applyAlignment="1">
      <alignment/>
    </xf>
    <xf numFmtId="0" fontId="42" fillId="41" borderId="0" xfId="0" applyFont="1" applyFill="1" applyBorder="1" applyAlignment="1">
      <alignment/>
    </xf>
    <xf numFmtId="190" fontId="42" fillId="41" borderId="16" xfId="0" applyNumberFormat="1" applyFont="1" applyFill="1" applyBorder="1" applyAlignment="1">
      <alignment horizontal="center"/>
    </xf>
    <xf numFmtId="0" fontId="42" fillId="41" borderId="31" xfId="0" applyFont="1" applyFill="1" applyBorder="1" applyAlignment="1">
      <alignment/>
    </xf>
    <xf numFmtId="0" fontId="42" fillId="41" borderId="35" xfId="0" applyFont="1" applyFill="1" applyBorder="1" applyAlignment="1">
      <alignment/>
    </xf>
    <xf numFmtId="0" fontId="42" fillId="41" borderId="36" xfId="0" applyFont="1" applyFill="1" applyBorder="1" applyAlignment="1">
      <alignment/>
    </xf>
    <xf numFmtId="0" fontId="42" fillId="41" borderId="37" xfId="0" applyFont="1" applyFill="1" applyBorder="1" applyAlignment="1">
      <alignment/>
    </xf>
    <xf numFmtId="190" fontId="42" fillId="41" borderId="0" xfId="0" applyNumberFormat="1" applyFont="1" applyFill="1" applyAlignment="1">
      <alignment/>
    </xf>
    <xf numFmtId="0" fontId="42" fillId="41" borderId="29" xfId="0" applyFont="1" applyFill="1" applyBorder="1" applyAlignment="1">
      <alignment/>
    </xf>
    <xf numFmtId="0" fontId="42" fillId="41" borderId="30" xfId="0" applyFont="1" applyFill="1" applyBorder="1" applyAlignment="1">
      <alignment/>
    </xf>
    <xf numFmtId="190" fontId="42" fillId="43" borderId="34" xfId="0" applyNumberFormat="1" applyFont="1" applyFill="1" applyBorder="1" applyAlignment="1" applyProtection="1">
      <alignment horizontal="center"/>
      <protection locked="0"/>
    </xf>
    <xf numFmtId="184" fontId="42" fillId="41" borderId="0" xfId="0" applyNumberFormat="1" applyFont="1" applyFill="1" applyBorder="1" applyAlignment="1">
      <alignment horizontal="center"/>
    </xf>
    <xf numFmtId="190" fontId="42" fillId="0" borderId="0" xfId="0" applyNumberFormat="1" applyFont="1" applyAlignment="1">
      <alignment/>
    </xf>
    <xf numFmtId="0" fontId="42" fillId="45" borderId="0" xfId="0" applyFont="1" applyFill="1" applyBorder="1" applyAlignment="1">
      <alignment/>
    </xf>
    <xf numFmtId="0" fontId="42" fillId="41" borderId="38" xfId="0" applyFont="1" applyFill="1" applyBorder="1" applyAlignment="1">
      <alignment/>
    </xf>
    <xf numFmtId="0" fontId="42" fillId="41" borderId="27" xfId="0" applyFont="1" applyFill="1" applyBorder="1" applyAlignment="1">
      <alignment/>
    </xf>
    <xf numFmtId="0" fontId="42" fillId="41" borderId="39" xfId="0" applyFont="1" applyFill="1" applyBorder="1" applyAlignment="1">
      <alignment/>
    </xf>
    <xf numFmtId="5" fontId="42" fillId="41" borderId="36" xfId="0" applyNumberFormat="1" applyFont="1" applyFill="1" applyBorder="1" applyAlignment="1">
      <alignment horizontal="center"/>
    </xf>
    <xf numFmtId="0" fontId="42" fillId="41" borderId="36" xfId="0" applyFont="1" applyFill="1" applyBorder="1" applyAlignment="1">
      <alignment horizontal="center"/>
    </xf>
    <xf numFmtId="184" fontId="42" fillId="41" borderId="36" xfId="0" applyNumberFormat="1" applyFont="1" applyFill="1" applyBorder="1" applyAlignment="1">
      <alignment horizontal="center"/>
    </xf>
    <xf numFmtId="191" fontId="42" fillId="41" borderId="36" xfId="0" applyNumberFormat="1" applyFont="1" applyFill="1" applyBorder="1" applyAlignment="1">
      <alignment horizontal="center"/>
    </xf>
    <xf numFmtId="0" fontId="42" fillId="41" borderId="0" xfId="0" applyFont="1" applyFill="1" applyAlignment="1">
      <alignment horizontal="center" wrapText="1"/>
    </xf>
    <xf numFmtId="0" fontId="42" fillId="41" borderId="32" xfId="0" applyFont="1" applyFill="1" applyBorder="1" applyAlignment="1">
      <alignment/>
    </xf>
    <xf numFmtId="0" fontId="42" fillId="41" borderId="33" xfId="0" applyFont="1" applyFill="1" applyBorder="1" applyAlignment="1">
      <alignment/>
    </xf>
    <xf numFmtId="0" fontId="42" fillId="41" borderId="30" xfId="0" applyFont="1" applyFill="1" applyBorder="1" applyAlignment="1">
      <alignment/>
    </xf>
    <xf numFmtId="0" fontId="42" fillId="41" borderId="31" xfId="0" applyFont="1" applyFill="1" applyBorder="1" applyAlignment="1">
      <alignment/>
    </xf>
    <xf numFmtId="0" fontId="42" fillId="41" borderId="38" xfId="0" applyFont="1" applyFill="1" applyBorder="1" applyAlignment="1">
      <alignment/>
    </xf>
    <xf numFmtId="0" fontId="42" fillId="41" borderId="27" xfId="0" applyFont="1" applyFill="1" applyBorder="1" applyAlignment="1">
      <alignment/>
    </xf>
    <xf numFmtId="0" fontId="42" fillId="41" borderId="39" xfId="0" applyFont="1" applyFill="1" applyBorder="1" applyAlignment="1">
      <alignment/>
    </xf>
    <xf numFmtId="183" fontId="42" fillId="41" borderId="0" xfId="0" applyNumberFormat="1" applyFont="1" applyFill="1" applyBorder="1" applyAlignment="1">
      <alignment horizontal="center"/>
    </xf>
    <xf numFmtId="0" fontId="42" fillId="41" borderId="35" xfId="0" applyFont="1" applyFill="1" applyBorder="1" applyAlignment="1">
      <alignment/>
    </xf>
    <xf numFmtId="5" fontId="42" fillId="41" borderId="0" xfId="0" applyNumberFormat="1" applyFont="1" applyFill="1" applyBorder="1" applyAlignment="1">
      <alignment horizontal="center"/>
    </xf>
    <xf numFmtId="0" fontId="42" fillId="45" borderId="0" xfId="0" applyFont="1" applyFill="1" applyAlignment="1">
      <alignment/>
    </xf>
    <xf numFmtId="184" fontId="42" fillId="43" borderId="16" xfId="0" applyNumberFormat="1" applyFont="1" applyFill="1" applyBorder="1" applyAlignment="1" applyProtection="1">
      <alignment horizontal="center"/>
      <protection locked="0"/>
    </xf>
    <xf numFmtId="191" fontId="42" fillId="41" borderId="0" xfId="0" applyNumberFormat="1" applyFont="1" applyFill="1" applyBorder="1" applyAlignment="1">
      <alignment/>
    </xf>
    <xf numFmtId="190" fontId="42" fillId="41" borderId="36" xfId="0" applyNumberFormat="1" applyFont="1" applyFill="1" applyBorder="1" applyAlignment="1">
      <alignment horizontal="center"/>
    </xf>
    <xf numFmtId="184" fontId="42" fillId="41" borderId="36" xfId="0" applyNumberFormat="1" applyFont="1" applyFill="1" applyBorder="1" applyAlignment="1" applyProtection="1">
      <alignment horizontal="center"/>
      <protection locked="0"/>
    </xf>
    <xf numFmtId="191" fontId="42" fillId="41" borderId="36" xfId="0" applyNumberFormat="1" applyFont="1" applyFill="1" applyBorder="1" applyAlignment="1">
      <alignment/>
    </xf>
    <xf numFmtId="184" fontId="42" fillId="41" borderId="0" xfId="0" applyNumberFormat="1" applyFont="1" applyFill="1" applyBorder="1" applyAlignment="1" applyProtection="1">
      <alignment horizontal="center"/>
      <protection locked="0"/>
    </xf>
    <xf numFmtId="190" fontId="42" fillId="41" borderId="32" xfId="0" applyNumberFormat="1" applyFont="1" applyFill="1" applyBorder="1" applyAlignment="1">
      <alignment horizontal="center"/>
    </xf>
    <xf numFmtId="0" fontId="42" fillId="41" borderId="32" xfId="0" applyFont="1" applyFill="1" applyBorder="1" applyAlignment="1">
      <alignment horizontal="center"/>
    </xf>
    <xf numFmtId="184" fontId="42" fillId="41" borderId="32" xfId="0" applyNumberFormat="1" applyFont="1" applyFill="1" applyBorder="1" applyAlignment="1" applyProtection="1">
      <alignment horizontal="center"/>
      <protection locked="0"/>
    </xf>
    <xf numFmtId="191" fontId="42" fillId="41" borderId="32" xfId="0" applyNumberFormat="1" applyFont="1" applyFill="1" applyBorder="1" applyAlignment="1">
      <alignment/>
    </xf>
    <xf numFmtId="190" fontId="42" fillId="41" borderId="0" xfId="0" applyNumberFormat="1" applyFont="1" applyFill="1" applyBorder="1" applyAlignment="1" applyProtection="1">
      <alignment horizontal="center"/>
      <protection locked="0"/>
    </xf>
    <xf numFmtId="0" fontId="42" fillId="46" borderId="0" xfId="0" applyFont="1" applyFill="1" applyAlignment="1">
      <alignment/>
    </xf>
    <xf numFmtId="190" fontId="4" fillId="42" borderId="22" xfId="105" applyNumberFormat="1" applyFont="1" applyFill="1" applyBorder="1" applyAlignment="1" applyProtection="1">
      <alignment horizontal="center"/>
      <protection/>
    </xf>
    <xf numFmtId="0" fontId="4" fillId="42" borderId="25" xfId="0" applyFont="1" applyFill="1" applyBorder="1" applyAlignment="1">
      <alignment vertical="center"/>
    </xf>
    <xf numFmtId="0" fontId="4" fillId="42" borderId="16" xfId="0" applyFont="1" applyFill="1" applyBorder="1" applyAlignment="1">
      <alignment vertical="center"/>
    </xf>
    <xf numFmtId="190" fontId="4" fillId="42" borderId="18" xfId="0" applyNumberFormat="1" applyFont="1" applyFill="1" applyBorder="1" applyAlignment="1">
      <alignment horizontal="center" vertical="center"/>
    </xf>
    <xf numFmtId="0" fontId="4" fillId="34" borderId="25" xfId="0" applyFont="1" applyFill="1" applyBorder="1" applyAlignment="1" applyProtection="1">
      <alignment horizontal="center" vertical="center"/>
      <protection/>
    </xf>
    <xf numFmtId="190" fontId="42" fillId="41" borderId="0" xfId="0" applyNumberFormat="1" applyFont="1" applyFill="1" applyBorder="1" applyAlignment="1">
      <alignment horizontal="center"/>
    </xf>
    <xf numFmtId="0" fontId="42" fillId="41" borderId="27" xfId="0" applyFont="1" applyFill="1" applyBorder="1" applyAlignment="1">
      <alignment horizontal="center"/>
    </xf>
    <xf numFmtId="191" fontId="42" fillId="41" borderId="0" xfId="0" applyNumberFormat="1" applyFont="1" applyFill="1" applyBorder="1" applyAlignment="1">
      <alignment horizontal="center"/>
    </xf>
    <xf numFmtId="0" fontId="90" fillId="41" borderId="0" xfId="0" applyFont="1" applyFill="1" applyAlignment="1">
      <alignment horizontal="center" wrapText="1"/>
    </xf>
    <xf numFmtId="190" fontId="42" fillId="43" borderId="16" xfId="0" applyNumberFormat="1" applyFont="1" applyFill="1" applyBorder="1" applyAlignment="1" applyProtection="1">
      <alignment horizontal="center"/>
      <protection locked="0"/>
    </xf>
    <xf numFmtId="0" fontId="90" fillId="41" borderId="0" xfId="0" applyFont="1" applyFill="1" applyAlignment="1">
      <alignment horizontal="center"/>
    </xf>
    <xf numFmtId="190" fontId="42" fillId="41" borderId="0" xfId="0" applyNumberFormat="1" applyFont="1" applyFill="1" applyAlignment="1">
      <alignment horizontal="center"/>
    </xf>
    <xf numFmtId="0" fontId="42" fillId="41" borderId="0" xfId="0" applyFont="1" applyFill="1" applyBorder="1" applyAlignment="1">
      <alignment/>
    </xf>
    <xf numFmtId="0" fontId="42" fillId="41" borderId="37" xfId="0" applyFont="1" applyFill="1" applyBorder="1" applyAlignment="1">
      <alignment/>
    </xf>
    <xf numFmtId="0" fontId="42" fillId="41" borderId="0" xfId="0" applyFont="1" applyFill="1" applyBorder="1" applyAlignment="1">
      <alignment horizontal="center"/>
    </xf>
    <xf numFmtId="0" fontId="4" fillId="34" borderId="26" xfId="0"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0" borderId="0" xfId="518" applyFont="1" applyAlignment="1">
      <alignment horizontal="left" vertical="center"/>
      <protection/>
    </xf>
    <xf numFmtId="0" fontId="92" fillId="0" borderId="0" xfId="0" applyFont="1" applyAlignment="1">
      <alignment/>
    </xf>
    <xf numFmtId="0" fontId="93" fillId="0" borderId="0" xfId="518" applyFont="1">
      <alignment/>
      <protection/>
    </xf>
    <xf numFmtId="185" fontId="94" fillId="0" borderId="0" xfId="518" applyNumberFormat="1" applyFont="1" applyAlignment="1">
      <alignment horizontal="left" vertical="center"/>
      <protection/>
    </xf>
    <xf numFmtId="0" fontId="94" fillId="0" borderId="0" xfId="518" applyNumberFormat="1" applyFont="1" applyAlignment="1">
      <alignment horizontal="left" vertical="center"/>
      <protection/>
    </xf>
    <xf numFmtId="1" fontId="94" fillId="0" borderId="0" xfId="518" applyNumberFormat="1" applyFont="1" applyAlignment="1">
      <alignment horizontal="left" vertical="center"/>
      <protection/>
    </xf>
    <xf numFmtId="0" fontId="95" fillId="0" borderId="0" xfId="518" applyFont="1" applyAlignment="1">
      <alignment horizontal="left" vertical="center"/>
      <protection/>
    </xf>
    <xf numFmtId="0" fontId="4" fillId="41" borderId="0" xfId="0" applyFont="1" applyFill="1" applyAlignment="1" applyProtection="1">
      <alignment vertical="center"/>
      <protection locked="0"/>
    </xf>
    <xf numFmtId="10" fontId="4" fillId="33" borderId="10" xfId="0" applyNumberFormat="1" applyFont="1" applyFill="1" applyBorder="1" applyAlignment="1" applyProtection="1">
      <alignment vertical="center"/>
      <protection locked="0"/>
    </xf>
    <xf numFmtId="0" fontId="4" fillId="34" borderId="15" xfId="0" applyFont="1" applyFill="1" applyBorder="1" applyAlignment="1">
      <alignment horizontal="center" vertical="center"/>
    </xf>
    <xf numFmtId="37" fontId="4" fillId="35" borderId="21" xfId="0" applyNumberFormat="1" applyFont="1" applyFill="1" applyBorder="1" applyAlignment="1" applyProtection="1">
      <alignment horizontal="center" vertical="center"/>
      <protection/>
    </xf>
    <xf numFmtId="177" fontId="4" fillId="35" borderId="21" xfId="0" applyNumberFormat="1" applyFont="1" applyFill="1" applyBorder="1" applyAlignment="1" applyProtection="1">
      <alignment horizontal="center" vertical="center"/>
      <protection/>
    </xf>
    <xf numFmtId="177" fontId="4" fillId="34" borderId="10" xfId="0" applyNumberFormat="1" applyFont="1" applyFill="1" applyBorder="1" applyAlignment="1" applyProtection="1">
      <alignment horizontal="center" vertical="center"/>
      <protection/>
    </xf>
    <xf numFmtId="193" fontId="4" fillId="34" borderId="0" xfId="0" applyNumberFormat="1" applyFont="1" applyFill="1" applyAlignment="1">
      <alignment horizontal="center" vertical="center"/>
    </xf>
    <xf numFmtId="0" fontId="14" fillId="41" borderId="26" xfId="0" applyFont="1" applyFill="1" applyBorder="1" applyAlignment="1" applyProtection="1">
      <alignment vertical="center"/>
      <protection/>
    </xf>
    <xf numFmtId="0" fontId="4" fillId="41" borderId="0" xfId="0" applyFont="1" applyFill="1" applyBorder="1" applyAlignment="1" applyProtection="1">
      <alignment vertical="center"/>
      <protection/>
    </xf>
    <xf numFmtId="0" fontId="14" fillId="41" borderId="0" xfId="0" applyFont="1" applyFill="1" applyBorder="1" applyAlignment="1" applyProtection="1">
      <alignment vertical="center"/>
      <protection/>
    </xf>
    <xf numFmtId="190" fontId="14" fillId="41" borderId="22" xfId="0" applyNumberFormat="1" applyFont="1" applyFill="1" applyBorder="1" applyAlignment="1" applyProtection="1">
      <alignment horizontal="center" vertical="center"/>
      <protection/>
    </xf>
    <xf numFmtId="0" fontId="14" fillId="41" borderId="26" xfId="0" applyFont="1" applyFill="1" applyBorder="1" applyAlignment="1" applyProtection="1">
      <alignment horizontal="left" vertical="center"/>
      <protection/>
    </xf>
    <xf numFmtId="190" fontId="14" fillId="43" borderId="10" xfId="0" applyNumberFormat="1" applyFont="1" applyFill="1" applyBorder="1" applyAlignment="1" applyProtection="1">
      <alignment horizontal="center" vertical="center"/>
      <protection locked="0"/>
    </xf>
    <xf numFmtId="184" fontId="15" fillId="41" borderId="14" xfId="0" applyNumberFormat="1" applyFont="1" applyFill="1" applyBorder="1" applyAlignment="1" applyProtection="1">
      <alignment horizontal="center" vertical="center"/>
      <protection/>
    </xf>
    <xf numFmtId="0" fontId="15" fillId="42" borderId="26"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14" fillId="42" borderId="0" xfId="0" applyFont="1" applyFill="1" applyBorder="1" applyAlignment="1" applyProtection="1">
      <alignment vertical="center"/>
      <protection/>
    </xf>
    <xf numFmtId="190" fontId="15" fillId="42" borderId="14" xfId="0" applyNumberFormat="1" applyFont="1" applyFill="1" applyBorder="1" applyAlignment="1" applyProtection="1">
      <alignment horizontal="center" vertical="center"/>
      <protection/>
    </xf>
    <xf numFmtId="37" fontId="14" fillId="34" borderId="25" xfId="0" applyNumberFormat="1" applyFont="1" applyFill="1" applyBorder="1" applyAlignment="1" applyProtection="1">
      <alignment horizontal="left" vertical="center"/>
      <protection/>
    </xf>
    <xf numFmtId="0" fontId="16" fillId="41" borderId="16" xfId="0" applyFont="1" applyFill="1" applyBorder="1" applyAlignment="1">
      <alignment horizontal="left" vertical="center"/>
    </xf>
    <xf numFmtId="190" fontId="15" fillId="42" borderId="18"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4" fontId="14" fillId="41" borderId="26" xfId="0" applyNumberFormat="1" applyFont="1" applyFill="1" applyBorder="1" applyAlignment="1" applyProtection="1">
      <alignment horizontal="center" vertical="center"/>
      <protection/>
    </xf>
    <xf numFmtId="0" fontId="14" fillId="41" borderId="0" xfId="0" applyFont="1" applyFill="1" applyBorder="1" applyAlignment="1" applyProtection="1">
      <alignment horizontal="left" vertical="center"/>
      <protection/>
    </xf>
    <xf numFmtId="0" fontId="23" fillId="41" borderId="0" xfId="0" applyFont="1" applyFill="1" applyBorder="1" applyAlignment="1" applyProtection="1">
      <alignment horizontal="center" vertical="center"/>
      <protection/>
    </xf>
    <xf numFmtId="0" fontId="0" fillId="41" borderId="22" xfId="0" applyFill="1" applyBorder="1" applyAlignment="1" applyProtection="1">
      <alignment vertical="center"/>
      <protection/>
    </xf>
    <xf numFmtId="184" fontId="14" fillId="42" borderId="25" xfId="0" applyNumberFormat="1" applyFont="1" applyFill="1" applyBorder="1" applyAlignment="1" applyProtection="1">
      <alignment horizontal="center" vertical="center"/>
      <protection/>
    </xf>
    <xf numFmtId="184" fontId="14" fillId="41" borderId="12" xfId="0" applyNumberFormat="1" applyFont="1" applyFill="1" applyBorder="1" applyAlignment="1" applyProtection="1">
      <alignment horizontal="center" vertical="center"/>
      <protection/>
    </xf>
    <xf numFmtId="184" fontId="14" fillId="42" borderId="12" xfId="0" applyNumberFormat="1" applyFont="1" applyFill="1" applyBorder="1" applyAlignment="1" applyProtection="1">
      <alignment horizontal="center" vertical="center"/>
      <protection/>
    </xf>
    <xf numFmtId="0" fontId="14" fillId="41" borderId="16" xfId="0" applyFont="1" applyFill="1" applyBorder="1" applyAlignment="1" applyProtection="1">
      <alignment horizontal="left" vertical="center"/>
      <protection/>
    </xf>
    <xf numFmtId="0" fontId="23" fillId="41" borderId="16" xfId="0" applyFont="1" applyFill="1" applyBorder="1" applyAlignment="1" applyProtection="1">
      <alignment horizontal="center" vertical="center"/>
      <protection/>
    </xf>
    <xf numFmtId="0" fontId="0" fillId="41" borderId="18" xfId="0" applyFill="1" applyBorder="1" applyAlignment="1" applyProtection="1">
      <alignment vertical="center"/>
      <protection/>
    </xf>
    <xf numFmtId="37" fontId="4" fillId="34" borderId="22" xfId="0" applyNumberFormat="1" applyFont="1" applyFill="1" applyBorder="1" applyAlignment="1" applyProtection="1">
      <alignment horizontal="right" vertical="center"/>
      <protection/>
    </xf>
    <xf numFmtId="190" fontId="14" fillId="41" borderId="26" xfId="0" applyNumberFormat="1" applyFont="1" applyFill="1" applyBorder="1" applyAlignment="1" applyProtection="1">
      <alignment horizontal="center" vertical="center"/>
      <protection/>
    </xf>
    <xf numFmtId="0" fontId="14" fillId="41" borderId="22" xfId="0" applyFont="1" applyFill="1" applyBorder="1" applyAlignment="1" applyProtection="1">
      <alignment vertical="center"/>
      <protection/>
    </xf>
    <xf numFmtId="190" fontId="14" fillId="41" borderId="25" xfId="0" applyNumberFormat="1" applyFont="1" applyFill="1" applyBorder="1" applyAlignment="1" applyProtection="1">
      <alignment horizontal="center" vertical="center"/>
      <protection/>
    </xf>
    <xf numFmtId="190" fontId="14" fillId="41" borderId="26" xfId="0" applyNumberFormat="1" applyFont="1" applyFill="1" applyBorder="1" applyAlignment="1" applyProtection="1">
      <alignment vertical="center"/>
      <protection/>
    </xf>
    <xf numFmtId="0" fontId="4" fillId="41" borderId="22" xfId="0" applyFont="1" applyFill="1" applyBorder="1" applyAlignment="1" applyProtection="1">
      <alignment/>
      <protection locked="0"/>
    </xf>
    <xf numFmtId="190" fontId="14" fillId="42" borderId="25" xfId="0" applyNumberFormat="1" applyFont="1" applyFill="1" applyBorder="1" applyAlignment="1" applyProtection="1">
      <alignment horizontal="center" vertical="center"/>
      <protection/>
    </xf>
    <xf numFmtId="0" fontId="14" fillId="42" borderId="16" xfId="0" applyFont="1" applyFill="1" applyBorder="1" applyAlignment="1" applyProtection="1">
      <alignment vertical="center"/>
      <protection/>
    </xf>
    <xf numFmtId="0" fontId="14" fillId="42" borderId="18" xfId="0" applyFont="1" applyFill="1" applyBorder="1" applyAlignment="1" applyProtection="1">
      <alignment vertical="center"/>
      <protection/>
    </xf>
    <xf numFmtId="37" fontId="4" fillId="42" borderId="18" xfId="0" applyNumberFormat="1" applyFont="1" applyFill="1" applyBorder="1" applyAlignment="1" applyProtection="1">
      <alignment horizontal="right" vertical="center"/>
      <protection/>
    </xf>
    <xf numFmtId="0" fontId="4" fillId="41" borderId="26" xfId="0" applyFont="1" applyFill="1" applyBorder="1" applyAlignment="1" applyProtection="1">
      <alignment vertical="center"/>
      <protection/>
    </xf>
    <xf numFmtId="190" fontId="17" fillId="41" borderId="26" xfId="0" applyNumberFormat="1" applyFont="1" applyFill="1" applyBorder="1" applyAlignment="1" applyProtection="1">
      <alignment horizontal="center" vertical="center"/>
      <protection/>
    </xf>
    <xf numFmtId="0" fontId="4" fillId="41" borderId="22" xfId="0" applyFont="1" applyFill="1" applyBorder="1" applyAlignment="1" applyProtection="1">
      <alignment vertical="center"/>
      <protection/>
    </xf>
    <xf numFmtId="190" fontId="17" fillId="41" borderId="26" xfId="0" applyNumberFormat="1" applyFont="1" applyFill="1" applyBorder="1" applyAlignment="1" applyProtection="1">
      <alignment vertical="center"/>
      <protection/>
    </xf>
    <xf numFmtId="0" fontId="17" fillId="41" borderId="0" xfId="0" applyFont="1" applyFill="1" applyBorder="1" applyAlignment="1" applyProtection="1">
      <alignment vertical="center"/>
      <protection/>
    </xf>
    <xf numFmtId="190" fontId="17" fillId="41" borderId="25" xfId="0" applyNumberFormat="1" applyFont="1" applyFill="1" applyBorder="1" applyAlignment="1" applyProtection="1">
      <alignment horizontal="center" vertical="center"/>
      <protection/>
    </xf>
    <xf numFmtId="190" fontId="17" fillId="42" borderId="25" xfId="0" applyNumberFormat="1" applyFont="1" applyFill="1" applyBorder="1" applyAlignment="1" applyProtection="1">
      <alignment horizontal="center" vertical="center"/>
      <protection/>
    </xf>
    <xf numFmtId="0" fontId="4" fillId="42" borderId="18" xfId="0" applyFont="1" applyFill="1" applyBorder="1" applyAlignment="1" applyProtection="1">
      <alignment vertical="center"/>
      <protection/>
    </xf>
    <xf numFmtId="0" fontId="4" fillId="42" borderId="18" xfId="0" applyFont="1" applyFill="1" applyBorder="1" applyAlignment="1" applyProtection="1">
      <alignment/>
      <protection locked="0"/>
    </xf>
    <xf numFmtId="193" fontId="4" fillId="33" borderId="10" xfId="0" applyNumberFormat="1" applyFont="1" applyFill="1" applyBorder="1" applyAlignment="1" applyProtection="1">
      <alignment vertical="center"/>
      <protection locked="0"/>
    </xf>
    <xf numFmtId="37" fontId="4" fillId="34" borderId="16" xfId="94" applyNumberFormat="1" applyFont="1" applyFill="1" applyBorder="1" applyAlignment="1" applyProtection="1">
      <alignment horizontal="left" vertical="center"/>
      <protection/>
    </xf>
    <xf numFmtId="193" fontId="4" fillId="33" borderId="10" xfId="0" applyNumberFormat="1" applyFont="1" applyFill="1" applyBorder="1" applyAlignment="1" applyProtection="1">
      <alignment vertical="center"/>
      <protection locked="0"/>
    </xf>
    <xf numFmtId="37" fontId="4" fillId="34" borderId="13" xfId="90" applyNumberFormat="1" applyFont="1" applyFill="1" applyBorder="1" applyAlignment="1" applyProtection="1">
      <alignment horizontal="left" vertical="center"/>
      <protection/>
    </xf>
    <xf numFmtId="1" fontId="4" fillId="34" borderId="19"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center" vertical="center"/>
      <protection/>
    </xf>
    <xf numFmtId="0" fontId="14" fillId="34" borderId="18" xfId="0" applyFont="1" applyFill="1" applyBorder="1" applyAlignment="1" applyProtection="1">
      <alignment vertical="center"/>
      <protection/>
    </xf>
    <xf numFmtId="0" fontId="14" fillId="0" borderId="0" xfId="94" applyFont="1" applyFill="1" applyBorder="1" applyAlignment="1" applyProtection="1">
      <alignment vertical="center"/>
      <protection/>
    </xf>
    <xf numFmtId="190" fontId="15" fillId="0" borderId="0" xfId="94" applyNumberFormat="1" applyFont="1" applyFill="1" applyBorder="1" applyAlignment="1" applyProtection="1">
      <alignment horizontal="center" vertical="center"/>
      <protection/>
    </xf>
    <xf numFmtId="0" fontId="15" fillId="0" borderId="0" xfId="94" applyFont="1" applyFill="1" applyBorder="1" applyAlignment="1" applyProtection="1">
      <alignment vertical="center"/>
      <protection/>
    </xf>
    <xf numFmtId="37" fontId="14" fillId="34" borderId="10" xfId="0" applyNumberFormat="1" applyFont="1" applyFill="1" applyBorder="1" applyAlignment="1" applyProtection="1">
      <alignment horizontal="right" vertical="center"/>
      <protection/>
    </xf>
    <xf numFmtId="192" fontId="14" fillId="34" borderId="10" xfId="0" applyNumberFormat="1" applyFont="1" applyFill="1" applyBorder="1" applyAlignment="1" applyProtection="1">
      <alignment horizontal="right" vertical="center"/>
      <protection/>
    </xf>
    <xf numFmtId="183" fontId="4" fillId="34" borderId="10" xfId="0" applyNumberFormat="1" applyFont="1" applyFill="1" applyBorder="1" applyAlignment="1" applyProtection="1">
      <alignment horizontal="right" vertical="center"/>
      <protection/>
    </xf>
    <xf numFmtId="0" fontId="14" fillId="34" borderId="10" xfId="0" applyFont="1" applyFill="1" applyBorder="1" applyAlignment="1" applyProtection="1">
      <alignment horizontal="right" vertical="center"/>
      <protection/>
    </xf>
    <xf numFmtId="0" fontId="14" fillId="34" borderId="15" xfId="0" applyFont="1" applyFill="1" applyBorder="1" applyAlignment="1" applyProtection="1">
      <alignment horizontal="right" vertical="center"/>
      <protection/>
    </xf>
    <xf numFmtId="37" fontId="14" fillId="34" borderId="21" xfId="0" applyNumberFormat="1" applyFont="1" applyFill="1" applyBorder="1" applyAlignment="1" applyProtection="1">
      <alignment horizontal="right" vertical="center"/>
      <protection/>
    </xf>
    <xf numFmtId="183" fontId="14" fillId="34" borderId="21" xfId="0" applyNumberFormat="1" applyFont="1" applyFill="1" applyBorder="1" applyAlignment="1" applyProtection="1">
      <alignment horizontal="right" vertical="center"/>
      <protection/>
    </xf>
    <xf numFmtId="0" fontId="4" fillId="0" borderId="0" xfId="88" applyFont="1" applyAlignment="1">
      <alignment vertical="center" wrapText="1"/>
      <protection/>
    </xf>
    <xf numFmtId="0" fontId="4" fillId="0" borderId="0" xfId="145" applyFont="1" applyAlignment="1">
      <alignment vertical="center"/>
      <protection/>
    </xf>
    <xf numFmtId="37" fontId="14" fillId="34" borderId="0" xfId="0" applyNumberFormat="1" applyFont="1" applyFill="1" applyBorder="1" applyAlignment="1" applyProtection="1">
      <alignment horizontal="fill" vertical="center"/>
      <protection locked="0"/>
    </xf>
    <xf numFmtId="0" fontId="14" fillId="34" borderId="0" xfId="0" applyFont="1" applyFill="1" applyBorder="1" applyAlignment="1" applyProtection="1">
      <alignment vertical="center"/>
      <protection locked="0"/>
    </xf>
    <xf numFmtId="0" fontId="14" fillId="34" borderId="0" xfId="0" applyFont="1" applyFill="1" applyBorder="1" applyAlignment="1" applyProtection="1">
      <alignment horizontal="centerContinuous" vertical="center"/>
      <protection locked="0"/>
    </xf>
    <xf numFmtId="37" fontId="14" fillId="34" borderId="0" xfId="0" applyNumberFormat="1" applyFont="1" applyFill="1" applyBorder="1" applyAlignment="1" applyProtection="1">
      <alignment horizontal="centerContinuous" vertical="center"/>
      <protection/>
    </xf>
    <xf numFmtId="0" fontId="4" fillId="0" borderId="0" xfId="101" applyFont="1" applyAlignment="1">
      <alignment vertical="center" wrapText="1"/>
      <protection/>
    </xf>
    <xf numFmtId="0" fontId="4" fillId="0" borderId="0" xfId="133" applyFont="1" applyAlignment="1">
      <alignment vertical="center" wrapText="1"/>
      <protection/>
    </xf>
    <xf numFmtId="0" fontId="97" fillId="41" borderId="14" xfId="0" applyFont="1" applyFill="1" applyBorder="1" applyAlignment="1" applyProtection="1">
      <alignment horizontal="center" vertical="center"/>
      <protection locked="0"/>
    </xf>
    <xf numFmtId="0" fontId="5" fillId="41" borderId="13" xfId="0" applyFont="1" applyFill="1" applyBorder="1" applyAlignment="1" applyProtection="1">
      <alignment horizontal="centerContinuous" vertical="center"/>
      <protection locked="0"/>
    </xf>
    <xf numFmtId="0" fontId="97" fillId="41" borderId="14" xfId="0" applyFont="1" applyFill="1" applyBorder="1" applyAlignment="1">
      <alignment horizontal="center" vertical="center"/>
    </xf>
    <xf numFmtId="0" fontId="5" fillId="41" borderId="13" xfId="0" applyFont="1" applyFill="1" applyBorder="1" applyAlignment="1">
      <alignment horizontal="centerContinuous" vertical="center"/>
    </xf>
    <xf numFmtId="0" fontId="4" fillId="0" borderId="0" xfId="0" applyFont="1" applyAlignment="1">
      <alignment wrapText="1"/>
    </xf>
    <xf numFmtId="0" fontId="4" fillId="33" borderId="12" xfId="0" applyFont="1" applyFill="1" applyBorder="1" applyAlignment="1" applyProtection="1">
      <alignment vertical="center"/>
      <protection locked="0"/>
    </xf>
    <xf numFmtId="0" fontId="4" fillId="33" borderId="13" xfId="0" applyFont="1" applyFill="1" applyBorder="1" applyAlignment="1" applyProtection="1">
      <alignment vertical="center"/>
      <protection/>
    </xf>
    <xf numFmtId="37" fontId="4" fillId="33" borderId="14" xfId="0" applyNumberFormat="1" applyFont="1" applyFill="1" applyBorder="1" applyAlignment="1" applyProtection="1">
      <alignment horizontal="left" vertical="center"/>
      <protection locked="0"/>
    </xf>
    <xf numFmtId="3" fontId="4" fillId="34" borderId="15" xfId="0" applyNumberFormat="1" applyFont="1" applyFill="1" applyBorder="1" applyAlignment="1" applyProtection="1">
      <alignment vertical="center"/>
      <protection/>
    </xf>
    <xf numFmtId="3" fontId="20" fillId="34" borderId="27" xfId="0" applyNumberFormat="1" applyFont="1" applyFill="1" applyBorder="1" applyAlignment="1" applyProtection="1">
      <alignment horizontal="center" vertical="center"/>
      <protection/>
    </xf>
    <xf numFmtId="0" fontId="20" fillId="34" borderId="27" xfId="0" applyFont="1" applyFill="1" applyBorder="1" applyAlignment="1" applyProtection="1">
      <alignment horizontal="center" vertical="center"/>
      <protection/>
    </xf>
    <xf numFmtId="0" fontId="4" fillId="0" borderId="0" xfId="90" applyFont="1" applyAlignment="1">
      <alignment horizontal="left" vertical="center"/>
      <protection/>
    </xf>
    <xf numFmtId="0" fontId="4" fillId="43" borderId="10" xfId="0" applyFont="1" applyFill="1" applyBorder="1" applyAlignment="1" applyProtection="1">
      <alignment/>
      <protection locked="0"/>
    </xf>
    <xf numFmtId="49" fontId="4" fillId="33" borderId="10" xfId="516" applyNumberFormat="1" applyFont="1" applyFill="1" applyBorder="1" applyAlignment="1" applyProtection="1">
      <alignment horizontal="left" vertical="center"/>
      <protection locked="0"/>
    </xf>
    <xf numFmtId="0" fontId="4" fillId="33" borderId="12" xfId="516" applyFont="1" applyFill="1" applyBorder="1" applyAlignment="1" applyProtection="1">
      <alignment horizontal="left" vertical="center"/>
      <protection locked="0"/>
    </xf>
    <xf numFmtId="0" fontId="4" fillId="33" borderId="13" xfId="516" applyFont="1" applyFill="1" applyBorder="1" applyAlignment="1" applyProtection="1">
      <alignment horizontal="left" vertical="center"/>
      <protection locked="0"/>
    </xf>
    <xf numFmtId="0" fontId="12" fillId="33" borderId="14" xfId="516" applyFont="1" applyFill="1" applyBorder="1" applyAlignment="1" applyProtection="1">
      <alignment horizontal="left" vertical="center"/>
      <protection locked="0"/>
    </xf>
    <xf numFmtId="0" fontId="7" fillId="34" borderId="0" xfId="90" applyFont="1" applyFill="1" applyAlignment="1" applyProtection="1">
      <alignment horizontal="center" vertical="center"/>
      <protection/>
    </xf>
    <xf numFmtId="3" fontId="4" fillId="34" borderId="27" xfId="0" applyNumberFormat="1" applyFont="1" applyFill="1" applyBorder="1" applyAlignment="1" applyProtection="1">
      <alignment vertical="center"/>
      <protection/>
    </xf>
    <xf numFmtId="171" fontId="4" fillId="34" borderId="16" xfId="0" applyNumberFormat="1" applyFont="1" applyFill="1" applyBorder="1" applyAlignment="1" applyProtection="1">
      <alignment vertical="center"/>
      <protection/>
    </xf>
    <xf numFmtId="3" fontId="4" fillId="34" borderId="40" xfId="0" applyNumberFormat="1" applyFont="1" applyFill="1" applyBorder="1" applyAlignment="1" applyProtection="1">
      <alignment vertical="center"/>
      <protection/>
    </xf>
    <xf numFmtId="0" fontId="4" fillId="34" borderId="27" xfId="0" applyFont="1" applyFill="1" applyBorder="1" applyAlignment="1" applyProtection="1">
      <alignment vertical="center"/>
      <protection/>
    </xf>
    <xf numFmtId="3" fontId="4" fillId="34" borderId="0" xfId="90" applyNumberFormat="1" applyFont="1" applyFill="1" applyAlignment="1" applyProtection="1">
      <alignment vertical="center"/>
      <protection/>
    </xf>
    <xf numFmtId="3" fontId="4" fillId="34" borderId="16" xfId="90" applyNumberFormat="1" applyFont="1" applyFill="1" applyBorder="1" applyAlignment="1" applyProtection="1">
      <alignment vertical="center"/>
      <protection/>
    </xf>
    <xf numFmtId="3" fontId="4" fillId="34" borderId="0" xfId="90" applyNumberFormat="1" applyFont="1" applyFill="1" applyBorder="1" applyAlignment="1" applyProtection="1">
      <alignment vertical="center"/>
      <protection/>
    </xf>
    <xf numFmtId="0" fontId="4" fillId="34" borderId="0" xfId="90" applyFont="1" applyFill="1" applyAlignment="1" applyProtection="1">
      <alignment horizontal="left" vertical="center"/>
      <protection/>
    </xf>
    <xf numFmtId="0" fontId="4" fillId="41" borderId="0" xfId="90" applyFont="1" applyFill="1" applyAlignment="1" applyProtection="1">
      <alignment vertical="center"/>
      <protection/>
    </xf>
    <xf numFmtId="0" fontId="4" fillId="34" borderId="0" xfId="90" applyFont="1" applyFill="1" applyAlignment="1" applyProtection="1" quotePrefix="1">
      <alignment vertical="center"/>
      <protection/>
    </xf>
    <xf numFmtId="3" fontId="4" fillId="34" borderId="40" xfId="90" applyNumberFormat="1" applyFont="1" applyFill="1" applyBorder="1" applyAlignment="1" applyProtection="1">
      <alignment vertical="center"/>
      <protection/>
    </xf>
    <xf numFmtId="0" fontId="4" fillId="34" borderId="0" xfId="90" applyFont="1" applyFill="1" applyAlignment="1" applyProtection="1" quotePrefix="1">
      <alignment horizontal="left" vertical="center"/>
      <protection/>
    </xf>
    <xf numFmtId="10" fontId="4" fillId="34" borderId="16" xfId="90" applyNumberFormat="1" applyFont="1" applyFill="1" applyBorder="1" applyAlignment="1" applyProtection="1">
      <alignment vertical="center"/>
      <protection/>
    </xf>
    <xf numFmtId="10" fontId="4" fillId="34" borderId="0" xfId="90" applyNumberFormat="1" applyFont="1" applyFill="1" applyBorder="1" applyAlignment="1" applyProtection="1">
      <alignment vertical="center"/>
      <protection/>
    </xf>
    <xf numFmtId="0" fontId="7" fillId="34" borderId="0" xfId="90" applyFont="1" applyFill="1" applyAlignment="1" applyProtection="1">
      <alignment horizontal="left" vertical="center"/>
      <protection/>
    </xf>
    <xf numFmtId="0" fontId="4" fillId="39" borderId="10" xfId="90" applyFont="1" applyFill="1" applyBorder="1" applyAlignment="1">
      <alignment horizontal="left" vertical="center" shrinkToFit="1"/>
      <protection/>
    </xf>
    <xf numFmtId="0" fontId="15" fillId="41" borderId="10" xfId="223" applyFont="1" applyFill="1" applyBorder="1" applyAlignment="1">
      <alignment horizontal="left" vertical="center"/>
      <protection/>
    </xf>
    <xf numFmtId="0" fontId="15" fillId="41" borderId="10" xfId="223" applyFont="1" applyFill="1" applyBorder="1" applyAlignment="1">
      <alignment horizontal="left" vertical="center"/>
      <protection/>
    </xf>
    <xf numFmtId="0" fontId="15" fillId="41" borderId="10" xfId="223" applyFont="1" applyFill="1" applyBorder="1" applyAlignment="1">
      <alignment horizontal="left" vertical="center"/>
      <protection/>
    </xf>
    <xf numFmtId="0" fontId="15" fillId="41" borderId="10" xfId="223" applyFont="1" applyFill="1" applyBorder="1" applyAlignment="1">
      <alignment horizontal="left" vertical="center"/>
      <protection/>
    </xf>
    <xf numFmtId="0" fontId="15" fillId="41" borderId="10" xfId="223" applyFont="1" applyFill="1" applyBorder="1" applyAlignment="1">
      <alignment horizontal="left" vertical="center"/>
      <protection/>
    </xf>
    <xf numFmtId="0" fontId="15" fillId="41" borderId="10" xfId="223" applyFont="1" applyFill="1" applyBorder="1" applyAlignment="1">
      <alignment horizontal="left" vertical="center"/>
      <protection/>
    </xf>
    <xf numFmtId="0" fontId="15" fillId="41" borderId="10" xfId="223" applyFont="1" applyFill="1" applyBorder="1" applyAlignment="1">
      <alignment horizontal="left" vertical="center"/>
      <protection/>
    </xf>
    <xf numFmtId="0" fontId="15" fillId="41" borderId="10" xfId="223" applyFont="1" applyFill="1" applyBorder="1" applyAlignment="1">
      <alignment horizontal="left" vertical="center"/>
      <protection/>
    </xf>
    <xf numFmtId="0" fontId="15" fillId="41" borderId="10" xfId="223" applyFont="1" applyFill="1" applyBorder="1" applyAlignment="1">
      <alignment horizontal="left" vertical="center"/>
      <protection/>
    </xf>
    <xf numFmtId="0" fontId="15" fillId="41" borderId="10" xfId="223" applyFont="1" applyFill="1" applyBorder="1" applyAlignment="1">
      <alignment horizontal="left" vertical="center"/>
      <protection/>
    </xf>
    <xf numFmtId="0" fontId="0" fillId="0" borderId="0" xfId="90">
      <alignment/>
      <protection/>
    </xf>
    <xf numFmtId="0" fontId="71" fillId="46" borderId="0" xfId="424" applyFill="1" applyBorder="1">
      <alignment/>
      <protection/>
    </xf>
    <xf numFmtId="0" fontId="71" fillId="46" borderId="0" xfId="424" applyFill="1" applyBorder="1" applyAlignment="1">
      <alignment horizontal="left" vertical="center"/>
      <protection/>
    </xf>
    <xf numFmtId="0" fontId="71" fillId="46" borderId="0" xfId="424" applyFill="1" applyBorder="1" applyAlignment="1">
      <alignment horizontal="center" vertical="center"/>
      <protection/>
    </xf>
    <xf numFmtId="0" fontId="46" fillId="0" borderId="0" xfId="90" applyFont="1">
      <alignment/>
      <protection/>
    </xf>
    <xf numFmtId="0" fontId="4" fillId="0" borderId="0" xfId="0" applyFont="1" applyAlignment="1">
      <alignment vertical="top" wrapText="1"/>
    </xf>
    <xf numFmtId="0" fontId="71" fillId="46" borderId="0" xfId="424" applyFill="1">
      <alignment/>
      <protection/>
    </xf>
    <xf numFmtId="0" fontId="86" fillId="46" borderId="0" xfId="424" applyFont="1" applyFill="1" applyBorder="1">
      <alignment/>
      <protection/>
    </xf>
    <xf numFmtId="0" fontId="86" fillId="46" borderId="31" xfId="424" applyFont="1" applyFill="1" applyBorder="1">
      <alignment/>
      <protection/>
    </xf>
    <xf numFmtId="0" fontId="86" fillId="46" borderId="30" xfId="424" applyFont="1" applyFill="1" applyBorder="1">
      <alignment/>
      <protection/>
    </xf>
    <xf numFmtId="0" fontId="86" fillId="46" borderId="0" xfId="424" applyFont="1" applyFill="1" applyBorder="1" applyAlignment="1">
      <alignment horizontal="center"/>
      <protection/>
    </xf>
    <xf numFmtId="0" fontId="86" fillId="46" borderId="0" xfId="424" applyFont="1" applyFill="1" applyBorder="1" applyAlignment="1">
      <alignment horizontal="right"/>
      <protection/>
    </xf>
    <xf numFmtId="3" fontId="86" fillId="46" borderId="16" xfId="424" applyNumberFormat="1" applyFont="1" applyFill="1" applyBorder="1">
      <alignment/>
      <protection/>
    </xf>
    <xf numFmtId="3" fontId="86" fillId="46" borderId="13" xfId="424" applyNumberFormat="1" applyFont="1" applyFill="1" applyBorder="1">
      <alignment/>
      <protection/>
    </xf>
    <xf numFmtId="0" fontId="86" fillId="46" borderId="16" xfId="424" applyFont="1" applyFill="1" applyBorder="1" applyAlignment="1" applyProtection="1">
      <alignment horizontal="center"/>
      <protection locked="0"/>
    </xf>
    <xf numFmtId="0" fontId="86" fillId="46" borderId="41" xfId="424" applyFont="1" applyFill="1" applyBorder="1" applyAlignment="1" applyProtection="1">
      <alignment horizontal="center"/>
      <protection locked="0"/>
    </xf>
    <xf numFmtId="0" fontId="86" fillId="46" borderId="35" xfId="424" applyFont="1" applyFill="1" applyBorder="1">
      <alignment/>
      <protection/>
    </xf>
    <xf numFmtId="0" fontId="86" fillId="46" borderId="36" xfId="424" applyFont="1" applyFill="1" applyBorder="1">
      <alignment/>
      <protection/>
    </xf>
    <xf numFmtId="0" fontId="86" fillId="46" borderId="37" xfId="424" applyFont="1" applyFill="1" applyBorder="1">
      <alignment/>
      <protection/>
    </xf>
    <xf numFmtId="0" fontId="4" fillId="0" borderId="0" xfId="90" applyFont="1" applyAlignment="1">
      <alignment vertical="center"/>
      <protection/>
    </xf>
    <xf numFmtId="37" fontId="14" fillId="34" borderId="27" xfId="0" applyNumberFormat="1" applyFont="1" applyFill="1" applyBorder="1" applyAlignment="1" applyProtection="1">
      <alignment horizontal="left" vertical="center"/>
      <protection/>
    </xf>
    <xf numFmtId="37" fontId="14" fillId="34" borderId="27" xfId="0" applyNumberFormat="1" applyFont="1" applyFill="1" applyBorder="1" applyAlignment="1" applyProtection="1">
      <alignment horizontal="fill" vertical="center"/>
      <protection/>
    </xf>
    <xf numFmtId="37" fontId="4" fillId="34" borderId="27" xfId="0" applyNumberFormat="1" applyFont="1" applyFill="1" applyBorder="1" applyAlignment="1" applyProtection="1">
      <alignment horizontal="center" vertical="center"/>
      <protection/>
    </xf>
    <xf numFmtId="0" fontId="4"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11" fillId="33" borderId="16" xfId="70" applyFill="1" applyBorder="1" applyAlignment="1" applyProtection="1">
      <alignment vertical="center"/>
      <protection locked="0"/>
    </xf>
    <xf numFmtId="0" fontId="4" fillId="33" borderId="0" xfId="0" applyFont="1" applyFill="1" applyAlignment="1" applyProtection="1">
      <alignment horizontal="center" vertical="center"/>
      <protection locked="0"/>
    </xf>
    <xf numFmtId="37" fontId="4" fillId="34" borderId="0" xfId="0" applyNumberFormat="1" applyFont="1" applyFill="1" applyBorder="1" applyAlignment="1" applyProtection="1">
      <alignment horizontal="fill" vertical="center"/>
      <protection/>
    </xf>
    <xf numFmtId="1" fontId="4" fillId="34" borderId="0" xfId="0" applyNumberFormat="1" applyFont="1" applyFill="1" applyBorder="1" applyAlignment="1" applyProtection="1">
      <alignment horizontal="center" vertical="center"/>
      <protection/>
    </xf>
    <xf numFmtId="37" fontId="4" fillId="34" borderId="0" xfId="0" applyNumberFormat="1" applyFont="1" applyFill="1" applyBorder="1" applyAlignment="1" applyProtection="1">
      <alignment horizontal="center" vertical="center"/>
      <protection/>
    </xf>
    <xf numFmtId="0" fontId="4" fillId="34" borderId="0" xfId="0" applyNumberFormat="1" applyFont="1" applyFill="1" applyBorder="1" applyAlignment="1" applyProtection="1">
      <alignment horizontal="center" vertical="center"/>
      <protection/>
    </xf>
    <xf numFmtId="3" fontId="4" fillId="33" borderId="0" xfId="0" applyNumberFormat="1" applyFont="1" applyFill="1" applyBorder="1" applyAlignment="1" applyProtection="1">
      <alignment vertical="center"/>
      <protection locked="0"/>
    </xf>
    <xf numFmtId="0" fontId="4" fillId="33" borderId="0" xfId="0" applyFont="1" applyFill="1" applyBorder="1" applyAlignment="1" applyProtection="1">
      <alignment vertical="center"/>
      <protection locked="0"/>
    </xf>
    <xf numFmtId="0" fontId="4" fillId="33" borderId="0" xfId="0" applyFont="1" applyFill="1" applyBorder="1" applyAlignment="1" applyProtection="1">
      <alignment horizontal="left" vertical="center"/>
      <protection locked="0"/>
    </xf>
    <xf numFmtId="3" fontId="19" fillId="40" borderId="0" xfId="0" applyNumberFormat="1" applyFont="1" applyFill="1" applyBorder="1" applyAlignment="1" applyProtection="1">
      <alignment horizontal="center" vertical="center"/>
      <protection/>
    </xf>
    <xf numFmtId="37" fontId="5" fillId="34" borderId="0" xfId="0" applyNumberFormat="1" applyFont="1" applyFill="1" applyBorder="1" applyAlignment="1" applyProtection="1">
      <alignment horizontal="left" vertical="center"/>
      <protection/>
    </xf>
    <xf numFmtId="3" fontId="5" fillId="35" borderId="0" xfId="0" applyNumberFormat="1" applyFont="1" applyFill="1" applyBorder="1" applyAlignment="1" applyProtection="1">
      <alignment vertical="center"/>
      <protection/>
    </xf>
    <xf numFmtId="3" fontId="4" fillId="35" borderId="0" xfId="0" applyNumberFormat="1" applyFont="1" applyFill="1" applyBorder="1" applyAlignment="1" applyProtection="1">
      <alignment vertical="center"/>
      <protection/>
    </xf>
    <xf numFmtId="3" fontId="4" fillId="34" borderId="0" xfId="0" applyNumberFormat="1" applyFont="1" applyFill="1" applyBorder="1" applyAlignment="1" applyProtection="1">
      <alignment horizontal="right" vertical="center"/>
      <protection/>
    </xf>
    <xf numFmtId="37" fontId="4" fillId="0" borderId="0" xfId="0" applyNumberFormat="1" applyFont="1" applyBorder="1" applyAlignment="1" applyProtection="1">
      <alignment horizontal="fill"/>
      <protection locked="0"/>
    </xf>
    <xf numFmtId="0" fontId="4" fillId="0" borderId="0" xfId="0" applyFont="1" applyBorder="1" applyAlignment="1" applyProtection="1">
      <alignment/>
      <protection locked="0"/>
    </xf>
    <xf numFmtId="0" fontId="4" fillId="0" borderId="0" xfId="0" applyFont="1" applyBorder="1" applyAlignment="1" applyProtection="1">
      <alignment horizontal="centerContinuous"/>
      <protection locked="0"/>
    </xf>
    <xf numFmtId="0" fontId="4" fillId="33" borderId="0" xfId="0" applyFont="1" applyFill="1" applyBorder="1" applyAlignment="1" applyProtection="1">
      <alignment/>
      <protection locked="0"/>
    </xf>
    <xf numFmtId="0" fontId="4" fillId="0" borderId="0" xfId="0" applyFont="1" applyBorder="1" applyAlignment="1">
      <alignment/>
    </xf>
    <xf numFmtId="0" fontId="98" fillId="34" borderId="0" xfId="0" applyFont="1" applyFill="1" applyAlignment="1" applyProtection="1">
      <alignment vertical="center"/>
      <protection locked="0"/>
    </xf>
    <xf numFmtId="3" fontId="4" fillId="39" borderId="0" xfId="0" applyNumberFormat="1" applyFont="1" applyFill="1" applyBorder="1" applyAlignment="1" applyProtection="1">
      <alignment vertical="center"/>
      <protection/>
    </xf>
    <xf numFmtId="0" fontId="15" fillId="41" borderId="0" xfId="223" applyFont="1" applyFill="1" applyBorder="1" applyAlignment="1">
      <alignment horizontal="left" vertical="center"/>
      <protection/>
    </xf>
    <xf numFmtId="0" fontId="5" fillId="41" borderId="0" xfId="0" applyFont="1" applyFill="1" applyBorder="1" applyAlignment="1" applyProtection="1">
      <alignment horizontal="centerContinuous" vertical="center"/>
      <protection locked="0"/>
    </xf>
    <xf numFmtId="0" fontId="97" fillId="41" borderId="0" xfId="0" applyFont="1" applyFill="1" applyBorder="1" applyAlignment="1" applyProtection="1">
      <alignment horizontal="center" vertical="center"/>
      <protection locked="0"/>
    </xf>
    <xf numFmtId="37" fontId="4" fillId="36" borderId="0" xfId="0" applyNumberFormat="1" applyFont="1" applyFill="1" applyAlignment="1" applyProtection="1">
      <alignment horizontal="center" vertical="center" wrapText="1"/>
      <protection/>
    </xf>
    <xf numFmtId="0" fontId="0" fillId="36" borderId="16" xfId="0" applyFill="1" applyBorder="1" applyAlignment="1">
      <alignment horizontal="center" vertical="center" wrapText="1"/>
    </xf>
    <xf numFmtId="37" fontId="20" fillId="34" borderId="0" xfId="0" applyNumberFormat="1" applyFont="1" applyFill="1" applyAlignment="1" applyProtection="1">
      <alignment horizontal="center" vertical="center"/>
      <protection/>
    </xf>
    <xf numFmtId="0" fontId="2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1" fillId="0" borderId="0" xfId="0" applyFont="1" applyAlignment="1">
      <alignment horizontal="center" vertical="center"/>
    </xf>
    <xf numFmtId="0" fontId="4" fillId="34" borderId="0" xfId="0" applyFont="1" applyFill="1" applyBorder="1" applyAlignment="1" applyProtection="1">
      <alignment vertical="center" wrapText="1"/>
      <protection/>
    </xf>
    <xf numFmtId="0" fontId="5" fillId="36" borderId="0" xfId="0" applyFont="1" applyFill="1" applyBorder="1" applyAlignment="1">
      <alignment horizontal="center" vertical="center"/>
    </xf>
    <xf numFmtId="0" fontId="1" fillId="36" borderId="0" xfId="0" applyFont="1" applyFill="1" applyBorder="1" applyAlignment="1">
      <alignment horizontal="center" vertical="center"/>
    </xf>
    <xf numFmtId="0" fontId="4" fillId="36" borderId="15"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19" fillId="34" borderId="0" xfId="0" applyFont="1" applyFill="1" applyBorder="1" applyAlignment="1">
      <alignment vertical="center"/>
    </xf>
    <xf numFmtId="0" fontId="25" fillId="0" borderId="0" xfId="0" applyFont="1" applyAlignment="1">
      <alignment vertical="center"/>
    </xf>
    <xf numFmtId="0" fontId="4" fillId="0" borderId="0" xfId="516" applyFont="1" applyAlignment="1">
      <alignment horizontal="left" vertical="center" wrapText="1"/>
      <protection/>
    </xf>
    <xf numFmtId="0" fontId="12" fillId="0" borderId="0" xfId="516" applyFont="1" applyAlignment="1">
      <alignment horizontal="left" vertical="center" wrapText="1"/>
      <protection/>
    </xf>
    <xf numFmtId="0" fontId="18" fillId="0" borderId="0" xfId="516" applyFont="1" applyAlignment="1">
      <alignment horizontal="left" vertical="center"/>
      <protection/>
    </xf>
    <xf numFmtId="37" fontId="14" fillId="0" borderId="0" xfId="0" applyNumberFormat="1" applyFont="1" applyAlignment="1" applyProtection="1">
      <alignment horizontal="center" vertical="center"/>
      <protection locked="0"/>
    </xf>
    <xf numFmtId="37" fontId="15" fillId="34" borderId="0" xfId="0" applyNumberFormat="1" applyFont="1" applyFill="1" applyAlignment="1" applyProtection="1">
      <alignment horizontal="center" vertical="center"/>
      <protection/>
    </xf>
    <xf numFmtId="37" fontId="14" fillId="34" borderId="15" xfId="0" applyNumberFormat="1" applyFont="1" applyFill="1" applyBorder="1" applyAlignment="1" applyProtection="1">
      <alignment horizontal="center" vertical="center" wrapText="1"/>
      <protection/>
    </xf>
    <xf numFmtId="0" fontId="16" fillId="0" borderId="17" xfId="0" applyFont="1" applyBorder="1" applyAlignment="1">
      <alignment horizontal="center" vertical="center" wrapText="1"/>
    </xf>
    <xf numFmtId="37" fontId="23" fillId="34" borderId="0" xfId="0" applyNumberFormat="1" applyFont="1" applyFill="1" applyAlignment="1" applyProtection="1">
      <alignment horizontal="center" vertical="center"/>
      <protection/>
    </xf>
    <xf numFmtId="0" fontId="1" fillId="0" borderId="0" xfId="0" applyFont="1" applyAlignment="1">
      <alignment horizontal="center" vertical="center"/>
    </xf>
    <xf numFmtId="37" fontId="14"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0" borderId="0" xfId="0" applyAlignment="1">
      <alignment vertical="center"/>
    </xf>
    <xf numFmtId="37" fontId="14" fillId="34" borderId="19" xfId="0" applyNumberFormat="1" applyFont="1" applyFill="1" applyBorder="1" applyAlignment="1" applyProtection="1">
      <alignment horizontal="fill" vertical="center"/>
      <protection/>
    </xf>
    <xf numFmtId="0" fontId="0" fillId="0" borderId="20" xfId="0" applyBorder="1" applyAlignment="1">
      <alignment vertical="center"/>
    </xf>
    <xf numFmtId="0" fontId="14" fillId="34" borderId="0" xfId="0" applyFont="1" applyFill="1" applyAlignment="1" applyProtection="1">
      <alignment horizontal="center" vertical="center"/>
      <protection/>
    </xf>
    <xf numFmtId="0" fontId="14" fillId="36" borderId="15" xfId="0" applyFont="1" applyFill="1" applyBorder="1" applyAlignment="1" applyProtection="1">
      <alignment horizontal="center" vertical="center" wrapText="1"/>
      <protection/>
    </xf>
    <xf numFmtId="0" fontId="0" fillId="0" borderId="17" xfId="0" applyBorder="1" applyAlignment="1">
      <alignment vertical="center" wrapText="1"/>
    </xf>
    <xf numFmtId="37" fontId="4" fillId="34" borderId="15" xfId="0" applyNumberFormat="1" applyFont="1" applyFill="1" applyBorder="1" applyAlignment="1" applyProtection="1">
      <alignment horizontal="center" vertical="center" wrapText="1"/>
      <protection/>
    </xf>
    <xf numFmtId="0" fontId="5" fillId="34" borderId="0" xfId="0" applyFont="1" applyFill="1" applyAlignment="1" applyProtection="1">
      <alignment horizontal="center" vertical="center"/>
      <protection/>
    </xf>
    <xf numFmtId="0" fontId="4" fillId="34" borderId="0" xfId="90" applyFont="1" applyFill="1" applyAlignment="1">
      <alignment horizontal="center" vertical="center"/>
      <protection/>
    </xf>
    <xf numFmtId="0" fontId="7" fillId="34" borderId="0" xfId="90" applyFont="1" applyFill="1" applyAlignment="1" applyProtection="1">
      <alignment horizontal="center" vertical="center"/>
      <protection/>
    </xf>
    <xf numFmtId="37" fontId="4" fillId="34" borderId="15" xfId="0" applyNumberFormat="1" applyFont="1" applyFill="1" applyBorder="1" applyAlignment="1" applyProtection="1">
      <alignment horizontal="center" wrapText="1"/>
      <protection/>
    </xf>
    <xf numFmtId="0" fontId="0" fillId="0" borderId="17" xfId="0" applyBorder="1" applyAlignment="1">
      <alignment horizontal="center" wrapText="1"/>
    </xf>
    <xf numFmtId="37" fontId="4" fillId="34" borderId="12" xfId="0" applyNumberFormat="1" applyFont="1" applyFill="1" applyBorder="1" applyAlignment="1" applyProtection="1">
      <alignment horizontal="center" vertical="center"/>
      <protection/>
    </xf>
    <xf numFmtId="0" fontId="0" fillId="0" borderId="13" xfId="0" applyBorder="1" applyAlignment="1">
      <alignment horizontal="center" vertical="center"/>
    </xf>
    <xf numFmtId="0" fontId="0" fillId="0" borderId="14" xfId="0" applyBorder="1" applyAlignment="1">
      <alignment horizontal="center" vertical="center"/>
    </xf>
    <xf numFmtId="37" fontId="5" fillId="34" borderId="0" xfId="0" applyNumberFormat="1" applyFont="1" applyFill="1" applyAlignment="1" applyProtection="1">
      <alignment horizontal="center"/>
      <protection/>
    </xf>
    <xf numFmtId="0" fontId="4" fillId="34" borderId="25" xfId="0" applyFont="1" applyFill="1" applyBorder="1" applyAlignment="1" applyProtection="1">
      <alignment horizontal="center" vertical="center"/>
      <protection/>
    </xf>
    <xf numFmtId="0" fontId="0" fillId="0" borderId="18" xfId="0" applyBorder="1" applyAlignment="1" applyProtection="1">
      <alignment vertical="center"/>
      <protection/>
    </xf>
    <xf numFmtId="1" fontId="4" fillId="34" borderId="25" xfId="0" applyNumberFormat="1"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184" fontId="23" fillId="41" borderId="19" xfId="0" applyNumberFormat="1" applyFont="1" applyFill="1" applyBorder="1" applyAlignment="1" applyProtection="1">
      <alignment horizontal="center"/>
      <protection/>
    </xf>
    <xf numFmtId="0" fontId="21" fillId="0" borderId="27" xfId="0" applyFont="1" applyBorder="1" applyAlignment="1">
      <alignment/>
    </xf>
    <xf numFmtId="0" fontId="21" fillId="0" borderId="20" xfId="0" applyFont="1" applyBorder="1" applyAlignment="1">
      <alignment/>
    </xf>
    <xf numFmtId="3" fontId="4" fillId="34" borderId="27" xfId="109" applyNumberFormat="1" applyFont="1" applyFill="1" applyBorder="1" applyAlignment="1" applyProtection="1">
      <alignment horizontal="right" vertical="center"/>
      <protection/>
    </xf>
    <xf numFmtId="0" fontId="0" fillId="0" borderId="20" xfId="109" applyBorder="1" applyAlignment="1">
      <alignment horizontal="right" vertical="center"/>
      <protection/>
    </xf>
    <xf numFmtId="0" fontId="4" fillId="34" borderId="0" xfId="109" applyFont="1" applyFill="1" applyAlignment="1" applyProtection="1">
      <alignment horizontal="right" vertical="center"/>
      <protection/>
    </xf>
    <xf numFmtId="0" fontId="4" fillId="0" borderId="22" xfId="109" applyFont="1" applyBorder="1" applyAlignment="1">
      <alignment horizontal="right" vertical="center"/>
      <protection/>
    </xf>
    <xf numFmtId="0" fontId="23" fillId="34" borderId="19" xfId="94" applyFont="1" applyFill="1" applyBorder="1" applyAlignment="1" applyProtection="1">
      <alignment horizontal="center" vertical="center"/>
      <protection/>
    </xf>
    <xf numFmtId="0" fontId="39" fillId="0" borderId="27" xfId="94" applyFont="1" applyBorder="1" applyAlignment="1" applyProtection="1">
      <alignment horizontal="center" vertical="center"/>
      <protection/>
    </xf>
    <xf numFmtId="0" fontId="0" fillId="0" borderId="20" xfId="94" applyBorder="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23" fillId="41" borderId="19" xfId="0" applyFont="1" applyFill="1" applyBorder="1" applyAlignment="1" applyProtection="1">
      <alignment horizontal="center" vertical="center"/>
      <protection/>
    </xf>
    <xf numFmtId="0" fontId="0" fillId="0" borderId="27" xfId="0" applyBorder="1" applyAlignment="1">
      <alignment vertical="center"/>
    </xf>
    <xf numFmtId="37" fontId="4" fillId="34" borderId="0" xfId="0" applyNumberFormat="1" applyFont="1" applyFill="1" applyAlignment="1" applyProtection="1">
      <alignment horizontal="center" vertical="center"/>
      <protection/>
    </xf>
    <xf numFmtId="0" fontId="0" fillId="0" borderId="27" xfId="0" applyBorder="1" applyAlignment="1">
      <alignment horizontal="center" vertical="center"/>
    </xf>
    <xf numFmtId="0" fontId="0" fillId="0" borderId="20" xfId="0" applyBorder="1" applyAlignment="1">
      <alignment/>
    </xf>
    <xf numFmtId="0" fontId="16" fillId="0" borderId="27" xfId="0" applyFont="1" applyBorder="1" applyAlignment="1">
      <alignment horizontal="center" vertical="center"/>
    </xf>
    <xf numFmtId="0" fontId="4" fillId="34" borderId="12" xfId="0" applyFont="1" applyFill="1" applyBorder="1" applyAlignment="1">
      <alignment horizontal="center" vertical="center"/>
    </xf>
    <xf numFmtId="0" fontId="4" fillId="34" borderId="14" xfId="0" applyFont="1" applyFill="1" applyBorder="1" applyAlignment="1">
      <alignment horizontal="center" vertical="center"/>
    </xf>
    <xf numFmtId="37" fontId="18" fillId="34" borderId="0" xfId="0" applyNumberFormat="1"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19" xfId="105" applyFont="1" applyFill="1" applyBorder="1" applyAlignment="1" applyProtection="1">
      <alignment horizontal="center"/>
      <protection/>
    </xf>
    <xf numFmtId="0" fontId="18" fillId="41" borderId="27" xfId="105" applyFont="1" applyFill="1" applyBorder="1" applyAlignment="1" applyProtection="1">
      <alignment horizontal="center"/>
      <protection/>
    </xf>
    <xf numFmtId="0" fontId="18" fillId="41" borderId="20" xfId="105" applyFont="1" applyFill="1" applyBorder="1" applyAlignment="1" applyProtection="1">
      <alignment horizontal="center"/>
      <protection/>
    </xf>
    <xf numFmtId="0" fontId="0" fillId="0" borderId="27" xfId="105" applyBorder="1" applyAlignment="1" applyProtection="1">
      <alignment horizontal="center"/>
      <protection/>
    </xf>
    <xf numFmtId="0" fontId="0" fillId="0" borderId="20" xfId="105" applyBorder="1" applyAlignment="1" applyProtection="1">
      <alignment horizontal="center"/>
      <protection/>
    </xf>
    <xf numFmtId="37" fontId="4" fillId="34" borderId="16" xfId="0" applyNumberFormat="1" applyFont="1" applyFill="1" applyBorder="1" applyAlignment="1" applyProtection="1">
      <alignment horizontal="center" vertical="center"/>
      <protection locked="0"/>
    </xf>
    <xf numFmtId="0" fontId="0" fillId="0" borderId="27" xfId="0" applyBorder="1" applyAlignment="1">
      <alignment horizontal="center"/>
    </xf>
    <xf numFmtId="0" fontId="0" fillId="0" borderId="20" xfId="0" applyBorder="1" applyAlignment="1">
      <alignment horizontal="center"/>
    </xf>
    <xf numFmtId="0" fontId="4" fillId="34" borderId="0" xfId="0" applyFont="1" applyFill="1"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86" fillId="46" borderId="35" xfId="424" applyFont="1" applyFill="1" applyBorder="1" applyAlignment="1">
      <alignment horizontal="left" vertical="top" wrapText="1"/>
      <protection/>
    </xf>
    <xf numFmtId="0" fontId="86" fillId="46" borderId="36" xfId="424" applyFont="1" applyFill="1" applyBorder="1" applyAlignment="1">
      <alignment horizontal="left" vertical="top" wrapText="1"/>
      <protection/>
    </xf>
    <xf numFmtId="0" fontId="86" fillId="46" borderId="37" xfId="424" applyFont="1" applyFill="1" applyBorder="1" applyAlignment="1">
      <alignment horizontal="left" vertical="top" wrapText="1"/>
      <protection/>
    </xf>
    <xf numFmtId="0" fontId="99" fillId="46" borderId="42" xfId="424" applyFont="1" applyFill="1" applyBorder="1" applyAlignment="1">
      <alignment horizontal="center"/>
      <protection/>
    </xf>
    <xf numFmtId="0" fontId="71" fillId="46" borderId="43" xfId="424" applyFill="1" applyBorder="1" applyAlignment="1">
      <alignment horizontal="center"/>
      <protection/>
    </xf>
    <xf numFmtId="0" fontId="71" fillId="46" borderId="44" xfId="424" applyFill="1" applyBorder="1" applyAlignment="1">
      <alignment horizontal="center"/>
      <protection/>
    </xf>
    <xf numFmtId="0" fontId="86" fillId="46" borderId="29" xfId="424" applyFont="1" applyFill="1" applyBorder="1" applyAlignment="1">
      <alignment horizontal="center"/>
      <protection/>
    </xf>
    <xf numFmtId="0" fontId="86" fillId="46" borderId="32" xfId="424" applyFont="1" applyFill="1" applyBorder="1" applyAlignment="1">
      <alignment horizontal="center"/>
      <protection/>
    </xf>
    <xf numFmtId="0" fontId="86" fillId="46" borderId="33" xfId="424" applyFont="1" applyFill="1" applyBorder="1" applyAlignment="1">
      <alignment horizontal="center"/>
      <protection/>
    </xf>
    <xf numFmtId="0" fontId="99" fillId="0" borderId="42" xfId="424" applyFont="1" applyBorder="1" applyAlignment="1">
      <alignment horizontal="center"/>
      <protection/>
    </xf>
    <xf numFmtId="0" fontId="99" fillId="0" borderId="43" xfId="424" applyFont="1" applyBorder="1" applyAlignment="1">
      <alignment horizontal="center"/>
      <protection/>
    </xf>
    <xf numFmtId="0" fontId="99" fillId="0" borderId="44" xfId="424" applyFont="1" applyBorder="1" applyAlignment="1">
      <alignment horizontal="center"/>
      <protection/>
    </xf>
    <xf numFmtId="0" fontId="86" fillId="46" borderId="30" xfId="424" applyFont="1" applyFill="1" applyBorder="1" applyAlignment="1">
      <alignment horizontal="center"/>
      <protection/>
    </xf>
    <xf numFmtId="0" fontId="86" fillId="46" borderId="0" xfId="424" applyFont="1" applyFill="1" applyBorder="1" applyAlignment="1">
      <alignment horizontal="center"/>
      <protection/>
    </xf>
    <xf numFmtId="0" fontId="86" fillId="46" borderId="31" xfId="424" applyFont="1" applyFill="1" applyBorder="1" applyAlignment="1">
      <alignment horizontal="center"/>
      <protection/>
    </xf>
    <xf numFmtId="183" fontId="42" fillId="43" borderId="16" xfId="0" applyNumberFormat="1" applyFont="1" applyFill="1" applyBorder="1" applyAlignment="1" applyProtection="1">
      <alignment horizontal="center"/>
      <protection locked="0"/>
    </xf>
    <xf numFmtId="191" fontId="42" fillId="41" borderId="0" xfId="0" applyNumberFormat="1" applyFont="1" applyFill="1" applyBorder="1" applyAlignment="1">
      <alignment horizontal="center"/>
    </xf>
    <xf numFmtId="191" fontId="42" fillId="0" borderId="31" xfId="0" applyNumberFormat="1" applyFont="1" applyBorder="1" applyAlignment="1">
      <alignment horizontal="center"/>
    </xf>
    <xf numFmtId="5" fontId="42" fillId="41" borderId="16" xfId="0" applyNumberFormat="1" applyFont="1" applyFill="1" applyBorder="1" applyAlignment="1">
      <alignment horizontal="center"/>
    </xf>
    <xf numFmtId="190" fontId="42" fillId="41" borderId="0" xfId="0" applyNumberFormat="1" applyFont="1" applyFill="1" applyBorder="1" applyAlignment="1">
      <alignment horizontal="center"/>
    </xf>
    <xf numFmtId="0" fontId="42" fillId="41" borderId="27" xfId="0" applyFont="1" applyFill="1" applyBorder="1" applyAlignment="1">
      <alignment horizontal="center"/>
    </xf>
    <xf numFmtId="0" fontId="42" fillId="41" borderId="30" xfId="0" applyFont="1" applyFill="1" applyBorder="1" applyAlignment="1">
      <alignment vertical="top" wrapText="1"/>
    </xf>
    <xf numFmtId="0" fontId="42" fillId="0" borderId="0" xfId="0" applyFont="1" applyAlignment="1">
      <alignment vertical="top" wrapText="1"/>
    </xf>
    <xf numFmtId="0" fontId="42" fillId="0" borderId="31" xfId="0" applyFont="1" applyBorder="1" applyAlignment="1">
      <alignment vertical="top" wrapText="1"/>
    </xf>
    <xf numFmtId="0" fontId="42" fillId="0" borderId="31" xfId="0" applyFont="1" applyBorder="1" applyAlignment="1">
      <alignment horizontal="center"/>
    </xf>
    <xf numFmtId="0" fontId="90" fillId="41" borderId="0" xfId="0" applyFont="1" applyFill="1" applyBorder="1" applyAlignment="1">
      <alignment horizontal="center" wrapText="1"/>
    </xf>
    <xf numFmtId="0" fontId="90" fillId="0" borderId="0" xfId="0" applyFont="1" applyAlignment="1">
      <alignment horizontal="center" wrapText="1"/>
    </xf>
    <xf numFmtId="0" fontId="90" fillId="41" borderId="0" xfId="0" applyFont="1" applyFill="1" applyAlignment="1">
      <alignment horizontal="center" wrapText="1"/>
    </xf>
    <xf numFmtId="0" fontId="42" fillId="41" borderId="0" xfId="0" applyFont="1" applyFill="1" applyAlignment="1">
      <alignment wrapText="1"/>
    </xf>
    <xf numFmtId="190" fontId="42" fillId="43" borderId="16" xfId="0" applyNumberFormat="1" applyFont="1" applyFill="1" applyBorder="1" applyAlignment="1" applyProtection="1">
      <alignment horizontal="center"/>
      <protection locked="0"/>
    </xf>
    <xf numFmtId="0" fontId="90" fillId="41" borderId="32" xfId="0" applyFont="1" applyFill="1" applyBorder="1" applyAlignment="1">
      <alignment horizontal="center" vertical="center"/>
    </xf>
    <xf numFmtId="0" fontId="42" fillId="0" borderId="32" xfId="0" applyFont="1" applyBorder="1" applyAlignment="1">
      <alignment horizontal="center" vertical="center"/>
    </xf>
    <xf numFmtId="0" fontId="42" fillId="0" borderId="0" xfId="0" applyFont="1" applyAlignment="1">
      <alignment horizontal="center" wrapText="1"/>
    </xf>
    <xf numFmtId="0" fontId="90" fillId="41" borderId="0" xfId="0" applyFont="1" applyFill="1" applyAlignment="1">
      <alignment horizontal="center"/>
    </xf>
    <xf numFmtId="0" fontId="42" fillId="0" borderId="0" xfId="0" applyFont="1" applyAlignment="1">
      <alignment wrapText="1"/>
    </xf>
    <xf numFmtId="190" fontId="42" fillId="41" borderId="0" xfId="0" applyNumberFormat="1" applyFont="1" applyFill="1" applyAlignment="1">
      <alignment horizontal="center"/>
    </xf>
    <xf numFmtId="190" fontId="42" fillId="43" borderId="34" xfId="0" applyNumberFormat="1" applyFont="1" applyFill="1" applyBorder="1" applyAlignment="1" applyProtection="1">
      <alignment horizontal="center"/>
      <protection locked="0"/>
    </xf>
    <xf numFmtId="0" fontId="42" fillId="41" borderId="0" xfId="0" applyFont="1" applyFill="1" applyBorder="1" applyAlignment="1">
      <alignment/>
    </xf>
    <xf numFmtId="0" fontId="42" fillId="0" borderId="0" xfId="0" applyFont="1" applyBorder="1" applyAlignment="1">
      <alignment/>
    </xf>
    <xf numFmtId="0" fontId="42" fillId="41" borderId="36" xfId="0" applyFont="1" applyFill="1" applyBorder="1" applyAlignment="1">
      <alignment/>
    </xf>
    <xf numFmtId="0" fontId="42" fillId="41" borderId="37" xfId="0" applyFont="1" applyFill="1" applyBorder="1" applyAlignment="1">
      <alignment/>
    </xf>
    <xf numFmtId="0" fontId="90" fillId="41" borderId="0" xfId="0" applyFont="1" applyFill="1" applyAlignment="1">
      <alignment horizontal="center" vertical="center"/>
    </xf>
    <xf numFmtId="0" fontId="90" fillId="0" borderId="0" xfId="0" applyFont="1" applyAlignment="1">
      <alignment horizontal="center" vertical="center"/>
    </xf>
    <xf numFmtId="190" fontId="42" fillId="41" borderId="0" xfId="0" applyNumberFormat="1" applyFont="1" applyFill="1" applyAlignment="1">
      <alignment/>
    </xf>
    <xf numFmtId="0" fontId="42" fillId="41" borderId="0" xfId="0" applyFont="1" applyFill="1" applyBorder="1" applyAlignment="1">
      <alignment wrapText="1"/>
    </xf>
    <xf numFmtId="0" fontId="42" fillId="41" borderId="0" xfId="0" applyFont="1" applyFill="1" applyBorder="1" applyAlignment="1">
      <alignment horizontal="center"/>
    </xf>
  </cellXfs>
  <cellStyles count="53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11 2 2" xfId="180"/>
    <cellStyle name="Normal 2 10 11 3" xfId="181"/>
    <cellStyle name="Normal 2 10 11 4" xfId="182"/>
    <cellStyle name="Normal 2 10 11 5" xfId="183"/>
    <cellStyle name="Normal 2 10 12"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2" xfId="368"/>
    <cellStyle name="Normal 2 7 2 2" xfId="369"/>
    <cellStyle name="Normal 2 7 2 3" xfId="370"/>
    <cellStyle name="Normal 2 7 3" xfId="371"/>
    <cellStyle name="Normal 2 7 3 2" xfId="372"/>
    <cellStyle name="Normal 2 7 4" xfId="373"/>
    <cellStyle name="Normal 2 7 4 2" xfId="374"/>
    <cellStyle name="Normal 2 7 5" xfId="375"/>
    <cellStyle name="Normal 2 7 5 2" xfId="376"/>
    <cellStyle name="Normal 2 7 6" xfId="377"/>
    <cellStyle name="Normal 2 7 6 2" xfId="378"/>
    <cellStyle name="Normal 2 7 7" xfId="379"/>
    <cellStyle name="Normal 2 7 7 2" xfId="380"/>
    <cellStyle name="Normal 2 7 8" xfId="381"/>
    <cellStyle name="Normal 2 7 8 2" xfId="382"/>
    <cellStyle name="Normal 2 7 9" xfId="383"/>
    <cellStyle name="Normal 2 8" xfId="384"/>
    <cellStyle name="Normal 2 8 10" xfId="385"/>
    <cellStyle name="Normal 2 8 11" xfId="386"/>
    <cellStyle name="Normal 2 8 2" xfId="387"/>
    <cellStyle name="Normal 2 8 2 2" xfId="388"/>
    <cellStyle name="Normal 2 8 3" xfId="389"/>
    <cellStyle name="Normal 2 8 3 2" xfId="390"/>
    <cellStyle name="Normal 2 8 4" xfId="391"/>
    <cellStyle name="Normal 2 8 4 2" xfId="392"/>
    <cellStyle name="Normal 2 8 5" xfId="393"/>
    <cellStyle name="Normal 2 8 5 2" xfId="394"/>
    <cellStyle name="Normal 2 8 6" xfId="395"/>
    <cellStyle name="Normal 2 8 6 2" xfId="396"/>
    <cellStyle name="Normal 2 8 7" xfId="397"/>
    <cellStyle name="Normal 2 8 7 2" xfId="398"/>
    <cellStyle name="Normal 2 8 8" xfId="399"/>
    <cellStyle name="Normal 2 8 8 2" xfId="400"/>
    <cellStyle name="Normal 2 8 9" xfId="401"/>
    <cellStyle name="Normal 2 9" xfId="402"/>
    <cellStyle name="Normal 2 9 10" xfId="403"/>
    <cellStyle name="Normal 2 9 11" xfId="404"/>
    <cellStyle name="Normal 2 9 2" xfId="405"/>
    <cellStyle name="Normal 2 9 2 2" xfId="406"/>
    <cellStyle name="Normal 2 9 3" xfId="407"/>
    <cellStyle name="Normal 2 9 3 2" xfId="408"/>
    <cellStyle name="Normal 2 9 4" xfId="409"/>
    <cellStyle name="Normal 2 9 4 2" xfId="410"/>
    <cellStyle name="Normal 2 9 5" xfId="411"/>
    <cellStyle name="Normal 2 9 5 2" xfId="412"/>
    <cellStyle name="Normal 2 9 6" xfId="413"/>
    <cellStyle name="Normal 2 9 6 2" xfId="414"/>
    <cellStyle name="Normal 2 9 7" xfId="415"/>
    <cellStyle name="Normal 2 9 7 2" xfId="416"/>
    <cellStyle name="Normal 2 9 8" xfId="417"/>
    <cellStyle name="Normal 2 9 8 2" xfId="418"/>
    <cellStyle name="Normal 2 9 9" xfId="419"/>
    <cellStyle name="Normal 20" xfId="420"/>
    <cellStyle name="Normal 20 2" xfId="421"/>
    <cellStyle name="Normal 20 3" xfId="422"/>
    <cellStyle name="Normal 21" xfId="423"/>
    <cellStyle name="Normal 21 2" xfId="424"/>
    <cellStyle name="Normal 21 2 2" xfId="425"/>
    <cellStyle name="Normal 21 2 3" xfId="426"/>
    <cellStyle name="Normal 21 3" xfId="427"/>
    <cellStyle name="Normal 21 4" xfId="428"/>
    <cellStyle name="Normal 21 5" xfId="429"/>
    <cellStyle name="Normal 22" xfId="430"/>
    <cellStyle name="Normal 22 2" xfId="431"/>
    <cellStyle name="Normal 22 3" xfId="432"/>
    <cellStyle name="Normal 23" xfId="433"/>
    <cellStyle name="Normal 23 2" xfId="434"/>
    <cellStyle name="Normal 23 3" xfId="435"/>
    <cellStyle name="Normal 24" xfId="436"/>
    <cellStyle name="Normal 24 2" xfId="437"/>
    <cellStyle name="Normal 24 3" xfId="438"/>
    <cellStyle name="Normal 25" xfId="439"/>
    <cellStyle name="Normal 25 2" xfId="440"/>
    <cellStyle name="Normal 25 3" xfId="441"/>
    <cellStyle name="Normal 26" xfId="442"/>
    <cellStyle name="Normal 3" xfId="443"/>
    <cellStyle name="Normal 3 10" xfId="444"/>
    <cellStyle name="Normal 3 10 2" xfId="445"/>
    <cellStyle name="Normal 3 11" xfId="446"/>
    <cellStyle name="Normal 3 12" xfId="447"/>
    <cellStyle name="Normal 3 13" xfId="448"/>
    <cellStyle name="Normal 3 14" xfId="449"/>
    <cellStyle name="Normal 3 15" xfId="450"/>
    <cellStyle name="Normal 3 2" xfId="451"/>
    <cellStyle name="Normal 3 2 2" xfId="452"/>
    <cellStyle name="Normal 3 2 2 2" xfId="453"/>
    <cellStyle name="Normal 3 2 2 3" xfId="454"/>
    <cellStyle name="Normal 3 2 3" xfId="455"/>
    <cellStyle name="Normal 3 2 4" xfId="456"/>
    <cellStyle name="Normal 3 2 5" xfId="457"/>
    <cellStyle name="Normal 3 3" xfId="458"/>
    <cellStyle name="Normal 3 3 2" xfId="459"/>
    <cellStyle name="Normal 3 3 2 2" xfId="460"/>
    <cellStyle name="Normal 3 3 2 3" xfId="461"/>
    <cellStyle name="Normal 3 3 3" xfId="462"/>
    <cellStyle name="Normal 3 3 4" xfId="463"/>
    <cellStyle name="Normal 3 4" xfId="464"/>
    <cellStyle name="Normal 3 5" xfId="465"/>
    <cellStyle name="Normal 3 6" xfId="466"/>
    <cellStyle name="Normal 3 7" xfId="467"/>
    <cellStyle name="Normal 3 7 2" xfId="468"/>
    <cellStyle name="Normal 3 7 3" xfId="469"/>
    <cellStyle name="Normal 3 8" xfId="470"/>
    <cellStyle name="Normal 3 8 2" xfId="471"/>
    <cellStyle name="Normal 3 8 3" xfId="472"/>
    <cellStyle name="Normal 3 9" xfId="473"/>
    <cellStyle name="Normal 3 9 2" xfId="474"/>
    <cellStyle name="Normal 3 9 3" xfId="475"/>
    <cellStyle name="Normal 4" xfId="476"/>
    <cellStyle name="Normal 4 10" xfId="477"/>
    <cellStyle name="Normal 4 11" xfId="478"/>
    <cellStyle name="Normal 4 12" xfId="479"/>
    <cellStyle name="Normal 4 13" xfId="480"/>
    <cellStyle name="Normal 4 2" xfId="481"/>
    <cellStyle name="Normal 4 2 2" xfId="482"/>
    <cellStyle name="Normal 4 2 2 2" xfId="483"/>
    <cellStyle name="Normal 4 2 2 3" xfId="484"/>
    <cellStyle name="Normal 4 2 3" xfId="485"/>
    <cellStyle name="Normal 4 2 4" xfId="486"/>
    <cellStyle name="Normal 4 2 5" xfId="487"/>
    <cellStyle name="Normal 4 3" xfId="488"/>
    <cellStyle name="Normal 4 3 2" xfId="489"/>
    <cellStyle name="Normal 4 3 3" xfId="490"/>
    <cellStyle name="Normal 4 4" xfId="491"/>
    <cellStyle name="Normal 4 5" xfId="492"/>
    <cellStyle name="Normal 4 5 2" xfId="493"/>
    <cellStyle name="Normal 4 5 3" xfId="494"/>
    <cellStyle name="Normal 4 6" xfId="495"/>
    <cellStyle name="Normal 4 6 2" xfId="496"/>
    <cellStyle name="Normal 4 6 3" xfId="497"/>
    <cellStyle name="Normal 4 7" xfId="498"/>
    <cellStyle name="Normal 4 8" xfId="499"/>
    <cellStyle name="Normal 4 9" xfId="500"/>
    <cellStyle name="Normal 5" xfId="501"/>
    <cellStyle name="Normal 5 2" xfId="502"/>
    <cellStyle name="Normal 5 3" xfId="503"/>
    <cellStyle name="Normal 5 3 2" xfId="504"/>
    <cellStyle name="Normal 5 3 3" xfId="505"/>
    <cellStyle name="Normal 5 4" xfId="506"/>
    <cellStyle name="Normal 5 5" xfId="507"/>
    <cellStyle name="Normal 5 5 2" xfId="508"/>
    <cellStyle name="Normal 5 5 3" xfId="509"/>
    <cellStyle name="Normal 5 6" xfId="510"/>
    <cellStyle name="Normal 6" xfId="511"/>
    <cellStyle name="Normal 6 2" xfId="512"/>
    <cellStyle name="Normal 6 3" xfId="513"/>
    <cellStyle name="Normal 6 4" xfId="514"/>
    <cellStyle name="Normal 6 5" xfId="515"/>
    <cellStyle name="Normal 7" xfId="516"/>
    <cellStyle name="Normal 7 2" xfId="517"/>
    <cellStyle name="Normal 7 2 2" xfId="518"/>
    <cellStyle name="Normal 7 2 2 2" xfId="519"/>
    <cellStyle name="Normal 7 2 3" xfId="520"/>
    <cellStyle name="Normal 7 2 4" xfId="521"/>
    <cellStyle name="Normal 7 2 5" xfId="522"/>
    <cellStyle name="Normal 7 3" xfId="523"/>
    <cellStyle name="Normal 7 4" xfId="524"/>
    <cellStyle name="Normal 7 4 2" xfId="525"/>
    <cellStyle name="Normal 7 4 3" xfId="526"/>
    <cellStyle name="Normal 7 5" xfId="527"/>
    <cellStyle name="Normal 7 5 2" xfId="528"/>
    <cellStyle name="Normal 7 5 3" xfId="529"/>
    <cellStyle name="Normal 7 5 4" xfId="530"/>
    <cellStyle name="Normal 7 6" xfId="531"/>
    <cellStyle name="Normal 7 7" xfId="532"/>
    <cellStyle name="Normal 8" xfId="533"/>
    <cellStyle name="Normal 8 2" xfId="534"/>
    <cellStyle name="Normal 8 3" xfId="535"/>
    <cellStyle name="Normal 9" xfId="536"/>
    <cellStyle name="Normal 9 2" xfId="537"/>
    <cellStyle name="Normal 9 2 2" xfId="538"/>
    <cellStyle name="Normal 9 3" xfId="539"/>
    <cellStyle name="Normal 9 4" xfId="540"/>
    <cellStyle name="Normal 9 5" xfId="541"/>
    <cellStyle name="Normal 9 6" xfId="542"/>
    <cellStyle name="Normal 9 6 2" xfId="543"/>
    <cellStyle name="Normal 9 6 3" xfId="544"/>
    <cellStyle name="Normal_debt" xfId="545"/>
    <cellStyle name="Normal_lpform" xfId="546"/>
    <cellStyle name="Note" xfId="547"/>
    <cellStyle name="Output" xfId="548"/>
    <cellStyle name="Percent" xfId="549"/>
    <cellStyle name="Title" xfId="550"/>
    <cellStyle name="Total" xfId="551"/>
    <cellStyle name="Warning Text" xfId="552"/>
  </cellStyles>
  <dxfs count="182">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5.xml.rels><?xml version="1.0" encoding="utf-8" standalone="yes"?><Relationships xmlns="http://schemas.openxmlformats.org/package/2006/relationships"><Relationship Id="rId1" Type="http://schemas.openxmlformats.org/officeDocument/2006/relationships/hyperlink" Target="mailto:delcpa@ruralte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9"/>
  <sheetViews>
    <sheetView zoomScale="75" zoomScaleNormal="75" zoomScalePageLayoutView="0" workbookViewId="0" topLeftCell="A19">
      <selection activeCell="A19" sqref="A19"/>
    </sheetView>
  </sheetViews>
  <sheetFormatPr defaultColWidth="8.796875" defaultRowHeight="15"/>
  <cols>
    <col min="1" max="1" width="88.796875" style="48" customWidth="1"/>
    <col min="2" max="16384" width="8.8984375" style="48" customWidth="1"/>
  </cols>
  <sheetData>
    <row r="1" ht="15.75">
      <c r="A1" s="47" t="s">
        <v>287</v>
      </c>
    </row>
    <row r="3" ht="34.5" customHeight="1">
      <c r="A3" s="654" t="s">
        <v>847</v>
      </c>
    </row>
    <row r="4" ht="15.75">
      <c r="A4" s="49"/>
    </row>
    <row r="5" ht="52.5" customHeight="1">
      <c r="A5" s="50" t="s">
        <v>288</v>
      </c>
    </row>
    <row r="6" ht="15.75">
      <c r="A6" s="50"/>
    </row>
    <row r="7" ht="31.5">
      <c r="A7" s="50" t="s">
        <v>91</v>
      </c>
    </row>
    <row r="8" ht="15.75">
      <c r="A8" s="50"/>
    </row>
    <row r="9" ht="54.75" customHeight="1">
      <c r="A9" s="50" t="s">
        <v>76</v>
      </c>
    </row>
    <row r="10" ht="15.75">
      <c r="A10" s="50"/>
    </row>
    <row r="11" ht="15.75">
      <c r="A11" s="50" t="s">
        <v>283</v>
      </c>
    </row>
    <row r="13" ht="118.5" customHeight="1">
      <c r="A13" s="50" t="s">
        <v>71</v>
      </c>
    </row>
    <row r="14" ht="15.75">
      <c r="A14" s="50"/>
    </row>
    <row r="15" ht="106.5" customHeight="1">
      <c r="A15" s="50" t="s">
        <v>72</v>
      </c>
    </row>
    <row r="17" ht="15.75">
      <c r="A17" s="47" t="s">
        <v>592</v>
      </c>
    </row>
    <row r="18" ht="15.75">
      <c r="A18" s="47"/>
    </row>
    <row r="19" ht="15.75">
      <c r="A19" s="49" t="s">
        <v>74</v>
      </c>
    </row>
    <row r="20" ht="15.75">
      <c r="A20" s="49"/>
    </row>
    <row r="21" ht="15.75">
      <c r="A21" s="48" t="s">
        <v>312</v>
      </c>
    </row>
    <row r="23" ht="72" customHeight="1">
      <c r="A23" s="51" t="s">
        <v>75</v>
      </c>
    </row>
    <row r="24" ht="13.5" customHeight="1">
      <c r="A24" s="51"/>
    </row>
    <row r="27" ht="15.75">
      <c r="A27" s="47" t="s">
        <v>118</v>
      </c>
    </row>
    <row r="29" ht="34.5" customHeight="1">
      <c r="A29" s="50" t="s">
        <v>70</v>
      </c>
    </row>
    <row r="30" ht="9.75" customHeight="1">
      <c r="A30" s="50"/>
    </row>
    <row r="31" ht="15.75">
      <c r="A31" s="52" t="s">
        <v>35</v>
      </c>
    </row>
    <row r="32" ht="15.75">
      <c r="A32" s="50"/>
    </row>
    <row r="33" ht="17.25" customHeight="1">
      <c r="A33" s="53" t="s">
        <v>262</v>
      </c>
    </row>
    <row r="34" ht="17.25" customHeight="1">
      <c r="A34" s="54"/>
    </row>
    <row r="35" ht="87.75" customHeight="1">
      <c r="A35" s="55" t="s">
        <v>59</v>
      </c>
    </row>
    <row r="37" ht="15.75">
      <c r="A37" s="56" t="s">
        <v>36</v>
      </c>
    </row>
    <row r="39" ht="15.75">
      <c r="A39" s="57" t="s">
        <v>73</v>
      </c>
    </row>
    <row r="41" ht="15.75">
      <c r="A41" s="50" t="s">
        <v>119</v>
      </c>
    </row>
    <row r="43" ht="15.75">
      <c r="A43" s="47" t="s">
        <v>120</v>
      </c>
    </row>
    <row r="45" ht="70.5" customHeight="1">
      <c r="A45" s="50" t="s">
        <v>744</v>
      </c>
    </row>
    <row r="46" ht="52.5" customHeight="1">
      <c r="A46" s="58" t="s">
        <v>49</v>
      </c>
    </row>
    <row r="47" ht="9" customHeight="1">
      <c r="A47" s="50"/>
    </row>
    <row r="48" ht="69.75" customHeight="1">
      <c r="A48" s="50" t="s">
        <v>745</v>
      </c>
    </row>
    <row r="49" ht="53.25" customHeight="1">
      <c r="A49" s="50" t="s">
        <v>50</v>
      </c>
    </row>
    <row r="50" ht="102.75" customHeight="1">
      <c r="A50" s="50" t="s">
        <v>111</v>
      </c>
    </row>
    <row r="51" ht="73.5" customHeight="1">
      <c r="A51" s="391" t="s">
        <v>593</v>
      </c>
    </row>
    <row r="52" ht="69.75" customHeight="1">
      <c r="A52" s="392" t="s">
        <v>594</v>
      </c>
    </row>
    <row r="53" ht="69.75" customHeight="1">
      <c r="A53" s="642" t="s">
        <v>795</v>
      </c>
    </row>
    <row r="54" ht="12" customHeight="1">
      <c r="A54" s="50"/>
    </row>
    <row r="55" ht="68.25" customHeight="1">
      <c r="A55" s="50" t="s">
        <v>595</v>
      </c>
    </row>
    <row r="56" ht="81" customHeight="1">
      <c r="A56" s="50" t="s">
        <v>885</v>
      </c>
    </row>
    <row r="57" ht="31.5">
      <c r="A57" s="50" t="s">
        <v>596</v>
      </c>
    </row>
    <row r="58" ht="31.5">
      <c r="A58" s="50" t="s">
        <v>597</v>
      </c>
    </row>
    <row r="59" ht="12" customHeight="1"/>
    <row r="60" ht="68.25" customHeight="1">
      <c r="A60" s="50" t="s">
        <v>851</v>
      </c>
    </row>
    <row r="61" ht="128.25" customHeight="1">
      <c r="A61" s="50" t="s">
        <v>886</v>
      </c>
    </row>
    <row r="62" ht="41.25" customHeight="1">
      <c r="A62" s="50" t="s">
        <v>852</v>
      </c>
    </row>
    <row r="63" ht="10.5" customHeight="1">
      <c r="A63" s="50"/>
    </row>
    <row r="64" ht="68.25" customHeight="1">
      <c r="A64" s="50" t="s">
        <v>796</v>
      </c>
    </row>
    <row r="65" ht="10.5" customHeight="1">
      <c r="A65" s="50"/>
    </row>
    <row r="66" ht="72.75" customHeight="1">
      <c r="A66" s="50" t="s">
        <v>598</v>
      </c>
    </row>
    <row r="67" ht="31.5" customHeight="1">
      <c r="A67" s="50" t="s">
        <v>611</v>
      </c>
    </row>
    <row r="68" ht="82.5" customHeight="1">
      <c r="A68" s="50" t="s">
        <v>612</v>
      </c>
    </row>
    <row r="69" ht="37.5" customHeight="1">
      <c r="A69" s="369" t="s">
        <v>610</v>
      </c>
    </row>
    <row r="70" ht="12" customHeight="1">
      <c r="A70" s="50"/>
    </row>
    <row r="71" ht="54" customHeight="1">
      <c r="A71" s="50" t="s">
        <v>599</v>
      </c>
    </row>
    <row r="72" ht="12" customHeight="1"/>
    <row r="73" s="50" customFormat="1" ht="69" customHeight="1">
      <c r="A73" s="50" t="s">
        <v>600</v>
      </c>
    </row>
    <row r="74" ht="12" customHeight="1"/>
    <row r="75" ht="87" customHeight="1">
      <c r="A75" s="50" t="s">
        <v>601</v>
      </c>
    </row>
    <row r="76" ht="87" customHeight="1">
      <c r="A76" s="481" t="s">
        <v>797</v>
      </c>
    </row>
    <row r="77" ht="87" customHeight="1">
      <c r="A77" s="481" t="s">
        <v>798</v>
      </c>
    </row>
    <row r="78" ht="87" customHeight="1">
      <c r="A78" s="481" t="s">
        <v>799</v>
      </c>
    </row>
    <row r="79" ht="72" customHeight="1">
      <c r="A79" s="50" t="s">
        <v>800</v>
      </c>
    </row>
    <row r="80" ht="116.25" customHeight="1">
      <c r="A80" s="50" t="s">
        <v>801</v>
      </c>
    </row>
    <row r="81" ht="132.75" customHeight="1">
      <c r="A81" s="50" t="s">
        <v>802</v>
      </c>
    </row>
    <row r="82" ht="84" customHeight="1">
      <c r="A82" s="481" t="s">
        <v>803</v>
      </c>
    </row>
    <row r="83" ht="124.5" customHeight="1">
      <c r="A83" s="50" t="s">
        <v>804</v>
      </c>
    </row>
    <row r="84" ht="38.25" customHeight="1">
      <c r="A84" s="50" t="s">
        <v>805</v>
      </c>
    </row>
    <row r="85" ht="85.5" customHeight="1">
      <c r="A85" s="50" t="s">
        <v>806</v>
      </c>
    </row>
    <row r="86" ht="40.5" customHeight="1">
      <c r="A86" s="50" t="s">
        <v>807</v>
      </c>
    </row>
    <row r="87" ht="140.25" customHeight="1">
      <c r="A87" s="366" t="s">
        <v>808</v>
      </c>
    </row>
    <row r="88" ht="119.25" customHeight="1">
      <c r="A88" s="367" t="s">
        <v>809</v>
      </c>
    </row>
    <row r="89" ht="59.25" customHeight="1">
      <c r="A89" s="368" t="s">
        <v>810</v>
      </c>
    </row>
    <row r="91" ht="154.5" customHeight="1">
      <c r="A91" s="50" t="s">
        <v>602</v>
      </c>
    </row>
    <row r="92" ht="132" customHeight="1">
      <c r="A92" s="50" t="s">
        <v>603</v>
      </c>
    </row>
    <row r="93" ht="54" customHeight="1">
      <c r="A93" s="50" t="s">
        <v>604</v>
      </c>
    </row>
    <row r="94" ht="21.75" customHeight="1">
      <c r="A94" s="50" t="s">
        <v>605</v>
      </c>
    </row>
    <row r="96" ht="52.5" customHeight="1">
      <c r="A96" s="50" t="s">
        <v>606</v>
      </c>
    </row>
    <row r="97" ht="22.5" customHeight="1">
      <c r="A97" s="648" t="s">
        <v>839</v>
      </c>
    </row>
    <row r="98" ht="31.5" customHeight="1">
      <c r="A98" s="481" t="s">
        <v>840</v>
      </c>
    </row>
    <row r="99" ht="109.5" customHeight="1">
      <c r="A99" s="481" t="s">
        <v>841</v>
      </c>
    </row>
    <row r="100" ht="126" customHeight="1">
      <c r="A100" s="481" t="s">
        <v>842</v>
      </c>
    </row>
    <row r="101" ht="71.25" customHeight="1">
      <c r="A101" s="649" t="s">
        <v>843</v>
      </c>
    </row>
    <row r="102" ht="57.75" customHeight="1">
      <c r="A102" s="50" t="s">
        <v>844</v>
      </c>
    </row>
    <row r="103" ht="57.75" customHeight="1">
      <c r="A103" s="50" t="s">
        <v>845</v>
      </c>
    </row>
    <row r="104" ht="10.5" customHeight="1"/>
    <row r="105" ht="57" customHeight="1">
      <c r="A105" s="50" t="s">
        <v>607</v>
      </c>
    </row>
    <row r="106" ht="15.75" customHeight="1"/>
    <row r="107" ht="54" customHeight="1">
      <c r="A107" s="481" t="s">
        <v>746</v>
      </c>
    </row>
    <row r="108" ht="93" customHeight="1">
      <c r="A108" s="481" t="s">
        <v>747</v>
      </c>
    </row>
    <row r="109" ht="104.25" customHeight="1">
      <c r="A109" s="481" t="s">
        <v>748</v>
      </c>
    </row>
  </sheetData>
  <sheetProtection sheet="1"/>
  <printOptions/>
  <pageMargins left="0.5" right="0.5" top="0.5" bottom="0.5" header="0.5" footer="0.5"/>
  <pageSetup blackAndWhite="1" fitToHeight="2" horizontalDpi="300" verticalDpi="300" orientation="portrait" scale="90" r:id="rId1"/>
  <rowBreaks count="1" manualBreakCount="1">
    <brk id="26" max="0" man="1"/>
  </rowBreaks>
</worksheet>
</file>

<file path=xl/worksheets/sheet10.xml><?xml version="1.0" encoding="utf-8"?>
<worksheet xmlns="http://schemas.openxmlformats.org/spreadsheetml/2006/main" xmlns:r="http://schemas.openxmlformats.org/officeDocument/2006/relationships">
  <dimension ref="A1:G48"/>
  <sheetViews>
    <sheetView zoomScalePageLayoutView="0" workbookViewId="0" topLeftCell="A49">
      <selection activeCell="A31" sqref="A31"/>
    </sheetView>
  </sheetViews>
  <sheetFormatPr defaultColWidth="8.796875" defaultRowHeight="15"/>
  <cols>
    <col min="1" max="1" width="70.3984375" style="137" customWidth="1"/>
    <col min="2" max="16384" width="8.8984375" style="137" customWidth="1"/>
  </cols>
  <sheetData>
    <row r="1" spans="1:7" ht="30" customHeight="1">
      <c r="A1" s="425" t="s">
        <v>315</v>
      </c>
      <c r="B1" s="424"/>
      <c r="C1" s="424"/>
      <c r="D1" s="424"/>
      <c r="E1" s="424"/>
      <c r="F1" s="424"/>
      <c r="G1" s="424"/>
    </row>
    <row r="2" ht="15.75" customHeight="1">
      <c r="A2" s="2"/>
    </row>
    <row r="3" ht="54" customHeight="1">
      <c r="A3" s="423" t="s">
        <v>628</v>
      </c>
    </row>
    <row r="4" ht="15.75" customHeight="1">
      <c r="A4" s="2"/>
    </row>
    <row r="5" ht="52.5" customHeight="1">
      <c r="A5" s="423" t="s">
        <v>629</v>
      </c>
    </row>
    <row r="6" ht="15.75" customHeight="1">
      <c r="A6" s="2"/>
    </row>
    <row r="7" s="421" customFormat="1" ht="45.75" customHeight="1">
      <c r="A7" s="422" t="s">
        <v>354</v>
      </c>
    </row>
    <row r="8" ht="15.75" customHeight="1">
      <c r="A8" s="2"/>
    </row>
    <row r="9" ht="46.5" customHeight="1">
      <c r="A9" s="422" t="s">
        <v>355</v>
      </c>
    </row>
    <row r="10" ht="15.75" customHeight="1"/>
    <row r="11" ht="45.75" customHeight="1">
      <c r="A11" s="422" t="s">
        <v>356</v>
      </c>
    </row>
    <row r="12" ht="15.75" customHeight="1">
      <c r="A12" s="2"/>
    </row>
    <row r="13" ht="62.25" customHeight="1">
      <c r="A13" s="422" t="s">
        <v>357</v>
      </c>
    </row>
    <row r="14" ht="15.75" customHeight="1">
      <c r="A14" s="2"/>
    </row>
    <row r="15" ht="32.25" customHeight="1">
      <c r="A15" s="422" t="s">
        <v>358</v>
      </c>
    </row>
    <row r="16" ht="15.75" customHeight="1"/>
    <row r="17" ht="67.5" customHeight="1">
      <c r="A17" s="420" t="s">
        <v>630</v>
      </c>
    </row>
    <row r="18" ht="15.75" customHeight="1"/>
    <row r="19" ht="81" customHeight="1">
      <c r="A19" s="420" t="s">
        <v>359</v>
      </c>
    </row>
    <row r="20" ht="15.75" customHeight="1">
      <c r="A20" s="2"/>
    </row>
    <row r="21" ht="78" customHeight="1">
      <c r="A21" s="422" t="s">
        <v>360</v>
      </c>
    </row>
    <row r="22" ht="15.75" customHeight="1">
      <c r="A22" s="2"/>
    </row>
    <row r="23" ht="44.25" customHeight="1">
      <c r="A23" s="422" t="s">
        <v>361</v>
      </c>
    </row>
    <row r="24" ht="15.75" customHeight="1"/>
    <row r="25" ht="53.25" customHeight="1">
      <c r="A25" s="420" t="s">
        <v>362</v>
      </c>
    </row>
    <row r="26" ht="16.5" customHeight="1">
      <c r="A26" s="2"/>
    </row>
    <row r="27" ht="40.5" customHeight="1">
      <c r="A27" s="423" t="s">
        <v>631</v>
      </c>
    </row>
    <row r="28" ht="16.5" customHeight="1">
      <c r="A28" s="2"/>
    </row>
    <row r="29" ht="69.75" customHeight="1">
      <c r="A29" s="422" t="s">
        <v>363</v>
      </c>
    </row>
    <row r="30" ht="15.75" customHeight="1">
      <c r="A30" s="2"/>
    </row>
    <row r="31" ht="79.5" customHeight="1">
      <c r="A31" s="422" t="s">
        <v>759</v>
      </c>
    </row>
    <row r="32" ht="15.75" customHeight="1">
      <c r="A32" s="2"/>
    </row>
    <row r="33" ht="58.5" customHeight="1">
      <c r="A33" s="422" t="s">
        <v>364</v>
      </c>
    </row>
    <row r="35" ht="60.75" customHeight="1">
      <c r="A35" s="422" t="s">
        <v>365</v>
      </c>
    </row>
    <row r="36" ht="15.75">
      <c r="A36" s="2"/>
    </row>
    <row r="37" ht="82.5" customHeight="1">
      <c r="A37" s="422" t="s">
        <v>366</v>
      </c>
    </row>
    <row r="38" ht="15.75">
      <c r="A38" s="419"/>
    </row>
    <row r="39" ht="15.75">
      <c r="A39" s="419"/>
    </row>
    <row r="41" ht="15.75">
      <c r="A41" s="419"/>
    </row>
    <row r="42" ht="15.75">
      <c r="A42" s="419"/>
    </row>
    <row r="44" ht="15.75">
      <c r="A44" s="2"/>
    </row>
    <row r="45" ht="15.75">
      <c r="A45" s="419"/>
    </row>
    <row r="47" ht="15.75">
      <c r="A47" s="419"/>
    </row>
    <row r="48" ht="15.75">
      <c r="A48" s="419"/>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AC42"/>
  <sheetViews>
    <sheetView view="pageBreakPreview" zoomScale="60" zoomScaleNormal="75" zoomScalePageLayoutView="0" workbookViewId="0" topLeftCell="A1">
      <selection activeCell="E28" sqref="E28"/>
    </sheetView>
  </sheetViews>
  <sheetFormatPr defaultColWidth="8.796875" defaultRowHeight="15"/>
  <cols>
    <col min="1" max="1" width="5.3984375" style="116" customWidth="1"/>
    <col min="2" max="2" width="20.796875" style="116" customWidth="1"/>
    <col min="3" max="3" width="9.3984375" style="116" customWidth="1"/>
    <col min="4" max="4" width="9.796875" style="116" customWidth="1"/>
    <col min="5" max="5" width="8.796875" style="116" customWidth="1"/>
    <col min="6" max="6" width="12.796875" style="116" customWidth="1"/>
    <col min="7" max="7" width="14" style="116" customWidth="1"/>
    <col min="8" max="13" width="9.796875" style="116" customWidth="1"/>
    <col min="14" max="16384" width="8.8984375" style="116" customWidth="1"/>
  </cols>
  <sheetData>
    <row r="1" spans="2:13" ht="15.75">
      <c r="B1" s="198" t="str">
        <f>inputPrYr!$C$2</f>
        <v>Sheridan County</v>
      </c>
      <c r="C1" s="60"/>
      <c r="D1" s="60"/>
      <c r="E1" s="60"/>
      <c r="F1" s="60"/>
      <c r="G1" s="60"/>
      <c r="H1" s="60"/>
      <c r="I1" s="60"/>
      <c r="J1" s="60"/>
      <c r="K1" s="60"/>
      <c r="L1" s="60"/>
      <c r="M1" s="219">
        <f>inputPrYr!$C$4</f>
        <v>2015</v>
      </c>
    </row>
    <row r="2" spans="2:13" ht="15.75">
      <c r="B2" s="198"/>
      <c r="C2" s="60"/>
      <c r="D2" s="60"/>
      <c r="E2" s="60"/>
      <c r="F2" s="60"/>
      <c r="G2" s="60"/>
      <c r="H2" s="60"/>
      <c r="I2" s="60"/>
      <c r="J2" s="60"/>
      <c r="K2" s="60"/>
      <c r="L2" s="60"/>
      <c r="M2" s="205"/>
    </row>
    <row r="3" spans="2:13" ht="15.75">
      <c r="B3" s="220" t="s">
        <v>229</v>
      </c>
      <c r="C3" s="66"/>
      <c r="D3" s="66"/>
      <c r="E3" s="66"/>
      <c r="F3" s="66"/>
      <c r="G3" s="66"/>
      <c r="H3" s="66"/>
      <c r="I3" s="66"/>
      <c r="J3" s="66"/>
      <c r="K3" s="66"/>
      <c r="L3" s="66"/>
      <c r="M3" s="66"/>
    </row>
    <row r="4" spans="2:13" ht="15.75">
      <c r="B4" s="60"/>
      <c r="C4" s="221"/>
      <c r="D4" s="221"/>
      <c r="E4" s="221"/>
      <c r="F4" s="221"/>
      <c r="G4" s="221"/>
      <c r="H4" s="221"/>
      <c r="I4" s="221"/>
      <c r="J4" s="221"/>
      <c r="K4" s="221"/>
      <c r="L4" s="221"/>
      <c r="M4" s="221"/>
    </row>
    <row r="5" spans="2:13" ht="15.75">
      <c r="B5" s="222" t="s">
        <v>760</v>
      </c>
      <c r="C5" s="222" t="s">
        <v>198</v>
      </c>
      <c r="D5" s="222" t="s">
        <v>198</v>
      </c>
      <c r="E5" s="222" t="s">
        <v>212</v>
      </c>
      <c r="F5" s="222"/>
      <c r="G5" s="222" t="s">
        <v>305</v>
      </c>
      <c r="H5" s="60"/>
      <c r="I5" s="60"/>
      <c r="J5" s="223" t="s">
        <v>199</v>
      </c>
      <c r="K5" s="224"/>
      <c r="L5" s="223" t="s">
        <v>199</v>
      </c>
      <c r="M5" s="224"/>
    </row>
    <row r="6" spans="2:13" ht="15.75">
      <c r="B6" s="225" t="s">
        <v>200</v>
      </c>
      <c r="C6" s="225" t="s">
        <v>200</v>
      </c>
      <c r="D6" s="225" t="s">
        <v>306</v>
      </c>
      <c r="E6" s="225" t="s">
        <v>201</v>
      </c>
      <c r="F6" s="225" t="s">
        <v>143</v>
      </c>
      <c r="G6" s="225" t="s">
        <v>265</v>
      </c>
      <c r="H6" s="784" t="s">
        <v>202</v>
      </c>
      <c r="I6" s="785"/>
      <c r="J6" s="786">
        <f>M1-1</f>
        <v>2014</v>
      </c>
      <c r="K6" s="787"/>
      <c r="L6" s="786">
        <f>M1</f>
        <v>2015</v>
      </c>
      <c r="M6" s="787"/>
    </row>
    <row r="7" spans="2:13" ht="15.75">
      <c r="B7" s="228" t="s">
        <v>761</v>
      </c>
      <c r="C7" s="228" t="s">
        <v>203</v>
      </c>
      <c r="D7" s="228" t="s">
        <v>307</v>
      </c>
      <c r="E7" s="228" t="s">
        <v>165</v>
      </c>
      <c r="F7" s="228" t="s">
        <v>204</v>
      </c>
      <c r="G7" s="226" t="str">
        <f>CONCATENATE("Jan 1,",M1-1,"")</f>
        <v>Jan 1,2014</v>
      </c>
      <c r="H7" s="217" t="s">
        <v>212</v>
      </c>
      <c r="I7" s="217" t="s">
        <v>213</v>
      </c>
      <c r="J7" s="217" t="s">
        <v>212</v>
      </c>
      <c r="K7" s="217" t="s">
        <v>213</v>
      </c>
      <c r="L7" s="217" t="s">
        <v>212</v>
      </c>
      <c r="M7" s="217" t="s">
        <v>213</v>
      </c>
    </row>
    <row r="8" spans="2:13" ht="15.75">
      <c r="B8" s="227" t="s">
        <v>205</v>
      </c>
      <c r="C8" s="81"/>
      <c r="D8" s="81"/>
      <c r="E8" s="229"/>
      <c r="F8" s="230"/>
      <c r="G8" s="230"/>
      <c r="H8" s="81"/>
      <c r="I8" s="81"/>
      <c r="J8" s="230"/>
      <c r="K8" s="230"/>
      <c r="L8" s="230"/>
      <c r="M8" s="230"/>
    </row>
    <row r="9" spans="2:13" ht="15.75">
      <c r="B9" s="231" t="s">
        <v>941</v>
      </c>
      <c r="C9" s="398"/>
      <c r="D9" s="398"/>
      <c r="E9" s="232"/>
      <c r="F9" s="233"/>
      <c r="G9" s="234"/>
      <c r="H9" s="235"/>
      <c r="I9" s="235"/>
      <c r="J9" s="234"/>
      <c r="K9" s="234"/>
      <c r="L9" s="234"/>
      <c r="M9" s="234"/>
    </row>
    <row r="10" spans="2:13" ht="15.75">
      <c r="B10" s="231"/>
      <c r="C10" s="398"/>
      <c r="D10" s="398"/>
      <c r="E10" s="232"/>
      <c r="F10" s="233"/>
      <c r="G10" s="234"/>
      <c r="H10" s="235"/>
      <c r="I10" s="235"/>
      <c r="J10" s="234"/>
      <c r="K10" s="234"/>
      <c r="L10" s="234"/>
      <c r="M10" s="234"/>
    </row>
    <row r="11" spans="2:13" ht="15.75">
      <c r="B11" s="231"/>
      <c r="C11" s="398"/>
      <c r="D11" s="398"/>
      <c r="E11" s="232"/>
      <c r="F11" s="233"/>
      <c r="G11" s="234"/>
      <c r="H11" s="235"/>
      <c r="I11" s="235"/>
      <c r="J11" s="234"/>
      <c r="K11" s="234"/>
      <c r="L11" s="234"/>
      <c r="M11" s="234"/>
    </row>
    <row r="12" spans="2:13" ht="15.75">
      <c r="B12" s="231"/>
      <c r="C12" s="398"/>
      <c r="D12" s="398"/>
      <c r="E12" s="232"/>
      <c r="F12" s="233"/>
      <c r="G12" s="234"/>
      <c r="H12" s="235"/>
      <c r="I12" s="235"/>
      <c r="J12" s="234"/>
      <c r="K12" s="234"/>
      <c r="L12" s="234"/>
      <c r="M12" s="234"/>
    </row>
    <row r="13" spans="2:13" ht="15.75">
      <c r="B13" s="231"/>
      <c r="C13" s="398"/>
      <c r="D13" s="398"/>
      <c r="E13" s="232"/>
      <c r="F13" s="233"/>
      <c r="G13" s="234"/>
      <c r="H13" s="235"/>
      <c r="I13" s="235"/>
      <c r="J13" s="234"/>
      <c r="K13" s="234"/>
      <c r="L13" s="234"/>
      <c r="M13" s="234"/>
    </row>
    <row r="14" spans="2:13" ht="15.75">
      <c r="B14" s="231"/>
      <c r="C14" s="398"/>
      <c r="D14" s="398"/>
      <c r="E14" s="232"/>
      <c r="F14" s="233"/>
      <c r="G14" s="234"/>
      <c r="H14" s="235"/>
      <c r="I14" s="235"/>
      <c r="J14" s="234"/>
      <c r="K14" s="234"/>
      <c r="L14" s="234"/>
      <c r="M14" s="234"/>
    </row>
    <row r="15" spans="2:13" ht="15.75">
      <c r="B15" s="231"/>
      <c r="C15" s="398"/>
      <c r="D15" s="398"/>
      <c r="E15" s="232"/>
      <c r="F15" s="233"/>
      <c r="G15" s="234"/>
      <c r="H15" s="235"/>
      <c r="I15" s="235"/>
      <c r="J15" s="234"/>
      <c r="K15" s="234"/>
      <c r="L15" s="234"/>
      <c r="M15" s="234"/>
    </row>
    <row r="16" spans="2:13" ht="15.75">
      <c r="B16" s="231"/>
      <c r="C16" s="398"/>
      <c r="D16" s="398"/>
      <c r="E16" s="232"/>
      <c r="F16" s="233"/>
      <c r="G16" s="234"/>
      <c r="H16" s="235"/>
      <c r="I16" s="235"/>
      <c r="J16" s="234"/>
      <c r="K16" s="234"/>
      <c r="L16" s="234"/>
      <c r="M16" s="234"/>
    </row>
    <row r="17" spans="2:13" ht="15.75">
      <c r="B17" s="231"/>
      <c r="C17" s="398"/>
      <c r="D17" s="398"/>
      <c r="E17" s="232"/>
      <c r="F17" s="233"/>
      <c r="G17" s="234"/>
      <c r="H17" s="235"/>
      <c r="I17" s="235"/>
      <c r="J17" s="234"/>
      <c r="K17" s="234"/>
      <c r="L17" s="234"/>
      <c r="M17" s="234"/>
    </row>
    <row r="18" spans="2:13" ht="15.75">
      <c r="B18" s="231"/>
      <c r="C18" s="398"/>
      <c r="D18" s="398"/>
      <c r="E18" s="232"/>
      <c r="F18" s="233"/>
      <c r="G18" s="234"/>
      <c r="H18" s="235"/>
      <c r="I18" s="235"/>
      <c r="J18" s="234"/>
      <c r="K18" s="234"/>
      <c r="L18" s="234"/>
      <c r="M18" s="234"/>
    </row>
    <row r="19" spans="2:13" ht="15.75">
      <c r="B19" s="236" t="s">
        <v>206</v>
      </c>
      <c r="C19" s="237"/>
      <c r="D19" s="237"/>
      <c r="E19" s="238"/>
      <c r="F19" s="239"/>
      <c r="G19" s="240">
        <f>SUM(G9:G18)</f>
        <v>0</v>
      </c>
      <c r="H19" s="241"/>
      <c r="I19" s="241"/>
      <c r="J19" s="240">
        <f>SUM(J9:J18)</f>
        <v>0</v>
      </c>
      <c r="K19" s="240">
        <f>SUM(K9:K18)</f>
        <v>0</v>
      </c>
      <c r="L19" s="240">
        <f>SUM(L9:L18)</f>
        <v>0</v>
      </c>
      <c r="M19" s="240">
        <f>SUM(M9:M18)</f>
        <v>0</v>
      </c>
    </row>
    <row r="20" spans="2:13" ht="15.75">
      <c r="B20" s="217" t="s">
        <v>207</v>
      </c>
      <c r="C20" s="242"/>
      <c r="D20" s="242"/>
      <c r="E20" s="243"/>
      <c r="F20" s="244"/>
      <c r="G20" s="244"/>
      <c r="H20" s="245"/>
      <c r="I20" s="245"/>
      <c r="J20" s="244"/>
      <c r="K20" s="244"/>
      <c r="L20" s="244"/>
      <c r="M20" s="244"/>
    </row>
    <row r="21" spans="2:13" ht="15.75">
      <c r="B21" s="231" t="s">
        <v>941</v>
      </c>
      <c r="C21" s="398"/>
      <c r="D21" s="398"/>
      <c r="E21" s="232"/>
      <c r="F21" s="233"/>
      <c r="G21" s="234"/>
      <c r="H21" s="235"/>
      <c r="I21" s="235"/>
      <c r="J21" s="234"/>
      <c r="K21" s="234"/>
      <c r="L21" s="234"/>
      <c r="M21" s="234"/>
    </row>
    <row r="22" spans="2:13" ht="15.75">
      <c r="B22" s="231"/>
      <c r="C22" s="398"/>
      <c r="D22" s="398"/>
      <c r="E22" s="232"/>
      <c r="F22" s="233"/>
      <c r="G22" s="234"/>
      <c r="H22" s="235"/>
      <c r="I22" s="235"/>
      <c r="J22" s="234"/>
      <c r="K22" s="234"/>
      <c r="L22" s="234"/>
      <c r="M22" s="234"/>
    </row>
    <row r="23" spans="2:13" ht="15.75">
      <c r="B23" s="231"/>
      <c r="C23" s="398"/>
      <c r="D23" s="398"/>
      <c r="E23" s="232"/>
      <c r="F23" s="233"/>
      <c r="G23" s="234"/>
      <c r="H23" s="235"/>
      <c r="I23" s="235"/>
      <c r="J23" s="234"/>
      <c r="K23" s="234"/>
      <c r="L23" s="234"/>
      <c r="M23" s="234"/>
    </row>
    <row r="24" spans="2:13" ht="15.75">
      <c r="B24" s="231"/>
      <c r="C24" s="398"/>
      <c r="D24" s="398"/>
      <c r="E24" s="232"/>
      <c r="F24" s="233"/>
      <c r="G24" s="234"/>
      <c r="H24" s="235"/>
      <c r="I24" s="235"/>
      <c r="J24" s="234"/>
      <c r="K24" s="234"/>
      <c r="L24" s="234"/>
      <c r="M24" s="234"/>
    </row>
    <row r="25" spans="2:13" ht="15.75">
      <c r="B25" s="231"/>
      <c r="C25" s="398"/>
      <c r="D25" s="398"/>
      <c r="E25" s="232"/>
      <c r="F25" s="233"/>
      <c r="G25" s="234"/>
      <c r="H25" s="235"/>
      <c r="I25" s="235"/>
      <c r="J25" s="234"/>
      <c r="K25" s="234"/>
      <c r="L25" s="234"/>
      <c r="M25" s="234"/>
    </row>
    <row r="26" spans="2:13" ht="15.75">
      <c r="B26" s="231"/>
      <c r="C26" s="398"/>
      <c r="D26" s="398"/>
      <c r="E26" s="232"/>
      <c r="F26" s="233"/>
      <c r="G26" s="234"/>
      <c r="H26" s="235"/>
      <c r="I26" s="235"/>
      <c r="J26" s="234"/>
      <c r="K26" s="234"/>
      <c r="L26" s="234"/>
      <c r="M26" s="234"/>
    </row>
    <row r="27" spans="2:13" ht="15.75">
      <c r="B27" s="236" t="s">
        <v>208</v>
      </c>
      <c r="C27" s="237"/>
      <c r="D27" s="237"/>
      <c r="E27" s="246"/>
      <c r="F27" s="239"/>
      <c r="G27" s="247">
        <f>SUM(G21:G26)</f>
        <v>0</v>
      </c>
      <c r="H27" s="241"/>
      <c r="I27" s="241"/>
      <c r="J27" s="247">
        <f>SUM(J21:J26)</f>
        <v>0</v>
      </c>
      <c r="K27" s="247">
        <f>SUM(K21:K26)</f>
        <v>0</v>
      </c>
      <c r="L27" s="240">
        <f>SUM(L21:L26)</f>
        <v>0</v>
      </c>
      <c r="M27" s="247">
        <f>SUM(M21:M26)</f>
        <v>0</v>
      </c>
    </row>
    <row r="28" spans="2:13" ht="15.75">
      <c r="B28" s="217" t="s">
        <v>209</v>
      </c>
      <c r="C28" s="242"/>
      <c r="D28" s="242"/>
      <c r="E28" s="243"/>
      <c r="F28" s="244"/>
      <c r="G28" s="248"/>
      <c r="H28" s="245"/>
      <c r="I28" s="245"/>
      <c r="J28" s="244"/>
      <c r="K28" s="244"/>
      <c r="L28" s="244"/>
      <c r="M28" s="244"/>
    </row>
    <row r="29" spans="2:13" ht="15.75">
      <c r="B29" s="231" t="s">
        <v>941</v>
      </c>
      <c r="C29" s="398"/>
      <c r="D29" s="398"/>
      <c r="E29" s="232"/>
      <c r="F29" s="233"/>
      <c r="G29" s="234"/>
      <c r="H29" s="235"/>
      <c r="I29" s="235"/>
      <c r="J29" s="234"/>
      <c r="K29" s="234"/>
      <c r="L29" s="234"/>
      <c r="M29" s="234"/>
    </row>
    <row r="30" spans="2:13" ht="15.75">
      <c r="B30" s="231"/>
      <c r="C30" s="398"/>
      <c r="D30" s="398"/>
      <c r="E30" s="232"/>
      <c r="F30" s="233"/>
      <c r="G30" s="234"/>
      <c r="H30" s="235"/>
      <c r="I30" s="235"/>
      <c r="J30" s="234"/>
      <c r="K30" s="234"/>
      <c r="L30" s="234"/>
      <c r="M30" s="234"/>
    </row>
    <row r="31" spans="2:13" ht="15.75">
      <c r="B31" s="231"/>
      <c r="C31" s="398"/>
      <c r="D31" s="398"/>
      <c r="E31" s="232"/>
      <c r="F31" s="233"/>
      <c r="G31" s="234"/>
      <c r="H31" s="235"/>
      <c r="I31" s="235"/>
      <c r="J31" s="234"/>
      <c r="K31" s="234"/>
      <c r="L31" s="234"/>
      <c r="M31" s="234"/>
    </row>
    <row r="32" spans="2:13" ht="15.75">
      <c r="B32" s="231"/>
      <c r="C32" s="398"/>
      <c r="D32" s="398"/>
      <c r="E32" s="232"/>
      <c r="F32" s="233"/>
      <c r="G32" s="234"/>
      <c r="H32" s="235"/>
      <c r="I32" s="235"/>
      <c r="J32" s="234"/>
      <c r="K32" s="234"/>
      <c r="L32" s="234"/>
      <c r="M32" s="234"/>
    </row>
    <row r="33" spans="2:13" ht="15.75">
      <c r="B33" s="231"/>
      <c r="C33" s="398"/>
      <c r="D33" s="398"/>
      <c r="E33" s="232"/>
      <c r="F33" s="233"/>
      <c r="G33" s="234"/>
      <c r="H33" s="235"/>
      <c r="I33" s="235"/>
      <c r="J33" s="234"/>
      <c r="K33" s="234"/>
      <c r="L33" s="234"/>
      <c r="M33" s="234"/>
    </row>
    <row r="34" spans="2:13" ht="15.75">
      <c r="B34" s="231"/>
      <c r="C34" s="398"/>
      <c r="D34" s="398"/>
      <c r="E34" s="232"/>
      <c r="F34" s="233"/>
      <c r="G34" s="234"/>
      <c r="H34" s="235"/>
      <c r="I34" s="235"/>
      <c r="J34" s="234"/>
      <c r="K34" s="234"/>
      <c r="L34" s="234"/>
      <c r="M34" s="234"/>
    </row>
    <row r="35" spans="2:29" ht="15.75">
      <c r="B35" s="231"/>
      <c r="C35" s="398"/>
      <c r="D35" s="398"/>
      <c r="E35" s="232"/>
      <c r="F35" s="233"/>
      <c r="G35" s="234"/>
      <c r="H35" s="235"/>
      <c r="I35" s="235"/>
      <c r="J35" s="234"/>
      <c r="K35" s="234"/>
      <c r="L35" s="234"/>
      <c r="M35" s="234"/>
      <c r="N35" s="48"/>
      <c r="O35" s="48"/>
      <c r="P35" s="48"/>
      <c r="Q35" s="48"/>
      <c r="R35" s="48"/>
      <c r="S35" s="48"/>
      <c r="T35" s="48"/>
      <c r="U35" s="48"/>
      <c r="V35" s="48"/>
      <c r="W35" s="48"/>
      <c r="X35" s="48"/>
      <c r="Y35" s="48"/>
      <c r="Z35" s="48"/>
      <c r="AA35" s="48"/>
      <c r="AB35" s="48"/>
      <c r="AC35" s="48"/>
    </row>
    <row r="36" spans="2:13" ht="15.75">
      <c r="B36" s="236" t="s">
        <v>308</v>
      </c>
      <c r="C36" s="236"/>
      <c r="D36" s="236"/>
      <c r="E36" s="246"/>
      <c r="F36" s="239"/>
      <c r="G36" s="247">
        <f>SUM(G29:G35)</f>
        <v>0</v>
      </c>
      <c r="H36" s="239"/>
      <c r="I36" s="239"/>
      <c r="J36" s="247">
        <f>SUM(J29:J35)</f>
        <v>0</v>
      </c>
      <c r="K36" s="247">
        <f>SUM(K29:K35)</f>
        <v>0</v>
      </c>
      <c r="L36" s="247">
        <f>SUM(L29:L35)</f>
        <v>0</v>
      </c>
      <c r="M36" s="247">
        <f>SUM(M29:M35)</f>
        <v>0</v>
      </c>
    </row>
    <row r="37" spans="2:13" ht="15.75">
      <c r="B37" s="236" t="s">
        <v>210</v>
      </c>
      <c r="C37" s="236"/>
      <c r="D37" s="236"/>
      <c r="E37" s="236"/>
      <c r="F37" s="239"/>
      <c r="G37" s="247">
        <f>SUM(G19+G27+G36)</f>
        <v>0</v>
      </c>
      <c r="H37" s="239"/>
      <c r="I37" s="239"/>
      <c r="J37" s="247">
        <f>SUM(J19+J27+J36)</f>
        <v>0</v>
      </c>
      <c r="K37" s="247">
        <f>SUM(K19+K27+K36)</f>
        <v>0</v>
      </c>
      <c r="L37" s="247">
        <f>SUM(L19+L27+L36)</f>
        <v>0</v>
      </c>
      <c r="M37" s="247">
        <f>SUM(M19+M27+M36)</f>
        <v>0</v>
      </c>
    </row>
    <row r="38" spans="2:13" ht="15.75">
      <c r="B38" s="48"/>
      <c r="C38" s="48"/>
      <c r="D38" s="48"/>
      <c r="E38" s="48"/>
      <c r="F38" s="48"/>
      <c r="G38" s="48"/>
      <c r="H38" s="48"/>
      <c r="I38" s="48"/>
      <c r="J38" s="48"/>
      <c r="K38" s="48"/>
      <c r="L38" s="48"/>
      <c r="M38" s="48"/>
    </row>
    <row r="39" spans="6:13" ht="15.75">
      <c r="F39" s="249"/>
      <c r="G39" s="249"/>
      <c r="J39" s="249"/>
      <c r="K39" s="249"/>
      <c r="L39" s="249"/>
      <c r="M39" s="249"/>
    </row>
    <row r="40" spans="6:14" ht="15.75">
      <c r="F40" s="48"/>
      <c r="H40" s="250"/>
      <c r="N40" s="48"/>
    </row>
    <row r="41" spans="2:13" ht="15.75">
      <c r="B41" s="48"/>
      <c r="C41" s="48"/>
      <c r="D41" s="48"/>
      <c r="E41" s="48"/>
      <c r="F41" s="48"/>
      <c r="G41" s="48"/>
      <c r="H41" s="48"/>
      <c r="I41" s="48"/>
      <c r="J41" s="48"/>
      <c r="K41" s="48"/>
      <c r="L41" s="48"/>
      <c r="M41" s="48"/>
    </row>
    <row r="42" spans="2:13" ht="15.75">
      <c r="B42" s="48"/>
      <c r="C42" s="48"/>
      <c r="D42" s="48"/>
      <c r="E42" s="48"/>
      <c r="F42" s="48"/>
      <c r="G42" s="48"/>
      <c r="H42" s="48"/>
      <c r="I42" s="48"/>
      <c r="J42" s="48"/>
      <c r="K42" s="48"/>
      <c r="L42" s="48"/>
      <c r="M42" s="48"/>
    </row>
  </sheetData>
  <sheetProtection sheet="1"/>
  <mergeCells count="3">
    <mergeCell ref="H6:I6"/>
    <mergeCell ref="J6:K6"/>
    <mergeCell ref="L6:M6"/>
  </mergeCells>
  <printOptions/>
  <pageMargins left="0.38" right="0.5" top="0.78" bottom="0.4" header="0.5" footer="0"/>
  <pageSetup blackAndWhite="1" fitToHeight="1" fitToWidth="1" horizontalDpi="120" verticalDpi="120" orientation="landscape" scale="77" r:id="rId1"/>
  <headerFooter alignWithMargins="0">
    <oddHeader>&amp;RState of Kansas
County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48"/>
  <sheetViews>
    <sheetView view="pageBreakPreview" zoomScale="60" zoomScaleNormal="75" zoomScalePageLayoutView="0" workbookViewId="0" topLeftCell="A1">
      <selection activeCell="G10" sqref="G10"/>
    </sheetView>
  </sheetViews>
  <sheetFormatPr defaultColWidth="8.796875" defaultRowHeight="15"/>
  <cols>
    <col min="1" max="1" width="4.796875" style="48" customWidth="1"/>
    <col min="2" max="2" width="25.796875" style="48" customWidth="1"/>
    <col min="3" max="5" width="9.796875" style="48" customWidth="1"/>
    <col min="6" max="6" width="17.09765625" style="48" customWidth="1"/>
    <col min="7" max="9" width="15.796875" style="48" customWidth="1"/>
    <col min="10" max="16384" width="8.8984375" style="48" customWidth="1"/>
  </cols>
  <sheetData>
    <row r="1" spans="2:9" ht="15.75">
      <c r="B1" s="198" t="str">
        <f>inputPrYr!$C$2</f>
        <v>Sheridan County</v>
      </c>
      <c r="C1" s="60"/>
      <c r="D1" s="60"/>
      <c r="E1" s="60"/>
      <c r="F1" s="60"/>
      <c r="G1" s="60"/>
      <c r="H1" s="60"/>
      <c r="I1" s="251">
        <f>inputPrYr!C4</f>
        <v>2015</v>
      </c>
    </row>
    <row r="2" spans="2:9" ht="15.75">
      <c r="B2" s="60"/>
      <c r="C2" s="60"/>
      <c r="D2" s="60"/>
      <c r="E2" s="60"/>
      <c r="F2" s="60"/>
      <c r="G2" s="60"/>
      <c r="H2" s="60"/>
      <c r="I2" s="205"/>
    </row>
    <row r="3" spans="2:9" ht="15.75">
      <c r="B3" s="60"/>
      <c r="C3" s="66"/>
      <c r="D3" s="66"/>
      <c r="E3" s="66"/>
      <c r="F3" s="66"/>
      <c r="G3" s="66"/>
      <c r="H3" s="66"/>
      <c r="I3" s="252"/>
    </row>
    <row r="4" spans="2:9" ht="15.75">
      <c r="B4" s="220" t="s">
        <v>222</v>
      </c>
      <c r="C4" s="66"/>
      <c r="D4" s="66"/>
      <c r="E4" s="66"/>
      <c r="F4" s="66"/>
      <c r="G4" s="66"/>
      <c r="H4" s="66"/>
      <c r="I4" s="66"/>
    </row>
    <row r="5" spans="2:9" ht="15.75">
      <c r="B5" s="87"/>
      <c r="C5" s="221"/>
      <c r="D5" s="221"/>
      <c r="E5" s="221"/>
      <c r="F5" s="221"/>
      <c r="G5" s="221"/>
      <c r="H5" s="221"/>
      <c r="I5" s="221"/>
    </row>
    <row r="6" spans="2:9" ht="15.75">
      <c r="B6" s="253"/>
      <c r="C6" s="254"/>
      <c r="D6" s="254"/>
      <c r="E6" s="254"/>
      <c r="F6" s="222" t="s">
        <v>123</v>
      </c>
      <c r="G6" s="254"/>
      <c r="H6" s="254"/>
      <c r="I6" s="254"/>
    </row>
    <row r="7" spans="2:9" ht="15.75">
      <c r="B7" s="253"/>
      <c r="C7" s="225"/>
      <c r="D7" s="225" t="s">
        <v>211</v>
      </c>
      <c r="E7" s="225" t="s">
        <v>212</v>
      </c>
      <c r="F7" s="225" t="s">
        <v>143</v>
      </c>
      <c r="G7" s="225" t="s">
        <v>213</v>
      </c>
      <c r="H7" s="225" t="s">
        <v>214</v>
      </c>
      <c r="I7" s="225" t="s">
        <v>214</v>
      </c>
    </row>
    <row r="8" spans="2:9" ht="15.75">
      <c r="B8" s="565" t="s">
        <v>763</v>
      </c>
      <c r="C8" s="225" t="s">
        <v>215</v>
      </c>
      <c r="D8" s="225" t="s">
        <v>216</v>
      </c>
      <c r="E8" s="225" t="s">
        <v>201</v>
      </c>
      <c r="F8" s="225" t="s">
        <v>217</v>
      </c>
      <c r="G8" s="225" t="s">
        <v>255</v>
      </c>
      <c r="H8" s="225" t="s">
        <v>218</v>
      </c>
      <c r="I8" s="225" t="s">
        <v>218</v>
      </c>
    </row>
    <row r="9" spans="2:9" ht="15.75">
      <c r="B9" s="554" t="s">
        <v>762</v>
      </c>
      <c r="C9" s="228" t="s">
        <v>198</v>
      </c>
      <c r="D9" s="256" t="s">
        <v>219</v>
      </c>
      <c r="E9" s="228" t="s">
        <v>165</v>
      </c>
      <c r="F9" s="256" t="s">
        <v>266</v>
      </c>
      <c r="G9" s="257" t="str">
        <f>CONCATENATE("Jan 1,",I1-1,"")</f>
        <v>Jan 1,2014</v>
      </c>
      <c r="H9" s="228">
        <f>I1-1</f>
        <v>2014</v>
      </c>
      <c r="I9" s="228">
        <f>I1</f>
        <v>2015</v>
      </c>
    </row>
    <row r="10" spans="2:9" ht="15.75">
      <c r="B10" s="258" t="s">
        <v>942</v>
      </c>
      <c r="C10" s="397">
        <v>41410</v>
      </c>
      <c r="D10" s="259">
        <v>240</v>
      </c>
      <c r="E10" s="260">
        <v>4</v>
      </c>
      <c r="F10" s="85">
        <v>1500000</v>
      </c>
      <c r="G10" s="85">
        <v>1401580</v>
      </c>
      <c r="H10" s="85"/>
      <c r="I10" s="85">
        <v>110373</v>
      </c>
    </row>
    <row r="11" spans="2:9" ht="15.75">
      <c r="B11" s="258"/>
      <c r="C11" s="258"/>
      <c r="D11" s="259"/>
      <c r="E11" s="260"/>
      <c r="F11" s="85"/>
      <c r="G11" s="85"/>
      <c r="H11" s="85"/>
      <c r="I11" s="85"/>
    </row>
    <row r="12" spans="2:9" ht="15.75">
      <c r="B12" s="258"/>
      <c r="C12" s="397"/>
      <c r="D12" s="259"/>
      <c r="E12" s="260"/>
      <c r="F12" s="85"/>
      <c r="G12" s="85"/>
      <c r="H12" s="85"/>
      <c r="I12" s="85"/>
    </row>
    <row r="13" spans="2:9" ht="15.75">
      <c r="B13" s="258"/>
      <c r="C13" s="258"/>
      <c r="D13" s="259"/>
      <c r="E13" s="260"/>
      <c r="F13" s="85"/>
      <c r="G13" s="85"/>
      <c r="H13" s="85"/>
      <c r="I13" s="85"/>
    </row>
    <row r="14" spans="2:9" ht="15.75">
      <c r="B14" s="258"/>
      <c r="C14" s="258"/>
      <c r="D14" s="259"/>
      <c r="E14" s="260"/>
      <c r="F14" s="85"/>
      <c r="G14" s="85"/>
      <c r="H14" s="85"/>
      <c r="I14" s="85"/>
    </row>
    <row r="15" spans="2:9" ht="15.75">
      <c r="B15" s="258"/>
      <c r="C15" s="258"/>
      <c r="D15" s="259"/>
      <c r="E15" s="260"/>
      <c r="F15" s="85"/>
      <c r="G15" s="85"/>
      <c r="H15" s="85"/>
      <c r="I15" s="85"/>
    </row>
    <row r="16" spans="2:9" ht="15.75">
      <c r="B16" s="258"/>
      <c r="C16" s="258"/>
      <c r="D16" s="259"/>
      <c r="E16" s="260"/>
      <c r="F16" s="85"/>
      <c r="G16" s="85"/>
      <c r="H16" s="85"/>
      <c r="I16" s="85"/>
    </row>
    <row r="17" spans="2:9" ht="15.75">
      <c r="B17" s="258"/>
      <c r="C17" s="258"/>
      <c r="D17" s="259"/>
      <c r="E17" s="260"/>
      <c r="F17" s="85"/>
      <c r="G17" s="85"/>
      <c r="H17" s="85"/>
      <c r="I17" s="85"/>
    </row>
    <row r="18" spans="2:9" ht="15.75">
      <c r="B18" s="258"/>
      <c r="C18" s="258"/>
      <c r="D18" s="259"/>
      <c r="E18" s="260"/>
      <c r="F18" s="85"/>
      <c r="G18" s="85"/>
      <c r="H18" s="85"/>
      <c r="I18" s="85"/>
    </row>
    <row r="19" spans="2:9" ht="15.75">
      <c r="B19" s="258"/>
      <c r="C19" s="258"/>
      <c r="D19" s="259"/>
      <c r="E19" s="260"/>
      <c r="F19" s="85"/>
      <c r="G19" s="85"/>
      <c r="H19" s="85"/>
      <c r="I19" s="85"/>
    </row>
    <row r="20" spans="2:9" ht="15.75">
      <c r="B20" s="258"/>
      <c r="C20" s="258"/>
      <c r="D20" s="259"/>
      <c r="E20" s="260"/>
      <c r="F20" s="85"/>
      <c r="G20" s="85"/>
      <c r="H20" s="85"/>
      <c r="I20" s="85"/>
    </row>
    <row r="21" spans="2:9" ht="15.75">
      <c r="B21" s="258"/>
      <c r="C21" s="258"/>
      <c r="D21" s="259"/>
      <c r="E21" s="260"/>
      <c r="F21" s="85"/>
      <c r="G21" s="85"/>
      <c r="H21" s="85"/>
      <c r="I21" s="85"/>
    </row>
    <row r="22" spans="2:9" ht="15.75">
      <c r="B22" s="258"/>
      <c r="C22" s="258"/>
      <c r="D22" s="259"/>
      <c r="E22" s="260"/>
      <c r="F22" s="85"/>
      <c r="G22" s="85"/>
      <c r="H22" s="85"/>
      <c r="I22" s="85"/>
    </row>
    <row r="23" spans="2:9" ht="15.75">
      <c r="B23" s="258"/>
      <c r="C23" s="258"/>
      <c r="D23" s="259"/>
      <c r="E23" s="260"/>
      <c r="F23" s="85"/>
      <c r="G23" s="85"/>
      <c r="H23" s="85"/>
      <c r="I23" s="85"/>
    </row>
    <row r="24" spans="2:9" ht="15.75">
      <c r="B24" s="258"/>
      <c r="C24" s="258"/>
      <c r="D24" s="259"/>
      <c r="E24" s="260"/>
      <c r="F24" s="85"/>
      <c r="G24" s="85"/>
      <c r="H24" s="85"/>
      <c r="I24" s="85"/>
    </row>
    <row r="25" spans="2:9" ht="15.75">
      <c r="B25" s="258"/>
      <c r="C25" s="258"/>
      <c r="D25" s="259"/>
      <c r="E25" s="260"/>
      <c r="F25" s="85"/>
      <c r="G25" s="85"/>
      <c r="H25" s="85"/>
      <c r="I25" s="85"/>
    </row>
    <row r="26" spans="2:9" ht="15.75">
      <c r="B26" s="258"/>
      <c r="C26" s="258"/>
      <c r="D26" s="259"/>
      <c r="E26" s="260"/>
      <c r="F26" s="85"/>
      <c r="G26" s="85"/>
      <c r="H26" s="85"/>
      <c r="I26" s="85"/>
    </row>
    <row r="27" spans="2:9" ht="15.75">
      <c r="B27" s="258"/>
      <c r="C27" s="258"/>
      <c r="D27" s="259"/>
      <c r="E27" s="260"/>
      <c r="F27" s="85"/>
      <c r="G27" s="85"/>
      <c r="H27" s="85"/>
      <c r="I27" s="85"/>
    </row>
    <row r="28" spans="2:9" ht="15.75">
      <c r="B28" s="258"/>
      <c r="C28" s="258"/>
      <c r="D28" s="259"/>
      <c r="E28" s="260"/>
      <c r="F28" s="85"/>
      <c r="G28" s="85"/>
      <c r="H28" s="85"/>
      <c r="I28" s="85"/>
    </row>
    <row r="29" spans="2:9" ht="15.75">
      <c r="B29" s="258"/>
      <c r="C29" s="258"/>
      <c r="D29" s="259"/>
      <c r="E29" s="260"/>
      <c r="F29" s="85"/>
      <c r="G29" s="85"/>
      <c r="H29" s="85"/>
      <c r="I29" s="85"/>
    </row>
    <row r="30" spans="2:9" ht="15.75">
      <c r="B30" s="258"/>
      <c r="C30" s="258"/>
      <c r="D30" s="259"/>
      <c r="E30" s="260"/>
      <c r="F30" s="85"/>
      <c r="G30" s="85"/>
      <c r="H30" s="85"/>
      <c r="I30" s="85"/>
    </row>
    <row r="31" spans="2:9" ht="15.75">
      <c r="B31" s="258"/>
      <c r="C31" s="258"/>
      <c r="D31" s="259"/>
      <c r="E31" s="260"/>
      <c r="F31" s="85"/>
      <c r="G31" s="85"/>
      <c r="H31" s="85"/>
      <c r="I31" s="85"/>
    </row>
    <row r="32" spans="2:9" ht="15.75">
      <c r="B32" s="258"/>
      <c r="C32" s="258"/>
      <c r="D32" s="259"/>
      <c r="E32" s="260"/>
      <c r="F32" s="85"/>
      <c r="G32" s="85"/>
      <c r="H32" s="85"/>
      <c r="I32" s="85"/>
    </row>
    <row r="33" spans="2:9" ht="15.75">
      <c r="B33" s="258"/>
      <c r="C33" s="258"/>
      <c r="D33" s="259"/>
      <c r="E33" s="260"/>
      <c r="F33" s="85"/>
      <c r="G33" s="85"/>
      <c r="H33" s="85"/>
      <c r="I33" s="85"/>
    </row>
    <row r="34" spans="2:9" ht="15.75">
      <c r="B34" s="258"/>
      <c r="C34" s="258"/>
      <c r="D34" s="259"/>
      <c r="E34" s="260"/>
      <c r="F34" s="85"/>
      <c r="G34" s="85"/>
      <c r="H34" s="85"/>
      <c r="I34" s="85"/>
    </row>
    <row r="35" spans="2:9" ht="15.75">
      <c r="B35" s="258"/>
      <c r="C35" s="258"/>
      <c r="D35" s="259"/>
      <c r="E35" s="260"/>
      <c r="F35" s="85"/>
      <c r="G35" s="85"/>
      <c r="H35" s="85"/>
      <c r="I35" s="85"/>
    </row>
    <row r="36" spans="2:9" ht="15.75">
      <c r="B36" s="258"/>
      <c r="C36" s="258"/>
      <c r="D36" s="259"/>
      <c r="E36" s="260"/>
      <c r="F36" s="85"/>
      <c r="G36" s="85"/>
      <c r="H36" s="85"/>
      <c r="I36" s="85"/>
    </row>
    <row r="37" spans="2:10" ht="16.5" thickBot="1">
      <c r="B37" s="566"/>
      <c r="C37" s="60"/>
      <c r="D37" s="60"/>
      <c r="E37" s="60"/>
      <c r="F37" s="236" t="s">
        <v>150</v>
      </c>
      <c r="G37" s="261">
        <f>SUM(G10:G36)</f>
        <v>1401580</v>
      </c>
      <c r="H37" s="261">
        <f>SUM(H10:H36)</f>
        <v>0</v>
      </c>
      <c r="I37" s="261">
        <f>SUM(I10:I36)</f>
        <v>110373</v>
      </c>
      <c r="J37" s="262"/>
    </row>
    <row r="38" spans="2:9" ht="16.5" thickTop="1">
      <c r="B38" s="60"/>
      <c r="C38" s="60"/>
      <c r="D38" s="60"/>
      <c r="E38" s="60"/>
      <c r="F38" s="60"/>
      <c r="G38" s="60"/>
      <c r="H38" s="198"/>
      <c r="I38" s="198"/>
    </row>
    <row r="39" spans="2:9" ht="15.75">
      <c r="B39" s="263" t="s">
        <v>80</v>
      </c>
      <c r="C39" s="264"/>
      <c r="D39" s="264"/>
      <c r="E39" s="264"/>
      <c r="F39" s="264"/>
      <c r="G39" s="264"/>
      <c r="H39" s="198"/>
      <c r="I39" s="198"/>
    </row>
    <row r="40" spans="2:9" ht="15.75">
      <c r="B40" s="116"/>
      <c r="C40" s="116"/>
      <c r="D40" s="250"/>
      <c r="E40" s="116"/>
      <c r="F40" s="116"/>
      <c r="G40" s="116"/>
      <c r="H40" s="249"/>
      <c r="I40" s="249"/>
    </row>
    <row r="41" spans="2:9" ht="15.75">
      <c r="B41" s="116"/>
      <c r="C41" s="116"/>
      <c r="D41" s="116"/>
      <c r="E41" s="116"/>
      <c r="F41" s="116"/>
      <c r="G41" s="116"/>
      <c r="H41" s="116"/>
      <c r="I41" s="116"/>
    </row>
    <row r="42" spans="2:9" ht="15.75">
      <c r="B42" s="116"/>
      <c r="C42" s="116"/>
      <c r="D42" s="116"/>
      <c r="E42" s="116"/>
      <c r="F42" s="116"/>
      <c r="G42" s="116"/>
      <c r="H42" s="116"/>
      <c r="I42" s="116"/>
    </row>
    <row r="43" spans="2:9" ht="15.75">
      <c r="B43" s="116"/>
      <c r="C43" s="116"/>
      <c r="D43" s="116"/>
      <c r="E43" s="116"/>
      <c r="F43" s="116"/>
      <c r="G43" s="116"/>
      <c r="H43" s="116"/>
      <c r="I43" s="116"/>
    </row>
    <row r="44" spans="2:9" ht="15.75">
      <c r="B44" s="116"/>
      <c r="C44" s="116"/>
      <c r="D44" s="116"/>
      <c r="E44" s="116"/>
      <c r="F44" s="116"/>
      <c r="G44" s="116"/>
      <c r="H44" s="116"/>
      <c r="I44" s="116"/>
    </row>
    <row r="45" spans="2:9" ht="15.75">
      <c r="B45" s="116"/>
      <c r="C45" s="116"/>
      <c r="D45" s="116"/>
      <c r="E45" s="116"/>
      <c r="F45" s="116"/>
      <c r="G45" s="116"/>
      <c r="H45" s="116"/>
      <c r="I45" s="116"/>
    </row>
    <row r="46" spans="2:9" ht="15.75">
      <c r="B46" s="116"/>
      <c r="C46" s="116"/>
      <c r="D46" s="116"/>
      <c r="E46" s="116"/>
      <c r="F46" s="116"/>
      <c r="G46" s="116"/>
      <c r="H46" s="116"/>
      <c r="I46" s="116"/>
    </row>
    <row r="47" spans="2:9" ht="15.75">
      <c r="B47" s="116"/>
      <c r="C47" s="116"/>
      <c r="D47" s="116"/>
      <c r="E47" s="116"/>
      <c r="F47" s="116"/>
      <c r="G47" s="116"/>
      <c r="H47" s="116"/>
      <c r="I47" s="116"/>
    </row>
    <row r="48" spans="2:9" ht="15.75">
      <c r="B48" s="116"/>
      <c r="C48" s="116"/>
      <c r="D48" s="116"/>
      <c r="E48" s="116"/>
      <c r="F48" s="116"/>
      <c r="G48" s="116"/>
      <c r="H48" s="116"/>
      <c r="I48" s="116"/>
    </row>
  </sheetData>
  <sheetProtection sheet="1"/>
  <printOptions/>
  <pageMargins left="0.17" right="0.5" top="0.78" bottom="0.4" header="0.5" footer="0"/>
  <pageSetup blackAndWhite="1" fitToHeight="1" fitToWidth="1" horizontalDpi="120" verticalDpi="120" orientation="landscape" scale="87" r:id="rId1"/>
  <headerFooter alignWithMargins="0">
    <oddHeader>&amp;RState of Kansas
County
</oddHeader>
    <oddFooter>&amp;CPage No. 6</oddFooter>
  </headerFooter>
</worksheet>
</file>

<file path=xl/worksheets/sheet13.xml><?xml version="1.0" encoding="utf-8"?>
<worksheet xmlns="http://schemas.openxmlformats.org/spreadsheetml/2006/main" xmlns:r="http://schemas.openxmlformats.org/officeDocument/2006/relationships">
  <dimension ref="B1:K130"/>
  <sheetViews>
    <sheetView zoomScalePageLayoutView="0" workbookViewId="0" topLeftCell="A1">
      <selection activeCell="B116" sqref="B116"/>
    </sheetView>
  </sheetViews>
  <sheetFormatPr defaultColWidth="8.796875" defaultRowHeight="15"/>
  <cols>
    <col min="1" max="1" width="2.3984375" style="48" customWidth="1"/>
    <col min="2" max="2" width="31.09765625" style="48" customWidth="1"/>
    <col min="3" max="4" width="15.796875" style="48" customWidth="1"/>
    <col min="5" max="5" width="16.19921875" style="48" customWidth="1"/>
    <col min="6" max="6" width="7.3984375" style="48" customWidth="1"/>
    <col min="7" max="7" width="10.19921875" style="48" customWidth="1"/>
    <col min="8" max="8" width="8.8984375" style="48" customWidth="1"/>
    <col min="9" max="9" width="5" style="48" customWidth="1"/>
    <col min="10" max="10" width="10" style="48" customWidth="1"/>
    <col min="11" max="16384" width="8.8984375" style="48" customWidth="1"/>
  </cols>
  <sheetData>
    <row r="1" spans="2:5" ht="15.75">
      <c r="B1" s="198" t="str">
        <f>inputPrYr!C2</f>
        <v>Sheridan County</v>
      </c>
      <c r="C1" s="60"/>
      <c r="D1" s="60"/>
      <c r="E1" s="251">
        <f>inputPrYr!C4</f>
        <v>2015</v>
      </c>
    </row>
    <row r="2" spans="2:5" ht="15.75">
      <c r="B2" s="60"/>
      <c r="C2" s="60"/>
      <c r="D2" s="60"/>
      <c r="E2" s="205"/>
    </row>
    <row r="3" spans="2:5" ht="15.75">
      <c r="B3" s="125" t="s">
        <v>227</v>
      </c>
      <c r="C3" s="60"/>
      <c r="D3" s="60"/>
      <c r="E3" s="265"/>
    </row>
    <row r="4" spans="2:5" ht="15.75">
      <c r="B4" s="266" t="s">
        <v>152</v>
      </c>
      <c r="C4" s="629" t="s">
        <v>791</v>
      </c>
      <c r="D4" s="630" t="s">
        <v>792</v>
      </c>
      <c r="E4" s="185" t="s">
        <v>793</v>
      </c>
    </row>
    <row r="5" spans="2:5" ht="15.75">
      <c r="B5" s="417" t="str">
        <f>inputPrYr!B16</f>
        <v>General</v>
      </c>
      <c r="C5" s="402" t="str">
        <f>CONCATENATE("Actual for ",E1-2,"")</f>
        <v>Actual for 2013</v>
      </c>
      <c r="D5" s="402" t="str">
        <f>CONCATENATE("Estimate for ",E1-1,"")</f>
        <v>Estimate for 2014</v>
      </c>
      <c r="E5" s="267" t="str">
        <f>CONCATENATE("Year for ",E1,"")</f>
        <v>Year for 2015</v>
      </c>
    </row>
    <row r="6" spans="2:5" ht="15.75">
      <c r="B6" s="268" t="s">
        <v>259</v>
      </c>
      <c r="C6" s="399">
        <v>683430</v>
      </c>
      <c r="D6" s="403">
        <f>C108</f>
        <v>915701</v>
      </c>
      <c r="E6" s="230">
        <f>D108</f>
        <v>1411681</v>
      </c>
    </row>
    <row r="7" spans="2:5" ht="15.75">
      <c r="B7" s="255" t="s">
        <v>261</v>
      </c>
      <c r="C7" s="270"/>
      <c r="D7" s="270"/>
      <c r="E7" s="100"/>
    </row>
    <row r="8" spans="2:5" ht="15.75">
      <c r="B8" s="268" t="s">
        <v>153</v>
      </c>
      <c r="C8" s="399">
        <v>1811687</v>
      </c>
      <c r="D8" s="403">
        <f>IF(inputPrYr!H16&gt;0,inputPrYr!H16,inputPrYr!E16)</f>
        <v>2306372</v>
      </c>
      <c r="E8" s="191" t="s">
        <v>139</v>
      </c>
    </row>
    <row r="9" spans="2:5" ht="15.75">
      <c r="B9" s="268" t="s">
        <v>154</v>
      </c>
      <c r="C9" s="399">
        <v>3237</v>
      </c>
      <c r="D9" s="399">
        <v>12139</v>
      </c>
      <c r="E9" s="271">
        <v>12000</v>
      </c>
    </row>
    <row r="10" spans="2:5" ht="15.75">
      <c r="B10" s="268" t="s">
        <v>155</v>
      </c>
      <c r="C10" s="399">
        <v>178687</v>
      </c>
      <c r="D10" s="399">
        <v>180760</v>
      </c>
      <c r="E10" s="230">
        <f>mvalloc!E7</f>
        <v>216460</v>
      </c>
    </row>
    <row r="11" spans="2:5" ht="15.75">
      <c r="B11" s="268" t="s">
        <v>156</v>
      </c>
      <c r="C11" s="399">
        <v>3415</v>
      </c>
      <c r="D11" s="399">
        <v>3275</v>
      </c>
      <c r="E11" s="230">
        <f>mvalloc!F7</f>
        <v>4298</v>
      </c>
    </row>
    <row r="12" spans="2:5" ht="15.75">
      <c r="B12" s="270" t="s">
        <v>251</v>
      </c>
      <c r="C12" s="399">
        <v>34321</v>
      </c>
      <c r="D12" s="399">
        <v>25000</v>
      </c>
      <c r="E12" s="230">
        <f>mvalloc!G7</f>
        <v>38366</v>
      </c>
    </row>
    <row r="13" spans="2:5" ht="15.75">
      <c r="B13" s="270" t="s">
        <v>1076</v>
      </c>
      <c r="C13" s="399"/>
      <c r="D13" s="399"/>
      <c r="E13" s="230">
        <v>7288</v>
      </c>
    </row>
    <row r="14" spans="2:5" ht="15.75">
      <c r="B14" s="270" t="s">
        <v>1078</v>
      </c>
      <c r="C14" s="399"/>
      <c r="D14" s="399">
        <v>16768</v>
      </c>
      <c r="E14" s="230">
        <v>16768</v>
      </c>
    </row>
    <row r="15" spans="2:5" ht="15.75">
      <c r="B15" s="272" t="s">
        <v>943</v>
      </c>
      <c r="C15" s="399">
        <v>30782</v>
      </c>
      <c r="D15" s="399">
        <v>40000</v>
      </c>
      <c r="E15" s="271">
        <v>40000</v>
      </c>
    </row>
    <row r="16" spans="2:5" ht="15.75">
      <c r="B16" s="272" t="s">
        <v>157</v>
      </c>
      <c r="C16" s="399"/>
      <c r="D16" s="399"/>
      <c r="E16" s="271"/>
    </row>
    <row r="17" spans="2:5" ht="15.75">
      <c r="B17" s="272" t="s">
        <v>944</v>
      </c>
      <c r="C17" s="399">
        <v>314956</v>
      </c>
      <c r="D17" s="399">
        <v>335000</v>
      </c>
      <c r="E17" s="271">
        <v>341000</v>
      </c>
    </row>
    <row r="18" spans="2:5" ht="15.75">
      <c r="B18" s="273" t="s">
        <v>945</v>
      </c>
      <c r="C18" s="399">
        <f>4698+2521+528</f>
        <v>7747</v>
      </c>
      <c r="D18" s="399">
        <v>6500</v>
      </c>
      <c r="E18" s="271">
        <v>6500</v>
      </c>
    </row>
    <row r="19" spans="2:5" ht="15.75">
      <c r="B19" s="273" t="s">
        <v>946</v>
      </c>
      <c r="C19" s="399">
        <v>97544</v>
      </c>
      <c r="D19" s="399">
        <v>105000</v>
      </c>
      <c r="E19" s="271">
        <v>110000</v>
      </c>
    </row>
    <row r="20" spans="2:5" ht="15.75">
      <c r="B20" s="273" t="s">
        <v>947</v>
      </c>
      <c r="C20" s="399">
        <v>2445</v>
      </c>
      <c r="D20" s="399">
        <v>3100</v>
      </c>
      <c r="E20" s="271">
        <v>2500</v>
      </c>
    </row>
    <row r="21" spans="2:5" ht="15.75">
      <c r="B21" s="272" t="s">
        <v>948</v>
      </c>
      <c r="C21" s="399">
        <v>235</v>
      </c>
      <c r="D21" s="399">
        <v>300</v>
      </c>
      <c r="E21" s="271">
        <v>300</v>
      </c>
    </row>
    <row r="22" spans="2:5" ht="15.75">
      <c r="B22" s="272" t="s">
        <v>949</v>
      </c>
      <c r="C22" s="399">
        <v>23411</v>
      </c>
      <c r="D22" s="399">
        <v>32950</v>
      </c>
      <c r="E22" s="271">
        <v>30000</v>
      </c>
    </row>
    <row r="23" spans="2:5" ht="15.75">
      <c r="B23" s="272" t="s">
        <v>950</v>
      </c>
      <c r="C23" s="399">
        <v>30221</v>
      </c>
      <c r="D23" s="399">
        <v>30375</v>
      </c>
      <c r="E23" s="271">
        <v>30300</v>
      </c>
    </row>
    <row r="24" spans="2:5" ht="15.75">
      <c r="B24" s="272" t="s">
        <v>951</v>
      </c>
      <c r="C24" s="399">
        <v>90</v>
      </c>
      <c r="D24" s="399">
        <v>100</v>
      </c>
      <c r="E24" s="271">
        <v>100</v>
      </c>
    </row>
    <row r="25" spans="2:5" ht="15.75">
      <c r="B25" s="272" t="s">
        <v>952</v>
      </c>
      <c r="C25" s="399">
        <v>800</v>
      </c>
      <c r="D25" s="399">
        <v>4800</v>
      </c>
      <c r="E25" s="271">
        <v>4800</v>
      </c>
    </row>
    <row r="26" spans="2:5" ht="15.75">
      <c r="B26" s="272" t="s">
        <v>953</v>
      </c>
      <c r="C26" s="399">
        <v>30</v>
      </c>
      <c r="D26" s="399">
        <v>85</v>
      </c>
      <c r="E26" s="271">
        <v>100</v>
      </c>
    </row>
    <row r="27" spans="2:5" ht="15.75">
      <c r="B27" s="272" t="s">
        <v>954</v>
      </c>
      <c r="C27" s="399">
        <v>323</v>
      </c>
      <c r="D27" s="399">
        <v>295</v>
      </c>
      <c r="E27" s="271">
        <v>300</v>
      </c>
    </row>
    <row r="28" spans="2:5" ht="15.75">
      <c r="B28" s="272" t="s">
        <v>955</v>
      </c>
      <c r="C28" s="399">
        <v>3800</v>
      </c>
      <c r="D28" s="399">
        <v>3500</v>
      </c>
      <c r="E28" s="271">
        <v>3500</v>
      </c>
    </row>
    <row r="29" spans="2:5" ht="15.75">
      <c r="B29" s="272" t="s">
        <v>158</v>
      </c>
      <c r="C29" s="399">
        <v>10500</v>
      </c>
      <c r="D29" s="399">
        <v>12000</v>
      </c>
      <c r="E29" s="271">
        <v>12500</v>
      </c>
    </row>
    <row r="30" spans="2:5" ht="15.75">
      <c r="B30" s="272" t="s">
        <v>956</v>
      </c>
      <c r="C30" s="399">
        <v>495</v>
      </c>
      <c r="D30" s="399">
        <v>100</v>
      </c>
      <c r="E30" s="271">
        <v>100</v>
      </c>
    </row>
    <row r="31" spans="2:5" ht="15.75">
      <c r="B31" s="272" t="s">
        <v>1077</v>
      </c>
      <c r="C31" s="399"/>
      <c r="D31" s="399">
        <v>350</v>
      </c>
      <c r="E31" s="271"/>
    </row>
    <row r="32" spans="2:5" ht="15.75">
      <c r="B32" s="272" t="s">
        <v>957</v>
      </c>
      <c r="C32" s="399">
        <v>500</v>
      </c>
      <c r="D32" s="399">
        <v>500</v>
      </c>
      <c r="E32" s="271">
        <v>750</v>
      </c>
    </row>
    <row r="33" spans="2:5" ht="15.75">
      <c r="B33" s="272" t="s">
        <v>958</v>
      </c>
      <c r="C33" s="399">
        <v>140</v>
      </c>
      <c r="D33" s="399"/>
      <c r="E33" s="271"/>
    </row>
    <row r="34" spans="2:5" ht="15.75">
      <c r="B34" s="272" t="s">
        <v>959</v>
      </c>
      <c r="C34" s="399"/>
      <c r="D34" s="399"/>
      <c r="E34" s="271"/>
    </row>
    <row r="35" spans="2:5" ht="15.75">
      <c r="B35" s="272" t="s">
        <v>960</v>
      </c>
      <c r="C35" s="399">
        <v>1328</v>
      </c>
      <c r="D35" s="399">
        <v>1000</v>
      </c>
      <c r="E35" s="271">
        <v>1000</v>
      </c>
    </row>
    <row r="36" spans="2:5" ht="15.75">
      <c r="B36" s="272" t="s">
        <v>961</v>
      </c>
      <c r="C36" s="399">
        <v>2146</v>
      </c>
      <c r="D36" s="399">
        <v>4900</v>
      </c>
      <c r="E36" s="271">
        <v>2500</v>
      </c>
    </row>
    <row r="37" spans="2:5" ht="15.75">
      <c r="B37" s="272" t="s">
        <v>962</v>
      </c>
      <c r="C37" s="399">
        <v>7400</v>
      </c>
      <c r="D37" s="399"/>
      <c r="E37" s="271"/>
    </row>
    <row r="38" spans="2:5" ht="15.75">
      <c r="B38" s="272" t="s">
        <v>963</v>
      </c>
      <c r="C38" s="399"/>
      <c r="D38" s="399"/>
      <c r="E38" s="271">
        <v>400</v>
      </c>
    </row>
    <row r="39" spans="2:5" ht="15.75">
      <c r="B39" s="272"/>
      <c r="C39" s="399"/>
      <c r="D39" s="399"/>
      <c r="E39" s="271"/>
    </row>
    <row r="40" spans="2:5" ht="15.75">
      <c r="B40" s="272" t="s">
        <v>964</v>
      </c>
      <c r="C40" s="399"/>
      <c r="D40" s="399"/>
      <c r="E40" s="271"/>
    </row>
    <row r="41" spans="2:5" ht="15.75">
      <c r="B41" s="272" t="s">
        <v>965</v>
      </c>
      <c r="C41" s="399">
        <v>14682</v>
      </c>
      <c r="D41" s="399">
        <v>14000</v>
      </c>
      <c r="E41" s="271">
        <v>16500</v>
      </c>
    </row>
    <row r="42" spans="2:5" ht="15.75">
      <c r="B42" s="272" t="s">
        <v>966</v>
      </c>
      <c r="C42" s="399">
        <v>27439</v>
      </c>
      <c r="D42" s="399">
        <v>6</v>
      </c>
      <c r="E42" s="271"/>
    </row>
    <row r="43" spans="2:5" ht="15.75">
      <c r="B43" s="272"/>
      <c r="C43" s="399"/>
      <c r="D43" s="399"/>
      <c r="E43" s="271"/>
    </row>
    <row r="44" spans="2:5" ht="15.75">
      <c r="B44" s="274" t="s">
        <v>68</v>
      </c>
      <c r="C44" s="399">
        <f>36279+138-1104-1</f>
        <v>35312</v>
      </c>
      <c r="D44" s="399">
        <v>22000</v>
      </c>
      <c r="E44" s="271"/>
    </row>
    <row r="45" spans="2:5" ht="15.75">
      <c r="B45" s="274" t="s">
        <v>634</v>
      </c>
      <c r="C45" s="400">
        <f>IF(C46*0.1&lt;C44,"Exceed 10% Rule","")</f>
      </c>
      <c r="D45" s="400">
        <f>IF(D46*0.1&lt;D44,"Exceed 10% Rule","")</f>
      </c>
      <c r="E45" s="302">
        <f>IF(E46*0.1+E114&lt;E44,"Exceed 10% Rule","")</f>
      </c>
    </row>
    <row r="46" spans="2:5" ht="15.75">
      <c r="B46" s="276" t="s">
        <v>159</v>
      </c>
      <c r="C46" s="401">
        <f>SUM(C8:C44)</f>
        <v>2643673</v>
      </c>
      <c r="D46" s="401">
        <f>SUM(D8:D44)</f>
        <v>3161175</v>
      </c>
      <c r="E46" s="306">
        <f>SUM(E9:E44)</f>
        <v>898330</v>
      </c>
    </row>
    <row r="47" spans="2:5" ht="15.75">
      <c r="B47" s="276" t="s">
        <v>160</v>
      </c>
      <c r="C47" s="401">
        <f>C6+C46</f>
        <v>3327103</v>
      </c>
      <c r="D47" s="401">
        <f>D6+D46</f>
        <v>4076876</v>
      </c>
      <c r="E47" s="306">
        <f>E6+E46</f>
        <v>2310011</v>
      </c>
    </row>
    <row r="48" spans="2:5" ht="15.75">
      <c r="B48" s="60"/>
      <c r="C48" s="198"/>
      <c r="D48" s="198"/>
      <c r="E48" s="198"/>
    </row>
    <row r="49" spans="2:5" ht="15.75">
      <c r="B49" s="60"/>
      <c r="C49" s="198"/>
      <c r="D49" s="198"/>
      <c r="E49" s="198"/>
    </row>
    <row r="50" spans="2:5" ht="15.75">
      <c r="B50" s="60"/>
      <c r="C50" s="198"/>
      <c r="D50" s="198"/>
      <c r="E50" s="198"/>
    </row>
    <row r="51" spans="2:5" ht="15.75">
      <c r="B51" s="60"/>
      <c r="C51" s="198"/>
      <c r="D51" s="198"/>
      <c r="E51" s="198"/>
    </row>
    <row r="52" spans="2:5" ht="15.75">
      <c r="B52" s="60"/>
      <c r="C52" s="198"/>
      <c r="D52" s="198"/>
      <c r="E52" s="198"/>
    </row>
    <row r="53" spans="2:5" ht="15.75">
      <c r="B53" s="60"/>
      <c r="C53" s="198"/>
      <c r="D53" s="198"/>
      <c r="E53" s="198"/>
    </row>
    <row r="54" spans="2:5" ht="15.75">
      <c r="B54" s="60"/>
      <c r="C54" s="198"/>
      <c r="D54" s="198"/>
      <c r="E54" s="198"/>
    </row>
    <row r="55" spans="2:5" ht="15.75">
      <c r="B55" s="60"/>
      <c r="C55" s="198"/>
      <c r="D55" s="198"/>
      <c r="E55" s="198"/>
    </row>
    <row r="56" spans="2:5" ht="15.75">
      <c r="B56" s="60"/>
      <c r="C56" s="198"/>
      <c r="D56" s="198"/>
      <c r="E56" s="198"/>
    </row>
    <row r="57" spans="2:5" ht="15.75">
      <c r="B57" s="60"/>
      <c r="C57" s="198"/>
      <c r="D57" s="198"/>
      <c r="E57" s="198"/>
    </row>
    <row r="58" spans="2:5" ht="15.75">
      <c r="B58" s="60"/>
      <c r="C58" s="198"/>
      <c r="D58" s="198"/>
      <c r="E58" s="198"/>
    </row>
    <row r="59" spans="2:5" ht="15.75">
      <c r="B59" s="60"/>
      <c r="C59" s="198"/>
      <c r="D59" s="198"/>
      <c r="E59" s="198"/>
    </row>
    <row r="60" spans="2:5" ht="15.75">
      <c r="B60" s="798" t="s">
        <v>269</v>
      </c>
      <c r="C60" s="798"/>
      <c r="D60" s="798"/>
      <c r="E60" s="798"/>
    </row>
    <row r="61" spans="2:5" ht="15.75">
      <c r="B61" s="198" t="str">
        <f>inputPrYr!C2</f>
        <v>Sheridan County</v>
      </c>
      <c r="C61" s="198"/>
      <c r="D61" s="198"/>
      <c r="E61" s="251">
        <f>inputPrYr!C4</f>
        <v>2015</v>
      </c>
    </row>
    <row r="62" spans="2:5" ht="15.75">
      <c r="B62" s="60"/>
      <c r="C62" s="198"/>
      <c r="D62" s="198"/>
      <c r="E62" s="205"/>
    </row>
    <row r="63" spans="2:5" ht="15.75">
      <c r="B63" s="278" t="s">
        <v>225</v>
      </c>
      <c r="C63" s="279"/>
      <c r="D63" s="279"/>
      <c r="E63" s="279"/>
    </row>
    <row r="64" spans="2:5" ht="15.75">
      <c r="B64" s="60" t="s">
        <v>152</v>
      </c>
      <c r="C64" s="629" t="s">
        <v>791</v>
      </c>
      <c r="D64" s="630" t="s">
        <v>792</v>
      </c>
      <c r="E64" s="185" t="s">
        <v>793</v>
      </c>
    </row>
    <row r="65" spans="2:5" ht="15.75">
      <c r="B65" s="87" t="s">
        <v>161</v>
      </c>
      <c r="C65" s="402" t="str">
        <f>CONCATENATE("Actual for ",E61-2,"")</f>
        <v>Actual for 2013</v>
      </c>
      <c r="D65" s="402" t="str">
        <f>CONCATENATE("Estimate for ",E61-1,"")</f>
        <v>Estimate for 2014</v>
      </c>
      <c r="E65" s="267" t="str">
        <f>CONCATENATE("Year for ",E61,"")</f>
        <v>Year for 2015</v>
      </c>
    </row>
    <row r="66" spans="2:5" ht="15.75">
      <c r="B66" s="276" t="s">
        <v>160</v>
      </c>
      <c r="C66" s="403">
        <f>C47</f>
        <v>3327103</v>
      </c>
      <c r="D66" s="403">
        <f>D47</f>
        <v>4076876</v>
      </c>
      <c r="E66" s="230">
        <f>E47</f>
        <v>2310011</v>
      </c>
    </row>
    <row r="67" spans="2:5" ht="15.75">
      <c r="B67" s="268" t="s">
        <v>162</v>
      </c>
      <c r="C67" s="403"/>
      <c r="D67" s="403"/>
      <c r="E67" s="230"/>
    </row>
    <row r="68" spans="2:5" ht="15.75">
      <c r="B68" s="270" t="str">
        <f>'gen-detail'!A7</f>
        <v>General Administration</v>
      </c>
      <c r="C68" s="403">
        <f>'gen-detail'!B17</f>
        <v>264577</v>
      </c>
      <c r="D68" s="403">
        <f>'gen-detail'!C17</f>
        <v>334500</v>
      </c>
      <c r="E68" s="230">
        <f>'gen-detail'!D17</f>
        <v>646500</v>
      </c>
    </row>
    <row r="69" spans="2:5" ht="15.75">
      <c r="B69" s="270" t="str">
        <f>'gen-detail'!A18</f>
        <v>Apportionments</v>
      </c>
      <c r="C69" s="403">
        <f>'gen-detail'!B24</f>
        <v>93098</v>
      </c>
      <c r="D69" s="403">
        <f>'gen-detail'!C24</f>
        <v>96461</v>
      </c>
      <c r="E69" s="230">
        <f>'gen-detail'!D24</f>
        <v>109563</v>
      </c>
    </row>
    <row r="70" spans="2:5" ht="15.75">
      <c r="B70" s="270" t="str">
        <f>'gen-detail'!A25</f>
        <v>Ambulance</v>
      </c>
      <c r="C70" s="403">
        <f>'gen-detail'!B32</f>
        <v>199448</v>
      </c>
      <c r="D70" s="403">
        <f>'gen-detail'!C32</f>
        <v>263500</v>
      </c>
      <c r="E70" s="230">
        <f>'gen-detail'!D32</f>
        <v>293600</v>
      </c>
    </row>
    <row r="71" spans="2:5" ht="15.75">
      <c r="B71" s="270" t="str">
        <f>'gen-detail'!A33</f>
        <v>Appraiser</v>
      </c>
      <c r="C71" s="403">
        <f>'gen-detail'!B36</f>
        <v>89780</v>
      </c>
      <c r="D71" s="403">
        <f>'gen-detail'!C36</f>
        <v>116244</v>
      </c>
      <c r="E71" s="230">
        <f>'gen-detail'!D36</f>
        <v>121300</v>
      </c>
    </row>
    <row r="72" spans="2:5" ht="15.75">
      <c r="B72" s="270" t="str">
        <f>'gen-detail'!A37</f>
        <v>County Attorney  </v>
      </c>
      <c r="C72" s="403">
        <f>'gen-detail'!B40</f>
        <v>53005</v>
      </c>
      <c r="D72" s="403">
        <f>'gen-detail'!C40</f>
        <v>53300</v>
      </c>
      <c r="E72" s="230">
        <f>'gen-detail'!D40</f>
        <v>53300</v>
      </c>
    </row>
    <row r="73" spans="2:5" ht="15.75">
      <c r="B73" s="270" t="str">
        <f>'gen-detail'!A41</f>
        <v>County Clerk</v>
      </c>
      <c r="C73" s="403">
        <f>'gen-detail'!B44</f>
        <v>113341</v>
      </c>
      <c r="D73" s="403">
        <f>'gen-detail'!C44</f>
        <v>120188</v>
      </c>
      <c r="E73" s="230">
        <f>'gen-detail'!D44</f>
        <v>120000</v>
      </c>
    </row>
    <row r="74" spans="2:5" ht="15.75">
      <c r="B74" s="270" t="str">
        <f>'gen-detail'!A45</f>
        <v>County Commissioners</v>
      </c>
      <c r="C74" s="403">
        <f>'gen-detail'!B48</f>
        <v>61882</v>
      </c>
      <c r="D74" s="403">
        <f>'gen-detail'!C48</f>
        <v>62600</v>
      </c>
      <c r="E74" s="230">
        <f>'gen-detail'!D48</f>
        <v>62600</v>
      </c>
    </row>
    <row r="75" spans="2:5" ht="15.75">
      <c r="B75" s="270" t="str">
        <f>'gen-detail'!A68</f>
        <v>County Register of Deeds</v>
      </c>
      <c r="C75" s="403">
        <f>'gen-detail'!B71</f>
        <v>59317</v>
      </c>
      <c r="D75" s="403">
        <f>'gen-detail'!C71</f>
        <v>69500</v>
      </c>
      <c r="E75" s="230">
        <f>'gen-detail'!D71</f>
        <v>67500</v>
      </c>
    </row>
    <row r="76" spans="2:5" ht="15.75">
      <c r="B76" s="270" t="str">
        <f>'gen-detail'!A72</f>
        <v>County Sheriff</v>
      </c>
      <c r="C76" s="403">
        <f>'gen-detail'!B75</f>
        <v>152470</v>
      </c>
      <c r="D76" s="403">
        <f>'gen-detail'!C75</f>
        <v>172277</v>
      </c>
      <c r="E76" s="230">
        <f>'gen-detail'!D75</f>
        <v>174000</v>
      </c>
    </row>
    <row r="77" spans="2:5" ht="15.75">
      <c r="B77" s="270" t="str">
        <f>'gen-detail'!A76</f>
        <v>County Treasurer</v>
      </c>
      <c r="C77" s="403">
        <f>'gen-detail'!B79</f>
        <v>95677</v>
      </c>
      <c r="D77" s="403">
        <f>'gen-detail'!C79</f>
        <v>107565</v>
      </c>
      <c r="E77" s="230">
        <f>'gen-detail'!D79</f>
        <v>108065</v>
      </c>
    </row>
    <row r="78" spans="2:5" ht="15.75">
      <c r="B78" s="270" t="str">
        <f>'gen-detail'!A80</f>
        <v>County Health Officer</v>
      </c>
      <c r="C78" s="403">
        <f>'gen-detail'!B82</f>
        <v>2000</v>
      </c>
      <c r="D78" s="403">
        <f>'gen-detail'!C82</f>
        <v>2000</v>
      </c>
      <c r="E78" s="230">
        <f>'gen-detail'!D82</f>
        <v>2000</v>
      </c>
    </row>
    <row r="79" spans="2:5" ht="15.75">
      <c r="B79" s="270" t="str">
        <f>'gen-detail'!A83</f>
        <v>District Court</v>
      </c>
      <c r="C79" s="403">
        <f>'gen-detail'!B85</f>
        <v>17811</v>
      </c>
      <c r="D79" s="403">
        <f>'gen-detail'!C85</f>
        <v>30302</v>
      </c>
      <c r="E79" s="230">
        <f>'gen-detail'!D85</f>
        <v>30100</v>
      </c>
    </row>
    <row r="80" spans="2:5" ht="15.75">
      <c r="B80" s="270" t="str">
        <f>'gen-detail'!A86</f>
        <v>Election</v>
      </c>
      <c r="C80" s="403">
        <f>'gen-detail'!B89</f>
        <v>7442</v>
      </c>
      <c r="D80" s="403">
        <f>'gen-detail'!C89</f>
        <v>25500</v>
      </c>
      <c r="E80" s="230">
        <f>'gen-detail'!D89</f>
        <v>11000</v>
      </c>
    </row>
    <row r="81" spans="2:5" ht="15.75">
      <c r="B81" s="270" t="str">
        <f>'gen-detail'!A90</f>
        <v>Custodian</v>
      </c>
      <c r="C81" s="403">
        <f>'gen-detail'!B92</f>
        <v>18783</v>
      </c>
      <c r="D81" s="403">
        <f>'gen-detail'!C92</f>
        <v>26400</v>
      </c>
      <c r="E81" s="230">
        <f>'gen-detail'!D92</f>
        <v>26000</v>
      </c>
    </row>
    <row r="82" spans="2:5" ht="15.75">
      <c r="B82" s="270" t="str">
        <f>'gen-detail'!A93</f>
        <v>Dispatch</v>
      </c>
      <c r="C82" s="403">
        <f>'gen-detail'!B95</f>
        <v>115405</v>
      </c>
      <c r="D82" s="403">
        <f>'gen-detail'!C95</f>
        <v>119600</v>
      </c>
      <c r="E82" s="403">
        <f>'gen-detail'!D95</f>
        <v>121000</v>
      </c>
    </row>
    <row r="83" spans="2:5" ht="15.75">
      <c r="B83" s="270" t="str">
        <f>'gen-detail'!A96</f>
        <v>Emergency Preparedness</v>
      </c>
      <c r="C83" s="403">
        <f>'gen-detail'!B98</f>
        <v>15840</v>
      </c>
      <c r="D83" s="403">
        <f>'gen-detail'!C98</f>
        <v>17000</v>
      </c>
      <c r="E83" s="230">
        <f>'gen-detail'!D98</f>
        <v>26000</v>
      </c>
    </row>
    <row r="84" spans="2:5" ht="15.75">
      <c r="B84" s="270" t="str">
        <f>'gen-detail'!A99</f>
        <v>Employee Benefits</v>
      </c>
      <c r="C84" s="403">
        <f>'gen-detail'!B105</f>
        <v>841941</v>
      </c>
      <c r="D84" s="403">
        <f>'gen-detail'!C105</f>
        <v>869886</v>
      </c>
      <c r="E84" s="230">
        <f>'gen-detail'!D105</f>
        <v>961000</v>
      </c>
    </row>
    <row r="85" spans="2:5" ht="15.75">
      <c r="B85" s="270" t="str">
        <f>'gen-detail'!A106</f>
        <v>District Coroner</v>
      </c>
      <c r="C85" s="403">
        <f>'gen-detail'!B108</f>
        <v>928</v>
      </c>
      <c r="D85" s="403">
        <f>'gen-detail'!C108</f>
        <v>3500</v>
      </c>
      <c r="E85" s="230">
        <f>'gen-detail'!D108</f>
        <v>4500</v>
      </c>
    </row>
    <row r="86" spans="2:5" ht="15.75">
      <c r="B86" s="270" t="str">
        <f>'gen-detail'!A109</f>
        <v>Prisoner Care</v>
      </c>
      <c r="C86" s="403">
        <f>'gen-detail'!B111</f>
        <v>1900</v>
      </c>
      <c r="D86" s="403">
        <f>'gen-detail'!C111</f>
        <v>7500</v>
      </c>
      <c r="E86" s="230">
        <f>'gen-detail'!D111</f>
        <v>10000</v>
      </c>
    </row>
    <row r="87" spans="2:5" ht="15.75">
      <c r="B87" s="270" t="str">
        <f>'gen-detail'!A127</f>
        <v>Area Council on Aging</v>
      </c>
      <c r="C87" s="403">
        <f>'gen-detail'!B129</f>
        <v>4000</v>
      </c>
      <c r="D87" s="403">
        <f>'gen-detail'!C129</f>
        <v>4000</v>
      </c>
      <c r="E87" s="230">
        <f>'gen-detail'!D129</f>
        <v>4000</v>
      </c>
    </row>
    <row r="88" spans="2:5" ht="15.75">
      <c r="B88" s="270" t="str">
        <f>'gen-detail'!A130</f>
        <v>Solid Waste</v>
      </c>
      <c r="C88" s="403">
        <f>'gen-detail'!B132</f>
        <v>0</v>
      </c>
      <c r="D88" s="403">
        <f>'gen-detail'!C132</f>
        <v>0</v>
      </c>
      <c r="E88" s="230">
        <f>'gen-detail'!D132</f>
        <v>65000</v>
      </c>
    </row>
    <row r="89" spans="2:5" ht="15.75">
      <c r="B89" s="270" t="str">
        <f>'gen-detail'!A133</f>
        <v>Vehicle Replacement</v>
      </c>
      <c r="C89" s="403">
        <f>'gen-detail'!B135</f>
        <v>0</v>
      </c>
      <c r="D89" s="403">
        <f>'gen-detail'!C135</f>
        <v>25000</v>
      </c>
      <c r="E89" s="230">
        <f>'gen-detail'!D135</f>
        <v>35000</v>
      </c>
    </row>
    <row r="90" spans="2:5" ht="15.75">
      <c r="B90" s="270" t="str">
        <f>'gen-detail'!A136</f>
        <v>Options - Domestic &amp; Sexual Victims</v>
      </c>
      <c r="C90" s="403">
        <f>'gen-detail'!B138</f>
        <v>0</v>
      </c>
      <c r="D90" s="403">
        <f>'gen-detail'!C138</f>
        <v>0</v>
      </c>
      <c r="E90" s="230">
        <f>'gen-detail'!D138</f>
        <v>500</v>
      </c>
    </row>
    <row r="91" spans="2:5" ht="15.75">
      <c r="B91" s="270" t="str">
        <f>'gen-detail'!A139</f>
        <v>Information Technology</v>
      </c>
      <c r="C91" s="403">
        <f>'gen-detail'!B141</f>
        <v>21475</v>
      </c>
      <c r="D91" s="403">
        <f>'gen-detail'!C141</f>
        <v>23552</v>
      </c>
      <c r="E91" s="230">
        <f>'gen-detail'!D141</f>
        <v>25000</v>
      </c>
    </row>
    <row r="92" spans="2:5" ht="15.75">
      <c r="B92" s="270" t="str">
        <f>'gen-detail'!A142</f>
        <v>Child Advocacy Group</v>
      </c>
      <c r="C92" s="403">
        <f>'gen-detail'!B144</f>
        <v>0</v>
      </c>
      <c r="D92" s="403">
        <f>'gen-detail'!C144</f>
        <v>0</v>
      </c>
      <c r="E92" s="230">
        <f>'gen-detail'!D144</f>
        <v>1500</v>
      </c>
    </row>
    <row r="93" spans="2:5" ht="15.75">
      <c r="B93" s="270" t="str">
        <f>'gen-detail'!A145</f>
        <v>KNRC</v>
      </c>
      <c r="C93" s="403">
        <f>'gen-detail'!B147</f>
        <v>0</v>
      </c>
      <c r="D93" s="403">
        <f>'gen-detail'!C147</f>
        <v>0</v>
      </c>
      <c r="E93" s="230">
        <f>'gen-detail'!D147</f>
        <v>5600</v>
      </c>
    </row>
    <row r="94" spans="2:5" ht="15.75">
      <c r="B94" s="270" t="str">
        <f>'gen-detail'!A148</f>
        <v>Public Health</v>
      </c>
      <c r="C94" s="403">
        <f>'gen-detail'!B150</f>
        <v>20032</v>
      </c>
      <c r="D94" s="403">
        <f>'gen-detail'!C150</f>
        <v>22000</v>
      </c>
      <c r="E94" s="230">
        <f>'gen-detail'!D150</f>
        <v>40000</v>
      </c>
    </row>
    <row r="95" spans="2:5" ht="15.75">
      <c r="B95" s="270" t="str">
        <f>'gen-detail'!A151</f>
        <v>Oil Valuation Adjustments</v>
      </c>
      <c r="C95" s="403">
        <f>'gen-detail'!B153</f>
        <v>0</v>
      </c>
      <c r="D95" s="403">
        <f>'gen-detail'!C153</f>
        <v>0</v>
      </c>
      <c r="E95" s="230">
        <f>'gen-detail'!D153</f>
        <v>823548</v>
      </c>
    </row>
    <row r="96" spans="2:5" ht="15.75">
      <c r="B96" s="270" t="str">
        <f>'gen-detail'!A154</f>
        <v>Transfer to:</v>
      </c>
      <c r="C96" s="403"/>
      <c r="D96" s="403"/>
      <c r="E96" s="230"/>
    </row>
    <row r="97" spans="2:5" ht="15.75">
      <c r="B97" s="270" t="str">
        <f>'gen-detail'!A155</f>
        <v>  Special Ambulance</v>
      </c>
      <c r="C97" s="403">
        <f>'gen-detail'!B155</f>
        <v>70000</v>
      </c>
      <c r="D97" s="403">
        <f>'gen-detail'!C155</f>
        <v>50000</v>
      </c>
      <c r="E97" s="230">
        <f>'gen-detail'!D155</f>
        <v>50000</v>
      </c>
    </row>
    <row r="98" spans="2:5" ht="15.75">
      <c r="B98" s="270" t="str">
        <f>'gen-detail'!A156</f>
        <v>  Pool Project</v>
      </c>
      <c r="C98" s="403">
        <f>'gen-detail'!B156</f>
        <v>79801</v>
      </c>
      <c r="D98" s="403">
        <f>'gen-detail'!C156</f>
        <v>0</v>
      </c>
      <c r="E98" s="230">
        <f>'gen-detail'!D156</f>
        <v>0</v>
      </c>
    </row>
    <row r="99" spans="2:10" ht="15.75">
      <c r="B99" s="270" t="str">
        <f>'gen-detail'!A157</f>
        <v>  Capital Project </v>
      </c>
      <c r="C99" s="403">
        <f>'gen-detail'!B157</f>
        <v>0</v>
      </c>
      <c r="D99" s="403">
        <f>'gen-detail'!C157</f>
        <v>0</v>
      </c>
      <c r="E99" s="230">
        <f>'gen-detail'!D157</f>
        <v>200000</v>
      </c>
      <c r="G99" s="801" t="str">
        <f>CONCATENATE("Desired Carryover Into ",E1+1,"")</f>
        <v>Desired Carryover Into 2016</v>
      </c>
      <c r="H99" s="802"/>
      <c r="I99" s="802"/>
      <c r="J99" s="770"/>
    </row>
    <row r="100" spans="2:10" ht="15.75">
      <c r="B100" s="270"/>
      <c r="C100" s="403"/>
      <c r="D100" s="403"/>
      <c r="E100" s="230"/>
      <c r="G100" s="581"/>
      <c r="H100" s="582"/>
      <c r="I100" s="583"/>
      <c r="J100" s="584"/>
    </row>
    <row r="101" spans="2:10" ht="15.75">
      <c r="B101" s="281" t="s">
        <v>28</v>
      </c>
      <c r="C101" s="418">
        <f>SUM(C68:C100)</f>
        <v>2399953</v>
      </c>
      <c r="D101" s="418">
        <f>SUM(D68:D100)</f>
        <v>2622375</v>
      </c>
      <c r="E101" s="303">
        <f>SUM(E68:E100)</f>
        <v>4198176</v>
      </c>
      <c r="G101" s="585" t="s">
        <v>639</v>
      </c>
      <c r="H101" s="583"/>
      <c r="I101" s="583"/>
      <c r="J101" s="586">
        <v>0</v>
      </c>
    </row>
    <row r="102" spans="2:10" ht="15.75">
      <c r="B102" s="282"/>
      <c r="C102" s="399"/>
      <c r="D102" s="399"/>
      <c r="E102" s="85"/>
      <c r="G102" s="581" t="s">
        <v>640</v>
      </c>
      <c r="H102" s="582"/>
      <c r="I102" s="582"/>
      <c r="J102" s="587">
        <f>IF(J101=0,"",ROUND((J101+E114-G119)/inputOth!E6*1000,3)-G124)</f>
      </c>
    </row>
    <row r="103" spans="2:10" ht="15.75">
      <c r="B103" s="282"/>
      <c r="C103" s="399"/>
      <c r="D103" s="399"/>
      <c r="E103" s="85"/>
      <c r="G103" s="588" t="str">
        <f>CONCATENATE("",E1," Tot Exp/Non-Appr Must Be:")</f>
        <v>2015 Tot Exp/Non-Appr Must Be:</v>
      </c>
      <c r="H103" s="589"/>
      <c r="I103" s="590"/>
      <c r="J103" s="591">
        <f>IF(J101&gt;0,IF(E111&lt;E47,IF(J101=G119,E111,((J101-G119)*(1-D113))+E47),E111+(J101-G119)),0)</f>
        <v>0</v>
      </c>
    </row>
    <row r="104" spans="2:10" ht="15.75">
      <c r="B104" s="274" t="s">
        <v>69</v>
      </c>
      <c r="C104" s="399">
        <v>11449</v>
      </c>
      <c r="D104" s="399">
        <v>42820</v>
      </c>
      <c r="E104" s="93">
        <f>Nhood!$E6</f>
        <v>43471</v>
      </c>
      <c r="G104" s="592" t="s">
        <v>789</v>
      </c>
      <c r="H104" s="593"/>
      <c r="I104" s="593"/>
      <c r="J104" s="594">
        <f>IF(J101&gt;0,J103-E111,0)</f>
        <v>0</v>
      </c>
    </row>
    <row r="105" spans="2:5" ht="15.75">
      <c r="B105" s="274" t="s">
        <v>68</v>
      </c>
      <c r="C105" s="399"/>
      <c r="D105" s="399"/>
      <c r="E105" s="85"/>
    </row>
    <row r="106" spans="2:10" ht="15.75">
      <c r="B106" s="274" t="s">
        <v>633</v>
      </c>
      <c r="C106" s="400">
        <f>IF(C107*0.1&lt;C105,"Exceed 10% Rule","")</f>
      </c>
      <c r="D106" s="400">
        <f>IF(D107*0.1&lt;D105,"Exceed 10% Rule","")</f>
      </c>
      <c r="E106" s="302">
        <f>IF(E107*0.1&lt;E105,"Exceed 10% Rule","")</f>
      </c>
      <c r="G106" s="795" t="str">
        <f>CONCATENATE("Projected Carryover Into ",E1+1,"")</f>
        <v>Projected Carryover Into 2016</v>
      </c>
      <c r="H106" s="796"/>
      <c r="I106" s="796"/>
      <c r="J106" s="797"/>
    </row>
    <row r="107" spans="2:10" ht="15.75">
      <c r="B107" s="276" t="s">
        <v>163</v>
      </c>
      <c r="C107" s="401">
        <f>SUM(C101:C105)</f>
        <v>2411402</v>
      </c>
      <c r="D107" s="401">
        <f>SUM(D101:D105)</f>
        <v>2665195</v>
      </c>
      <c r="E107" s="306">
        <f>SUM(E101:E105)</f>
        <v>4241647</v>
      </c>
      <c r="G107" s="450"/>
      <c r="H107" s="449"/>
      <c r="I107" s="449"/>
      <c r="J107" s="451"/>
    </row>
    <row r="108" spans="2:10" ht="15.75">
      <c r="B108" s="121" t="s">
        <v>260</v>
      </c>
      <c r="C108" s="404">
        <f>C47-C107</f>
        <v>915701</v>
      </c>
      <c r="D108" s="404">
        <f>D47-D107</f>
        <v>1411681</v>
      </c>
      <c r="E108" s="191" t="s">
        <v>139</v>
      </c>
      <c r="G108" s="436">
        <f>D108</f>
        <v>1411681</v>
      </c>
      <c r="H108" s="434" t="str">
        <f>CONCATENATE("",E1-1," Ending Cash Balance (est.)")</f>
        <v>2014 Ending Cash Balance (est.)</v>
      </c>
      <c r="I108" s="433"/>
      <c r="J108" s="451"/>
    </row>
    <row r="109" spans="2:10" ht="15.75">
      <c r="B109" s="266" t="str">
        <f>CONCATENATE("",E1-2,"/",E1-1,"/",E1," Budget Authority Amount:")</f>
        <v>2013/2014/2015 Budget Authority Amount:</v>
      </c>
      <c r="C109" s="301">
        <f>inputOth!$B30</f>
        <v>3085383</v>
      </c>
      <c r="D109" s="301">
        <f>inputPrYr!$D16</f>
        <v>3603815</v>
      </c>
      <c r="E109" s="230">
        <f>E107</f>
        <v>4241647</v>
      </c>
      <c r="F109" s="284"/>
      <c r="G109" s="436">
        <f>E46</f>
        <v>898330</v>
      </c>
      <c r="H109" s="432" t="str">
        <f>CONCATENATE("",E1," Non-AV Receipts (est.)")</f>
        <v>2015 Non-AV Receipts (est.)</v>
      </c>
      <c r="I109" s="433"/>
      <c r="J109" s="451"/>
    </row>
    <row r="110" spans="2:11" ht="15.75">
      <c r="B110" s="252"/>
      <c r="C110" s="791" t="s">
        <v>636</v>
      </c>
      <c r="D110" s="792"/>
      <c r="E110" s="85"/>
      <c r="F110" s="435">
        <f>IF(E107/0.95-E107&lt;E110,"Exceeds 5%","")</f>
      </c>
      <c r="G110" s="431">
        <f>IF(E113&gt;0,E112,E114)</f>
        <v>1931636</v>
      </c>
      <c r="H110" s="432" t="str">
        <f>CONCATENATE("",E1," Ad Valorem Tax (est.)")</f>
        <v>2015 Ad Valorem Tax (est.)</v>
      </c>
      <c r="I110" s="433"/>
      <c r="J110" s="451"/>
      <c r="K110" s="595" t="str">
        <f>IF(G110=E114,"","Note: Does not include Delinquent Taxes")</f>
        <v>Note: Does not include Delinquent Taxes</v>
      </c>
    </row>
    <row r="111" spans="2:10" ht="15.75">
      <c r="B111" s="439" t="str">
        <f>CONCATENATE(C129,"     ",D129)</f>
        <v>     </v>
      </c>
      <c r="C111" s="793" t="s">
        <v>637</v>
      </c>
      <c r="D111" s="794"/>
      <c r="E111" s="230">
        <f>E107+E110</f>
        <v>4241647</v>
      </c>
      <c r="G111" s="436">
        <f>SUM(G108:G110)</f>
        <v>4241647</v>
      </c>
      <c r="H111" s="432" t="str">
        <f>CONCATENATE("Total ",E1," Resources Available")</f>
        <v>Total 2015 Resources Available</v>
      </c>
      <c r="I111" s="433"/>
      <c r="J111" s="451"/>
    </row>
    <row r="112" spans="2:10" ht="15.75">
      <c r="B112" s="439" t="str">
        <f>CONCATENATE(C130,"     ",D130)</f>
        <v>     </v>
      </c>
      <c r="C112" s="285"/>
      <c r="D112" s="205" t="s">
        <v>164</v>
      </c>
      <c r="E112" s="93">
        <f>IF(E111-E47&gt;0,E111-E47,0)</f>
        <v>1931636</v>
      </c>
      <c r="G112" s="430"/>
      <c r="H112" s="432"/>
      <c r="I112" s="432"/>
      <c r="J112" s="451"/>
    </row>
    <row r="113" spans="2:10" ht="15.75">
      <c r="B113" s="252"/>
      <c r="C113" s="437" t="s">
        <v>638</v>
      </c>
      <c r="D113" s="580">
        <f>inputOth!$E$23</f>
        <v>0.01</v>
      </c>
      <c r="E113" s="230">
        <f>IF(D113&gt;0,(E112*D113),0)</f>
        <v>19316.36</v>
      </c>
      <c r="G113" s="430"/>
      <c r="H113" s="432"/>
      <c r="I113" s="432"/>
      <c r="J113" s="451"/>
    </row>
    <row r="114" spans="2:10" ht="15.75">
      <c r="B114" s="60"/>
      <c r="C114" s="799" t="str">
        <f>CONCATENATE("Amount of  ",$E$1-1," Ad Valorem Tax")</f>
        <v>Amount of  2014 Ad Valorem Tax</v>
      </c>
      <c r="D114" s="800"/>
      <c r="E114" s="303">
        <f>E112+E113</f>
        <v>1950952.36</v>
      </c>
      <c r="G114" s="430"/>
      <c r="H114" s="432"/>
      <c r="I114" s="432"/>
      <c r="J114" s="451"/>
    </row>
    <row r="115" spans="2:10" ht="15.75">
      <c r="B115" s="60"/>
      <c r="C115" s="60"/>
      <c r="D115" s="60"/>
      <c r="E115" s="60"/>
      <c r="G115" s="430"/>
      <c r="H115" s="432"/>
      <c r="I115" s="432"/>
      <c r="J115" s="451"/>
    </row>
    <row r="116" spans="2:10" ht="15.75">
      <c r="B116" s="60"/>
      <c r="C116" s="60"/>
      <c r="D116" s="60"/>
      <c r="E116" s="60"/>
      <c r="G116" s="430"/>
      <c r="H116" s="432"/>
      <c r="I116" s="432"/>
      <c r="J116" s="451"/>
    </row>
    <row r="117" spans="2:10" ht="15.75">
      <c r="B117" s="60"/>
      <c r="C117" s="60"/>
      <c r="D117" s="60"/>
      <c r="E117" s="60"/>
      <c r="G117" s="430"/>
      <c r="H117" s="432"/>
      <c r="I117" s="432"/>
      <c r="J117" s="451"/>
    </row>
    <row r="118" spans="2:10" ht="15.75">
      <c r="B118" s="60"/>
      <c r="C118" s="60"/>
      <c r="D118" s="60"/>
      <c r="E118" s="60"/>
      <c r="G118" s="431">
        <f>C107*0.05+C107</f>
        <v>2531972.1</v>
      </c>
      <c r="H118" s="432" t="str">
        <f>CONCATENATE("Less ",E1-2," Expenditures + 5%")</f>
        <v>Less 2013 Expenditures + 5%</v>
      </c>
      <c r="I118" s="433"/>
      <c r="J118" s="451"/>
    </row>
    <row r="119" spans="2:10" ht="15.75">
      <c r="B119" s="798" t="s">
        <v>270</v>
      </c>
      <c r="C119" s="798"/>
      <c r="D119" s="798"/>
      <c r="E119" s="798"/>
      <c r="G119" s="429">
        <f>G111-G118</f>
        <v>1709674.9</v>
      </c>
      <c r="H119" s="428" t="str">
        <f>CONCATENATE("Projected ",E1," Carryover (est.)")</f>
        <v>Projected 2015 Carryover (est.)</v>
      </c>
      <c r="I119" s="411"/>
      <c r="J119" s="410"/>
    </row>
    <row r="120" spans="7:10" ht="15.75">
      <c r="G120" s="446"/>
      <c r="H120" s="446"/>
      <c r="I120" s="446"/>
      <c r="J120" s="446"/>
    </row>
    <row r="121" spans="7:10" ht="15.75">
      <c r="G121" s="788" t="s">
        <v>790</v>
      </c>
      <c r="H121" s="789"/>
      <c r="I121" s="789"/>
      <c r="J121" s="790"/>
    </row>
    <row r="122" spans="7:10" ht="15.75">
      <c r="G122" s="596"/>
      <c r="H122" s="597"/>
      <c r="I122" s="598"/>
      <c r="J122" s="599"/>
    </row>
    <row r="123" spans="7:10" ht="15.75">
      <c r="G123" s="600">
        <f>summ!H16</f>
        <v>36.723</v>
      </c>
      <c r="H123" s="597" t="str">
        <f>CONCATENATE("",E1," Fund Mill Rate")</f>
        <v>2015 Fund Mill Rate</v>
      </c>
      <c r="I123" s="598"/>
      <c r="J123" s="599"/>
    </row>
    <row r="124" spans="7:10" ht="15.75">
      <c r="G124" s="601">
        <f>summ!E16</f>
        <v>49.72</v>
      </c>
      <c r="H124" s="597" t="str">
        <f>CONCATENATE("",E1-1," Fund Mill Rate")</f>
        <v>2014 Fund Mill Rate</v>
      </c>
      <c r="I124" s="598"/>
      <c r="J124" s="599"/>
    </row>
    <row r="125" spans="7:10" ht="15.75">
      <c r="G125" s="602">
        <f>summ!H39</f>
        <v>77.58699999999999</v>
      </c>
      <c r="H125" s="597" t="str">
        <f>CONCATENATE("Total ",E1," Mill Rate")</f>
        <v>Total 2015 Mill Rate</v>
      </c>
      <c r="I125" s="598"/>
      <c r="J125" s="599"/>
    </row>
    <row r="126" spans="7:10" ht="15.75">
      <c r="G126" s="601">
        <f>summ!E39</f>
        <v>97.844</v>
      </c>
      <c r="H126" s="603" t="str">
        <f>CONCATENATE("Total ",E1-1," Mill Rate")</f>
        <v>Total 2014 Mill Rate</v>
      </c>
      <c r="I126" s="604"/>
      <c r="J126" s="605"/>
    </row>
    <row r="127" spans="7:10" ht="15.75">
      <c r="G127" s="634"/>
      <c r="H127" s="452"/>
      <c r="I127" s="632"/>
      <c r="J127" s="633"/>
    </row>
    <row r="128" spans="7:9" ht="15.75">
      <c r="G128" s="684" t="s">
        <v>864</v>
      </c>
      <c r="H128" s="653"/>
      <c r="I128" s="652" t="str">
        <f>cert!E47</f>
        <v>No</v>
      </c>
    </row>
    <row r="129" spans="3:4" ht="15.75">
      <c r="C129" s="48">
        <f>IF(C107&gt;C109,"See Tab A","")</f>
      </c>
      <c r="D129" s="48">
        <f>IF(D107&gt;D109,"See Tab C","")</f>
      </c>
    </row>
    <row r="130" spans="3:4" ht="15.75">
      <c r="C130" s="48">
        <f>IF(C108&lt;0,"See Tab B","")</f>
      </c>
      <c r="D130" s="48">
        <f>IF(D108&lt;0,"See Tab D","")</f>
      </c>
    </row>
    <row r="131" ht="15.75" hidden="1"/>
    <row r="132" ht="15.75" hidden="1"/>
  </sheetData>
  <sheetProtection/>
  <mergeCells count="8">
    <mergeCell ref="G121:J121"/>
    <mergeCell ref="C110:D110"/>
    <mergeCell ref="C111:D111"/>
    <mergeCell ref="G106:J106"/>
    <mergeCell ref="B60:E60"/>
    <mergeCell ref="B119:E119"/>
    <mergeCell ref="C114:D114"/>
    <mergeCell ref="G99:J99"/>
  </mergeCells>
  <conditionalFormatting sqref="E105">
    <cfRule type="cellIs" priority="2" dxfId="181" operator="greaterThan" stopIfTrue="1">
      <formula>$E$107*0.1</formula>
    </cfRule>
  </conditionalFormatting>
  <conditionalFormatting sqref="E110">
    <cfRule type="cellIs" priority="3" dxfId="181" operator="greaterThan" stopIfTrue="1">
      <formula>$E$107/0.95-$E$107</formula>
    </cfRule>
  </conditionalFormatting>
  <conditionalFormatting sqref="D105">
    <cfRule type="cellIs" priority="4" dxfId="1" operator="greaterThan" stopIfTrue="1">
      <formula>$D$107*0.1</formula>
    </cfRule>
  </conditionalFormatting>
  <conditionalFormatting sqref="C105">
    <cfRule type="cellIs" priority="5" dxfId="1" operator="greaterThan" stopIfTrue="1">
      <formula>$C$107*0.1</formula>
    </cfRule>
  </conditionalFormatting>
  <conditionalFormatting sqref="C108">
    <cfRule type="cellIs" priority="6" dxfId="1" operator="lessThan" stopIfTrue="1">
      <formula>0</formula>
    </cfRule>
  </conditionalFormatting>
  <conditionalFormatting sqref="D107">
    <cfRule type="cellIs" priority="7" dxfId="1" operator="greaterThan" stopIfTrue="1">
      <formula>$D$109</formula>
    </cfRule>
  </conditionalFormatting>
  <conditionalFormatting sqref="C107">
    <cfRule type="cellIs" priority="8" dxfId="1" operator="greaterThan" stopIfTrue="1">
      <formula>$C$109</formula>
    </cfRule>
  </conditionalFormatting>
  <conditionalFormatting sqref="D44">
    <cfRule type="cellIs" priority="9" dxfId="1" operator="greaterThan" stopIfTrue="1">
      <formula>$D$46*0.1</formula>
    </cfRule>
  </conditionalFormatting>
  <conditionalFormatting sqref="C44">
    <cfRule type="cellIs" priority="10" dxfId="1" operator="greaterThan" stopIfTrue="1">
      <formula>$C$46*0.1</formula>
    </cfRule>
  </conditionalFormatting>
  <conditionalFormatting sqref="E44">
    <cfRule type="cellIs" priority="11" dxfId="181" operator="greaterThan" stopIfTrue="1">
      <formula>$E$46*0.1+E114</formula>
    </cfRule>
  </conditionalFormatting>
  <conditionalFormatting sqref="D108">
    <cfRule type="cellIs" priority="1" dxfId="0" operator="lessThan" stopIfTrue="1">
      <formula>0</formula>
    </cfRule>
  </conditionalFormatting>
  <printOptions/>
  <pageMargins left="0.52" right="0.5" top="0.81" bottom="0.36" header="0.5" footer="0"/>
  <pageSetup blackAndWhite="1" fitToHeight="2" horizontalDpi="120" verticalDpi="120" orientation="portrait" scale="85" r:id="rId1"/>
  <headerFooter alignWithMargins="0">
    <oddHeader>&amp;RState of Kansas
County
</oddHeader>
  </headerFooter>
  <rowBreaks count="2" manualBreakCount="2">
    <brk id="60" max="4" man="1"/>
    <brk id="120" max="4" man="1"/>
  </rowBreaks>
  <colBreaks count="1" manualBreakCount="1">
    <brk id="5" max="65535" man="1"/>
  </colBreaks>
</worksheet>
</file>

<file path=xl/worksheets/sheet14.xml><?xml version="1.0" encoding="utf-8"?>
<worksheet xmlns="http://schemas.openxmlformats.org/spreadsheetml/2006/main" xmlns:r="http://schemas.openxmlformats.org/officeDocument/2006/relationships">
  <dimension ref="A1:F276"/>
  <sheetViews>
    <sheetView zoomScalePageLayoutView="0" workbookViewId="0" topLeftCell="A147">
      <selection activeCell="A158" sqref="A158"/>
    </sheetView>
  </sheetViews>
  <sheetFormatPr defaultColWidth="8.796875" defaultRowHeight="15"/>
  <cols>
    <col min="1" max="1" width="30.796875" style="48" customWidth="1"/>
    <col min="2" max="3" width="15.796875" style="48" customWidth="1"/>
    <col min="4" max="4" width="16.09765625" style="48" customWidth="1"/>
    <col min="5" max="16384" width="8.8984375" style="48" customWidth="1"/>
  </cols>
  <sheetData>
    <row r="1" spans="1:4" ht="15.75">
      <c r="A1" s="198" t="str">
        <f>inputPrYr!C2</f>
        <v>Sheridan County</v>
      </c>
      <c r="B1" s="60"/>
      <c r="C1" s="266"/>
      <c r="D1" s="60">
        <f>inputPrYr!C4</f>
        <v>2015</v>
      </c>
    </row>
    <row r="2" spans="1:4" ht="15.75">
      <c r="A2" s="60"/>
      <c r="B2" s="60"/>
      <c r="C2" s="60"/>
      <c r="D2" s="266"/>
    </row>
    <row r="3" spans="1:4" ht="15.75">
      <c r="A3" s="125" t="s">
        <v>226</v>
      </c>
      <c r="B3" s="279"/>
      <c r="C3" s="279"/>
      <c r="D3" s="279"/>
    </row>
    <row r="4" spans="1:4" ht="15.75">
      <c r="A4" s="266" t="s">
        <v>152</v>
      </c>
      <c r="B4" s="629" t="s">
        <v>791</v>
      </c>
      <c r="C4" s="630" t="s">
        <v>792</v>
      </c>
      <c r="D4" s="185" t="s">
        <v>793</v>
      </c>
    </row>
    <row r="5" spans="1:4" ht="15.75">
      <c r="A5" s="415" t="s">
        <v>635</v>
      </c>
      <c r="B5" s="402" t="str">
        <f>CONCATENATE("Actual for ",D1-2,"")</f>
        <v>Actual for 2013</v>
      </c>
      <c r="C5" s="402" t="str">
        <f>CONCATENATE("Estimate for ",D1-1,"")</f>
        <v>Estimate for 2014</v>
      </c>
      <c r="D5" s="267" t="str">
        <f>CONCATENATE("Year for ",D1,"")</f>
        <v>Year for 2015</v>
      </c>
    </row>
    <row r="6" spans="1:4" ht="15.75">
      <c r="A6" s="227" t="s">
        <v>162</v>
      </c>
      <c r="B6" s="100"/>
      <c r="C6" s="100"/>
      <c r="D6" s="100"/>
    </row>
    <row r="7" spans="1:4" ht="15.75">
      <c r="A7" s="288" t="s">
        <v>167</v>
      </c>
      <c r="B7" s="100"/>
      <c r="C7" s="100"/>
      <c r="D7" s="100"/>
    </row>
    <row r="8" spans="1:4" ht="15.75">
      <c r="A8" s="83" t="s">
        <v>967</v>
      </c>
      <c r="B8" s="271">
        <v>35411</v>
      </c>
      <c r="C8" s="271">
        <v>40000</v>
      </c>
      <c r="D8" s="271">
        <v>50000</v>
      </c>
    </row>
    <row r="9" spans="1:4" ht="15.75">
      <c r="A9" s="83" t="s">
        <v>968</v>
      </c>
      <c r="B9" s="271">
        <v>61678</v>
      </c>
      <c r="C9" s="271">
        <v>65000</v>
      </c>
      <c r="D9" s="271">
        <v>75000</v>
      </c>
    </row>
    <row r="10" spans="1:4" ht="15.75">
      <c r="A10" s="83" t="s">
        <v>969</v>
      </c>
      <c r="B10" s="271">
        <v>38045</v>
      </c>
      <c r="C10" s="271">
        <v>48000</v>
      </c>
      <c r="D10" s="271">
        <v>55000</v>
      </c>
    </row>
    <row r="11" spans="1:4" ht="15.75">
      <c r="A11" s="83" t="s">
        <v>970</v>
      </c>
      <c r="B11" s="271">
        <v>57626</v>
      </c>
      <c r="C11" s="271">
        <v>65000</v>
      </c>
      <c r="D11" s="271">
        <v>68000</v>
      </c>
    </row>
    <row r="12" spans="1:4" ht="15.75">
      <c r="A12" s="83" t="s">
        <v>971</v>
      </c>
      <c r="B12" s="271"/>
      <c r="C12" s="271"/>
      <c r="D12" s="271"/>
    </row>
    <row r="13" spans="1:4" ht="15.75">
      <c r="A13" s="83" t="s">
        <v>972</v>
      </c>
      <c r="B13" s="271">
        <v>17200</v>
      </c>
      <c r="C13" s="271">
        <v>18500</v>
      </c>
      <c r="D13" s="271">
        <v>19500</v>
      </c>
    </row>
    <row r="14" spans="1:4" ht="15.75">
      <c r="A14" s="83" t="s">
        <v>973</v>
      </c>
      <c r="B14" s="271">
        <v>10092</v>
      </c>
      <c r="C14" s="271">
        <v>38000</v>
      </c>
      <c r="D14" s="271">
        <v>75000</v>
      </c>
    </row>
    <row r="15" spans="1:4" ht="15.75">
      <c r="A15" s="83" t="s">
        <v>974</v>
      </c>
      <c r="B15" s="271">
        <v>33729</v>
      </c>
      <c r="C15" s="271">
        <v>45000</v>
      </c>
      <c r="D15" s="271">
        <v>285000</v>
      </c>
    </row>
    <row r="16" spans="1:4" ht="15.75">
      <c r="A16" s="258" t="s">
        <v>975</v>
      </c>
      <c r="B16" s="271">
        <v>10796</v>
      </c>
      <c r="C16" s="271">
        <v>15000</v>
      </c>
      <c r="D16" s="271">
        <v>19000</v>
      </c>
    </row>
    <row r="17" spans="1:4" ht="15.75">
      <c r="A17" s="266" t="s">
        <v>123</v>
      </c>
      <c r="B17" s="289">
        <f>SUM(B8:B16)</f>
        <v>264577</v>
      </c>
      <c r="C17" s="289">
        <f>SUM(C8:C16)</f>
        <v>334500</v>
      </c>
      <c r="D17" s="289">
        <f>SUM(D8:D16)</f>
        <v>646500</v>
      </c>
    </row>
    <row r="18" spans="1:4" ht="15.75">
      <c r="A18" s="288" t="s">
        <v>976</v>
      </c>
      <c r="B18" s="100"/>
      <c r="C18" s="100"/>
      <c r="D18" s="100"/>
    </row>
    <row r="19" spans="1:4" ht="15.75">
      <c r="A19" s="83" t="s">
        <v>977</v>
      </c>
      <c r="B19" s="271">
        <v>21598</v>
      </c>
      <c r="C19" s="271">
        <v>23461</v>
      </c>
      <c r="D19" s="271">
        <v>26563</v>
      </c>
    </row>
    <row r="20" spans="1:4" ht="15.75">
      <c r="A20" s="83" t="s">
        <v>978</v>
      </c>
      <c r="B20" s="271"/>
      <c r="C20" s="271"/>
      <c r="D20" s="271">
        <v>10000</v>
      </c>
    </row>
    <row r="21" spans="1:4" ht="15.75">
      <c r="A21" s="83" t="s">
        <v>979</v>
      </c>
      <c r="B21" s="271">
        <v>36500</v>
      </c>
      <c r="C21" s="271">
        <v>36500</v>
      </c>
      <c r="D21" s="271">
        <v>36500</v>
      </c>
    </row>
    <row r="22" spans="1:4" ht="15.75">
      <c r="A22" s="83" t="s">
        <v>980</v>
      </c>
      <c r="B22" s="271">
        <v>20000</v>
      </c>
      <c r="C22" s="271">
        <v>20000</v>
      </c>
      <c r="D22" s="271">
        <v>20000</v>
      </c>
    </row>
    <row r="23" spans="1:4" ht="15.75">
      <c r="A23" s="83" t="s">
        <v>981</v>
      </c>
      <c r="B23" s="271">
        <v>15000</v>
      </c>
      <c r="C23" s="271">
        <v>16500</v>
      </c>
      <c r="D23" s="271">
        <v>16500</v>
      </c>
    </row>
    <row r="24" spans="1:4" ht="15.75">
      <c r="A24" s="266" t="s">
        <v>123</v>
      </c>
      <c r="B24" s="289">
        <f>SUM(B19:B23)</f>
        <v>93098</v>
      </c>
      <c r="C24" s="289">
        <f>SUM(C19:C23)</f>
        <v>96461</v>
      </c>
      <c r="D24" s="289">
        <f>SUM(D19:D23)</f>
        <v>109563</v>
      </c>
    </row>
    <row r="25" spans="1:4" ht="15.75">
      <c r="A25" s="288" t="s">
        <v>169</v>
      </c>
      <c r="B25" s="100"/>
      <c r="C25" s="100"/>
      <c r="D25" s="100"/>
    </row>
    <row r="26" spans="1:4" ht="15.75">
      <c r="A26" s="83" t="s">
        <v>982</v>
      </c>
      <c r="B26" s="271">
        <v>175462</v>
      </c>
      <c r="C26" s="271">
        <v>200000</v>
      </c>
      <c r="D26" s="271">
        <v>200000</v>
      </c>
    </row>
    <row r="27" spans="1:4" ht="15.75">
      <c r="A27" s="83" t="s">
        <v>983</v>
      </c>
      <c r="B27" s="271">
        <v>3792</v>
      </c>
      <c r="C27" s="271">
        <v>6500</v>
      </c>
      <c r="D27" s="271">
        <v>6500</v>
      </c>
    </row>
    <row r="28" spans="1:4" ht="15.75">
      <c r="A28" s="83" t="s">
        <v>984</v>
      </c>
      <c r="B28" s="271"/>
      <c r="C28" s="271"/>
      <c r="D28" s="271">
        <v>3500</v>
      </c>
    </row>
    <row r="29" spans="1:4" ht="15.75">
      <c r="A29" s="83" t="s">
        <v>985</v>
      </c>
      <c r="B29" s="271"/>
      <c r="C29" s="271"/>
      <c r="D29" s="271">
        <v>22000</v>
      </c>
    </row>
    <row r="30" spans="1:4" ht="15.75">
      <c r="A30" s="83" t="s">
        <v>986</v>
      </c>
      <c r="B30" s="271">
        <v>19254</v>
      </c>
      <c r="C30" s="271">
        <v>37000</v>
      </c>
      <c r="D30" s="271">
        <v>39000</v>
      </c>
    </row>
    <row r="31" spans="1:4" ht="15.75">
      <c r="A31" s="83" t="s">
        <v>168</v>
      </c>
      <c r="B31" s="271">
        <v>940</v>
      </c>
      <c r="C31" s="271">
        <v>20000</v>
      </c>
      <c r="D31" s="271">
        <v>22600</v>
      </c>
    </row>
    <row r="32" spans="1:4" ht="15.75">
      <c r="A32" s="266" t="s">
        <v>123</v>
      </c>
      <c r="B32" s="289">
        <f>SUM(B26:B31)</f>
        <v>199448</v>
      </c>
      <c r="C32" s="289">
        <f>SUM(C26:C31)</f>
        <v>263500</v>
      </c>
      <c r="D32" s="289">
        <f>SUM(D26:D31)</f>
        <v>293600</v>
      </c>
    </row>
    <row r="33" spans="1:4" ht="15.75">
      <c r="A33" s="288" t="s">
        <v>987</v>
      </c>
      <c r="B33" s="100"/>
      <c r="C33" s="100"/>
      <c r="D33" s="100"/>
    </row>
    <row r="34" spans="1:4" ht="15.75">
      <c r="A34" s="83" t="s">
        <v>982</v>
      </c>
      <c r="B34" s="271">
        <v>84317</v>
      </c>
      <c r="C34" s="271">
        <v>106744</v>
      </c>
      <c r="D34" s="271">
        <v>108000</v>
      </c>
    </row>
    <row r="35" spans="1:4" ht="15.75">
      <c r="A35" s="83" t="s">
        <v>986</v>
      </c>
      <c r="B35" s="271">
        <v>5463</v>
      </c>
      <c r="C35" s="271">
        <v>9500</v>
      </c>
      <c r="D35" s="271">
        <v>13300</v>
      </c>
    </row>
    <row r="36" spans="1:4" ht="15.75">
      <c r="A36" s="266" t="s">
        <v>123</v>
      </c>
      <c r="B36" s="289">
        <f>SUM(B34:B35)</f>
        <v>89780</v>
      </c>
      <c r="C36" s="289">
        <f>SUM(C34:C35)</f>
        <v>116244</v>
      </c>
      <c r="D36" s="289">
        <f>SUM(D34:D35)</f>
        <v>121300</v>
      </c>
    </row>
    <row r="37" spans="1:4" ht="15.75">
      <c r="A37" s="288" t="s">
        <v>988</v>
      </c>
      <c r="B37" s="100"/>
      <c r="C37" s="100"/>
      <c r="D37" s="100"/>
    </row>
    <row r="38" spans="1:4" ht="15.75">
      <c r="A38" s="83" t="s">
        <v>982</v>
      </c>
      <c r="B38" s="271">
        <v>45872</v>
      </c>
      <c r="C38" s="271">
        <v>46800</v>
      </c>
      <c r="D38" s="271">
        <v>46800</v>
      </c>
    </row>
    <row r="39" spans="1:4" ht="15.75">
      <c r="A39" s="83" t="s">
        <v>986</v>
      </c>
      <c r="B39" s="271">
        <v>7133</v>
      </c>
      <c r="C39" s="271">
        <v>6500</v>
      </c>
      <c r="D39" s="271">
        <v>6500</v>
      </c>
    </row>
    <row r="40" spans="1:4" ht="15.75">
      <c r="A40" s="266" t="s">
        <v>123</v>
      </c>
      <c r="B40" s="289">
        <f>SUM(B38:B39)</f>
        <v>53005</v>
      </c>
      <c r="C40" s="289">
        <f>SUM(C38:C39)</f>
        <v>53300</v>
      </c>
      <c r="D40" s="289">
        <f>SUM(D38:D39)</f>
        <v>53300</v>
      </c>
    </row>
    <row r="41" spans="1:4" ht="15.75">
      <c r="A41" s="288" t="s">
        <v>142</v>
      </c>
      <c r="B41" s="100"/>
      <c r="C41" s="100"/>
      <c r="D41" s="100"/>
    </row>
    <row r="42" spans="1:4" ht="15.75">
      <c r="A42" s="83" t="s">
        <v>982</v>
      </c>
      <c r="B42" s="271">
        <v>110786</v>
      </c>
      <c r="C42" s="271">
        <v>115988</v>
      </c>
      <c r="D42" s="271">
        <v>116000</v>
      </c>
    </row>
    <row r="43" spans="1:4" ht="15.75">
      <c r="A43" s="83" t="s">
        <v>986</v>
      </c>
      <c r="B43" s="271">
        <v>2555</v>
      </c>
      <c r="C43" s="271">
        <v>4200</v>
      </c>
      <c r="D43" s="271">
        <v>4000</v>
      </c>
    </row>
    <row r="44" spans="1:4" ht="15.75">
      <c r="A44" s="266" t="s">
        <v>123</v>
      </c>
      <c r="B44" s="289">
        <f>SUM(B42:B43)</f>
        <v>113341</v>
      </c>
      <c r="C44" s="289">
        <f>SUM(C42:C43)</f>
        <v>120188</v>
      </c>
      <c r="D44" s="289">
        <f>SUM(D42:D43)</f>
        <v>120000</v>
      </c>
    </row>
    <row r="45" spans="1:4" ht="15.75">
      <c r="A45" s="288" t="s">
        <v>989</v>
      </c>
      <c r="B45" s="100"/>
      <c r="C45" s="100"/>
      <c r="D45" s="100"/>
    </row>
    <row r="46" spans="1:4" ht="15.75">
      <c r="A46" s="83" t="s">
        <v>982</v>
      </c>
      <c r="B46" s="271">
        <v>57796</v>
      </c>
      <c r="C46" s="271">
        <v>57600</v>
      </c>
      <c r="D46" s="271">
        <v>57600</v>
      </c>
    </row>
    <row r="47" spans="1:4" ht="15.75">
      <c r="A47" s="83" t="s">
        <v>986</v>
      </c>
      <c r="B47" s="271">
        <v>4086</v>
      </c>
      <c r="C47" s="271">
        <v>5000</v>
      </c>
      <c r="D47" s="271">
        <v>5000</v>
      </c>
    </row>
    <row r="48" spans="1:4" ht="15.75">
      <c r="A48" s="266" t="s">
        <v>123</v>
      </c>
      <c r="B48" s="289">
        <f>SUM(B46:B47)</f>
        <v>61882</v>
      </c>
      <c r="C48" s="289">
        <f>SUM(C46:C47)</f>
        <v>62600</v>
      </c>
      <c r="D48" s="289">
        <f>SUM(D46:D47)</f>
        <v>62600</v>
      </c>
    </row>
    <row r="49" spans="1:4" ht="15.75">
      <c r="A49" s="60"/>
      <c r="B49" s="100"/>
      <c r="C49" s="100"/>
      <c r="D49" s="100"/>
    </row>
    <row r="50" spans="1:4" ht="15.75">
      <c r="A50" s="266" t="s">
        <v>278</v>
      </c>
      <c r="B50" s="277">
        <f>B17+B24+B32+B36+B40+B44+B48</f>
        <v>875131</v>
      </c>
      <c r="C50" s="277">
        <f>C17+C24+C32+C36+C40+C44+C48</f>
        <v>1046793</v>
      </c>
      <c r="D50" s="277">
        <f>D17+D24+D32+D36+D40+D44+D48</f>
        <v>1406863</v>
      </c>
    </row>
    <row r="51" spans="1:4" ht="15.75">
      <c r="A51" s="60"/>
      <c r="B51" s="198"/>
      <c r="C51" s="198"/>
      <c r="D51" s="198"/>
    </row>
    <row r="52" spans="1:4" ht="15.75">
      <c r="A52" s="60"/>
      <c r="B52" s="198"/>
      <c r="C52" s="198"/>
      <c r="D52" s="198"/>
    </row>
    <row r="53" spans="1:4" ht="15.75">
      <c r="A53" s="60"/>
      <c r="B53" s="198"/>
      <c r="C53" s="198"/>
      <c r="D53" s="198"/>
    </row>
    <row r="54" spans="1:4" ht="15.75">
      <c r="A54" s="60"/>
      <c r="B54" s="198"/>
      <c r="C54" s="198"/>
      <c r="D54" s="198"/>
    </row>
    <row r="55" spans="1:4" ht="15.75">
      <c r="A55" s="60"/>
      <c r="B55" s="198"/>
      <c r="C55" s="198"/>
      <c r="D55" s="198"/>
    </row>
    <row r="56" spans="1:4" ht="15.75">
      <c r="A56" s="60"/>
      <c r="B56" s="198"/>
      <c r="C56" s="198"/>
      <c r="D56" s="198"/>
    </row>
    <row r="57" spans="1:4" ht="15.75">
      <c r="A57" s="60"/>
      <c r="B57" s="198"/>
      <c r="C57" s="198"/>
      <c r="D57" s="198"/>
    </row>
    <row r="58" spans="1:4" ht="15.75">
      <c r="A58" s="60"/>
      <c r="B58" s="198"/>
      <c r="C58" s="198"/>
      <c r="D58" s="198"/>
    </row>
    <row r="59" spans="1:4" ht="15.75">
      <c r="A59" s="60"/>
      <c r="B59" s="198"/>
      <c r="C59" s="198"/>
      <c r="D59" s="198"/>
    </row>
    <row r="60" spans="1:4" ht="15.75">
      <c r="A60" s="803" t="s">
        <v>271</v>
      </c>
      <c r="B60" s="803"/>
      <c r="C60" s="803"/>
      <c r="D60" s="803"/>
    </row>
    <row r="61" spans="1:4" ht="15.75">
      <c r="A61" s="60"/>
      <c r="B61" s="198"/>
      <c r="C61" s="198"/>
      <c r="D61" s="198"/>
    </row>
    <row r="62" spans="1:4" ht="15.75">
      <c r="A62" s="198" t="str">
        <f>inputPrYr!C2</f>
        <v>Sheridan County</v>
      </c>
      <c r="B62" s="198"/>
      <c r="C62" s="59"/>
      <c r="D62" s="290">
        <f>D1</f>
        <v>2015</v>
      </c>
    </row>
    <row r="63" spans="1:4" ht="15.75">
      <c r="A63" s="60"/>
      <c r="B63" s="198"/>
      <c r="C63" s="198"/>
      <c r="D63" s="59"/>
    </row>
    <row r="64" spans="1:4" ht="15.75">
      <c r="A64" s="278" t="s">
        <v>225</v>
      </c>
      <c r="B64" s="291"/>
      <c r="C64" s="291"/>
      <c r="D64" s="291"/>
    </row>
    <row r="65" spans="1:4" ht="15.75">
      <c r="A65" s="60" t="s">
        <v>152</v>
      </c>
      <c r="B65" s="287" t="str">
        <f aca="true" t="shared" si="0" ref="B65:D66">B4</f>
        <v>Prior Year </v>
      </c>
      <c r="C65" s="185" t="str">
        <f t="shared" si="0"/>
        <v>Current Year </v>
      </c>
      <c r="D65" s="185" t="str">
        <f t="shared" si="0"/>
        <v>Proposed Budget </v>
      </c>
    </row>
    <row r="66" spans="1:4" ht="15.75">
      <c r="A66" s="87" t="s">
        <v>166</v>
      </c>
      <c r="B66" s="280" t="str">
        <f t="shared" si="0"/>
        <v>Actual for 2013</v>
      </c>
      <c r="C66" s="280" t="str">
        <f t="shared" si="0"/>
        <v>Estimate for 2014</v>
      </c>
      <c r="D66" s="280" t="str">
        <f t="shared" si="0"/>
        <v>Year for 2015</v>
      </c>
    </row>
    <row r="67" spans="1:4" ht="15.75">
      <c r="A67" s="266" t="s">
        <v>162</v>
      </c>
      <c r="B67" s="100"/>
      <c r="C67" s="100"/>
      <c r="D67" s="100"/>
    </row>
    <row r="68" spans="1:4" ht="15.75">
      <c r="A68" s="288" t="s">
        <v>990</v>
      </c>
      <c r="B68" s="100"/>
      <c r="C68" s="100"/>
      <c r="D68" s="100"/>
    </row>
    <row r="69" spans="1:4" ht="15.75">
      <c r="A69" s="83" t="s">
        <v>982</v>
      </c>
      <c r="B69" s="271">
        <v>57231</v>
      </c>
      <c r="C69" s="271">
        <v>62000</v>
      </c>
      <c r="D69" s="271">
        <v>62000</v>
      </c>
    </row>
    <row r="70" spans="1:4" ht="15.75">
      <c r="A70" s="83" t="s">
        <v>986</v>
      </c>
      <c r="B70" s="271">
        <v>2086</v>
      </c>
      <c r="C70" s="271">
        <v>7500</v>
      </c>
      <c r="D70" s="271">
        <v>5500</v>
      </c>
    </row>
    <row r="71" spans="1:4" ht="15.75">
      <c r="A71" s="292" t="s">
        <v>123</v>
      </c>
      <c r="B71" s="289">
        <f>SUM(B69:B70)</f>
        <v>59317</v>
      </c>
      <c r="C71" s="289">
        <f>SUM(C69:C70)</f>
        <v>69500</v>
      </c>
      <c r="D71" s="289">
        <f>SUM(D69:D70)</f>
        <v>67500</v>
      </c>
    </row>
    <row r="72" spans="1:4" ht="15.75">
      <c r="A72" s="288" t="s">
        <v>991</v>
      </c>
      <c r="B72" s="100"/>
      <c r="C72" s="100"/>
      <c r="D72" s="100"/>
    </row>
    <row r="73" spans="1:4" ht="15.75">
      <c r="A73" s="83" t="s">
        <v>982</v>
      </c>
      <c r="B73" s="271">
        <v>118180</v>
      </c>
      <c r="C73" s="271">
        <v>114277</v>
      </c>
      <c r="D73" s="271">
        <v>114000</v>
      </c>
    </row>
    <row r="74" spans="1:4" ht="15.75">
      <c r="A74" s="83" t="s">
        <v>986</v>
      </c>
      <c r="B74" s="271">
        <v>34290</v>
      </c>
      <c r="C74" s="271">
        <v>58000</v>
      </c>
      <c r="D74" s="271">
        <v>60000</v>
      </c>
    </row>
    <row r="75" spans="1:4" ht="15.75">
      <c r="A75" s="266" t="s">
        <v>123</v>
      </c>
      <c r="B75" s="283">
        <f>SUM(B73:B74)</f>
        <v>152470</v>
      </c>
      <c r="C75" s="283">
        <f>SUM(C73:C74)</f>
        <v>172277</v>
      </c>
      <c r="D75" s="283">
        <f>SUM(D73:D74)</f>
        <v>174000</v>
      </c>
    </row>
    <row r="76" spans="1:4" ht="15.75">
      <c r="A76" s="288" t="s">
        <v>170</v>
      </c>
      <c r="B76" s="100"/>
      <c r="C76" s="100"/>
      <c r="D76" s="100"/>
    </row>
    <row r="77" spans="1:4" ht="15.75">
      <c r="A77" s="83" t="s">
        <v>982</v>
      </c>
      <c r="B77" s="271">
        <v>92873</v>
      </c>
      <c r="C77" s="271">
        <v>104065</v>
      </c>
      <c r="D77" s="271">
        <v>104065</v>
      </c>
    </row>
    <row r="78" spans="1:4" ht="15.75">
      <c r="A78" s="83" t="s">
        <v>986</v>
      </c>
      <c r="B78" s="271">
        <v>2804</v>
      </c>
      <c r="C78" s="271">
        <v>3500</v>
      </c>
      <c r="D78" s="271">
        <v>4000</v>
      </c>
    </row>
    <row r="79" spans="1:4" ht="15.75">
      <c r="A79" s="266" t="s">
        <v>123</v>
      </c>
      <c r="B79" s="283">
        <f>SUM(B77:B78)</f>
        <v>95677</v>
      </c>
      <c r="C79" s="283">
        <f>SUM(C77:C78)</f>
        <v>107565</v>
      </c>
      <c r="D79" s="283">
        <f>SUM(D77:D78)</f>
        <v>108065</v>
      </c>
    </row>
    <row r="80" spans="1:4" ht="15.75">
      <c r="A80" s="288" t="s">
        <v>992</v>
      </c>
      <c r="B80" s="100"/>
      <c r="C80" s="100"/>
      <c r="D80" s="100"/>
    </row>
    <row r="81" spans="1:4" ht="15.75">
      <c r="A81" s="83" t="s">
        <v>986</v>
      </c>
      <c r="B81" s="271">
        <v>2000</v>
      </c>
      <c r="C81" s="271">
        <v>2000</v>
      </c>
      <c r="D81" s="271">
        <v>2000</v>
      </c>
    </row>
    <row r="82" spans="1:4" ht="15.75">
      <c r="A82" s="266" t="s">
        <v>123</v>
      </c>
      <c r="B82" s="283">
        <f>SUM(B81:B81)</f>
        <v>2000</v>
      </c>
      <c r="C82" s="283">
        <f>SUM(C81:C81)</f>
        <v>2000</v>
      </c>
      <c r="D82" s="283">
        <f>SUM(D81:D81)</f>
        <v>2000</v>
      </c>
    </row>
    <row r="83" spans="1:4" ht="15.75">
      <c r="A83" s="288" t="s">
        <v>151</v>
      </c>
      <c r="B83" s="100"/>
      <c r="C83" s="100"/>
      <c r="D83" s="100"/>
    </row>
    <row r="84" spans="1:4" ht="15.75">
      <c r="A84" s="83" t="s">
        <v>986</v>
      </c>
      <c r="B84" s="271">
        <v>17811</v>
      </c>
      <c r="C84" s="271">
        <v>30302</v>
      </c>
      <c r="D84" s="271">
        <v>30100</v>
      </c>
    </row>
    <row r="85" spans="1:4" ht="15.75">
      <c r="A85" s="266" t="s">
        <v>123</v>
      </c>
      <c r="B85" s="283">
        <f>SUM(B84:B84)</f>
        <v>17811</v>
      </c>
      <c r="C85" s="283">
        <f>SUM(C84:C84)</f>
        <v>30302</v>
      </c>
      <c r="D85" s="283">
        <f>SUM(D84:D84)</f>
        <v>30100</v>
      </c>
    </row>
    <row r="86" spans="1:4" ht="15.75">
      <c r="A86" s="288" t="s">
        <v>171</v>
      </c>
      <c r="B86" s="100"/>
      <c r="C86" s="100"/>
      <c r="D86" s="100"/>
    </row>
    <row r="87" spans="1:4" ht="15.75">
      <c r="A87" s="83" t="s">
        <v>982</v>
      </c>
      <c r="B87" s="271">
        <v>2183</v>
      </c>
      <c r="C87" s="271">
        <v>12000</v>
      </c>
      <c r="D87" s="271">
        <v>3500</v>
      </c>
    </row>
    <row r="88" spans="1:4" ht="15.75">
      <c r="A88" s="83" t="s">
        <v>986</v>
      </c>
      <c r="B88" s="271">
        <v>5259</v>
      </c>
      <c r="C88" s="271">
        <v>13500</v>
      </c>
      <c r="D88" s="271">
        <v>7500</v>
      </c>
    </row>
    <row r="89" spans="1:4" ht="15.75">
      <c r="A89" s="266" t="s">
        <v>123</v>
      </c>
      <c r="B89" s="283">
        <f>SUM(B87:B88)</f>
        <v>7442</v>
      </c>
      <c r="C89" s="283">
        <f>SUM(C87:C88)</f>
        <v>25500</v>
      </c>
      <c r="D89" s="283">
        <f>SUM(D87:D88)</f>
        <v>11000</v>
      </c>
    </row>
    <row r="90" spans="1:4" ht="15.75">
      <c r="A90" s="288" t="s">
        <v>993</v>
      </c>
      <c r="B90" s="100"/>
      <c r="C90" s="100"/>
      <c r="D90" s="100"/>
    </row>
    <row r="91" spans="1:4" ht="15.75">
      <c r="A91" s="83" t="s">
        <v>982</v>
      </c>
      <c r="B91" s="271">
        <v>18783</v>
      </c>
      <c r="C91" s="271">
        <v>26400</v>
      </c>
      <c r="D91" s="271">
        <v>26000</v>
      </c>
    </row>
    <row r="92" spans="1:4" ht="15.75">
      <c r="A92" s="266" t="s">
        <v>123</v>
      </c>
      <c r="B92" s="283">
        <f>SUM(B91:B91)</f>
        <v>18783</v>
      </c>
      <c r="C92" s="283">
        <f>SUM(C91:C91)</f>
        <v>26400</v>
      </c>
      <c r="D92" s="283">
        <f>SUM(D91:D91)</f>
        <v>26000</v>
      </c>
    </row>
    <row r="93" spans="1:4" ht="15.75">
      <c r="A93" s="288" t="s">
        <v>994</v>
      </c>
      <c r="B93" s="100"/>
      <c r="C93" s="100"/>
      <c r="D93" s="100"/>
    </row>
    <row r="94" spans="1:4" ht="15.75">
      <c r="A94" s="83" t="s">
        <v>982</v>
      </c>
      <c r="B94" s="271">
        <v>115405</v>
      </c>
      <c r="C94" s="271">
        <v>119600</v>
      </c>
      <c r="D94" s="271">
        <v>121000</v>
      </c>
    </row>
    <row r="95" spans="1:4" ht="15.75">
      <c r="A95" s="266" t="s">
        <v>123</v>
      </c>
      <c r="B95" s="283">
        <f>SUM(B94:B94)</f>
        <v>115405</v>
      </c>
      <c r="C95" s="283">
        <f>SUM(C94:C94)</f>
        <v>119600</v>
      </c>
      <c r="D95" s="283">
        <f>SUM(D94:D94)</f>
        <v>121000</v>
      </c>
    </row>
    <row r="96" spans="1:4" ht="15.75">
      <c r="A96" s="288" t="s">
        <v>995</v>
      </c>
      <c r="B96" s="100"/>
      <c r="C96" s="100"/>
      <c r="D96" s="100"/>
    </row>
    <row r="97" spans="1:4" ht="15.75">
      <c r="A97" s="83" t="s">
        <v>986</v>
      </c>
      <c r="B97" s="271">
        <v>15840</v>
      </c>
      <c r="C97" s="271">
        <v>17000</v>
      </c>
      <c r="D97" s="271">
        <v>26000</v>
      </c>
    </row>
    <row r="98" spans="1:4" ht="15.75">
      <c r="A98" s="266" t="s">
        <v>123</v>
      </c>
      <c r="B98" s="283">
        <f>SUM(B97:B97)</f>
        <v>15840</v>
      </c>
      <c r="C98" s="283">
        <f>SUM(C97:C97)</f>
        <v>17000</v>
      </c>
      <c r="D98" s="283">
        <f>SUM(D97:D97)</f>
        <v>26000</v>
      </c>
    </row>
    <row r="99" spans="1:4" ht="15.75">
      <c r="A99" s="288" t="s">
        <v>172</v>
      </c>
      <c r="B99" s="271"/>
      <c r="C99" s="271"/>
      <c r="D99" s="271"/>
    </row>
    <row r="100" spans="1:4" ht="15.75">
      <c r="A100" s="83" t="s">
        <v>996</v>
      </c>
      <c r="B100" s="271">
        <v>120923</v>
      </c>
      <c r="C100" s="271">
        <v>127000</v>
      </c>
      <c r="D100" s="271">
        <v>132000</v>
      </c>
    </row>
    <row r="101" spans="1:4" ht="15.75">
      <c r="A101" s="83" t="s">
        <v>173</v>
      </c>
      <c r="B101" s="271">
        <v>542641</v>
      </c>
      <c r="C101" s="271">
        <v>538000</v>
      </c>
      <c r="D101" s="271">
        <v>600000</v>
      </c>
    </row>
    <row r="102" spans="1:4" ht="15.75">
      <c r="A102" s="83" t="s">
        <v>174</v>
      </c>
      <c r="B102" s="271">
        <v>126194</v>
      </c>
      <c r="C102" s="271">
        <v>148886</v>
      </c>
      <c r="D102" s="271">
        <v>165000</v>
      </c>
    </row>
    <row r="103" spans="1:4" ht="15.75">
      <c r="A103" s="83" t="s">
        <v>175</v>
      </c>
      <c r="B103" s="271">
        <v>50845</v>
      </c>
      <c r="C103" s="271">
        <v>52000</v>
      </c>
      <c r="D103" s="271">
        <v>60000</v>
      </c>
    </row>
    <row r="104" spans="1:4" ht="15.75">
      <c r="A104" s="83" t="s">
        <v>176</v>
      </c>
      <c r="B104" s="271">
        <v>1338</v>
      </c>
      <c r="C104" s="271">
        <v>4000</v>
      </c>
      <c r="D104" s="271">
        <v>4000</v>
      </c>
    </row>
    <row r="105" spans="1:4" ht="15.75">
      <c r="A105" s="266" t="s">
        <v>123</v>
      </c>
      <c r="B105" s="283">
        <f>SUM(B99:B104)</f>
        <v>841941</v>
      </c>
      <c r="C105" s="283">
        <f>SUM(C99:C104)</f>
        <v>869886</v>
      </c>
      <c r="D105" s="283">
        <f>SUM(D99:D104)</f>
        <v>961000</v>
      </c>
    </row>
    <row r="106" spans="1:4" ht="15.75">
      <c r="A106" s="288" t="s">
        <v>997</v>
      </c>
      <c r="B106" s="100"/>
      <c r="C106" s="100"/>
      <c r="D106" s="100"/>
    </row>
    <row r="107" spans="1:4" ht="15.75">
      <c r="A107" s="83" t="s">
        <v>986</v>
      </c>
      <c r="B107" s="271">
        <v>928</v>
      </c>
      <c r="C107" s="271">
        <v>3500</v>
      </c>
      <c r="D107" s="271">
        <v>4500</v>
      </c>
    </row>
    <row r="108" spans="1:4" ht="15.75">
      <c r="A108" s="266" t="s">
        <v>123</v>
      </c>
      <c r="B108" s="283">
        <f>SUM(B107:B107)</f>
        <v>928</v>
      </c>
      <c r="C108" s="283">
        <f>SUM(C107:C107)</f>
        <v>3500</v>
      </c>
      <c r="D108" s="283">
        <f>SUM(D107:D107)</f>
        <v>4500</v>
      </c>
    </row>
    <row r="109" spans="1:4" ht="15.75">
      <c r="A109" s="288" t="s">
        <v>998</v>
      </c>
      <c r="B109" s="100"/>
      <c r="C109" s="100"/>
      <c r="D109" s="100"/>
    </row>
    <row r="110" spans="1:4" ht="15.75">
      <c r="A110" s="83" t="s">
        <v>986</v>
      </c>
      <c r="B110" s="271">
        <v>1900</v>
      </c>
      <c r="C110" s="271">
        <v>7500</v>
      </c>
      <c r="D110" s="271">
        <v>10000</v>
      </c>
    </row>
    <row r="111" spans="1:4" ht="15.75">
      <c r="A111" s="266" t="s">
        <v>123</v>
      </c>
      <c r="B111" s="283">
        <f>SUM(B110:B110)</f>
        <v>1900</v>
      </c>
      <c r="C111" s="283">
        <f>SUM(C110:C110)</f>
        <v>7500</v>
      </c>
      <c r="D111" s="283">
        <f>SUM(D110:D110)</f>
        <v>10000</v>
      </c>
    </row>
    <row r="112" spans="1:4" ht="15.75">
      <c r="A112" s="60"/>
      <c r="B112" s="100"/>
      <c r="C112" s="100"/>
      <c r="D112" s="100"/>
    </row>
    <row r="113" spans="1:4" ht="15.75">
      <c r="A113" s="266" t="s">
        <v>279</v>
      </c>
      <c r="B113" s="277">
        <f>B71+B75+B79+B82+B92+B98+B105+B85+B95+B108+B111+B89</f>
        <v>1329514</v>
      </c>
      <c r="C113" s="277">
        <f>C71+C75+C79+C82+C92+C98+C105+C85+C95+C108+C111+C89</f>
        <v>1451030</v>
      </c>
      <c r="D113" s="277">
        <f>D71+D75+D79+D82+D92+D98+D105+D85+D95+D108+D111+D89</f>
        <v>1541165</v>
      </c>
    </row>
    <row r="114" spans="1:4" ht="15.75">
      <c r="A114" s="60"/>
      <c r="B114" s="198"/>
      <c r="C114" s="198"/>
      <c r="D114" s="198"/>
    </row>
    <row r="115" spans="1:4" ht="15.75">
      <c r="A115" s="60"/>
      <c r="B115" s="198"/>
      <c r="C115" s="198"/>
      <c r="D115" s="198"/>
    </row>
    <row r="116" spans="1:4" ht="15.75">
      <c r="A116" s="60"/>
      <c r="B116" s="198"/>
      <c r="C116" s="198"/>
      <c r="D116" s="198"/>
    </row>
    <row r="117" spans="1:4" ht="15.75">
      <c r="A117" s="60"/>
      <c r="B117" s="198"/>
      <c r="C117" s="198"/>
      <c r="D117" s="198"/>
    </row>
    <row r="118" spans="1:4" ht="15.75">
      <c r="A118" s="60"/>
      <c r="B118" s="198"/>
      <c r="C118" s="198"/>
      <c r="D118" s="198"/>
    </row>
    <row r="119" spans="1:4" ht="15.75">
      <c r="A119" s="60"/>
      <c r="B119" s="198"/>
      <c r="C119" s="198"/>
      <c r="D119" s="198"/>
    </row>
    <row r="120" spans="1:4" ht="15.75">
      <c r="A120" s="803" t="s">
        <v>272</v>
      </c>
      <c r="B120" s="803"/>
      <c r="C120" s="803"/>
      <c r="D120" s="803"/>
    </row>
    <row r="121" spans="1:4" ht="15.75">
      <c r="A121" s="198" t="str">
        <f>inputPrYr!C2</f>
        <v>Sheridan County</v>
      </c>
      <c r="B121" s="198"/>
      <c r="C121" s="59"/>
      <c r="D121" s="290">
        <f>D1</f>
        <v>2015</v>
      </c>
    </row>
    <row r="122" spans="1:4" ht="15.75">
      <c r="A122" s="60"/>
      <c r="B122" s="198"/>
      <c r="C122" s="198"/>
      <c r="D122" s="59"/>
    </row>
    <row r="123" spans="1:4" ht="15.75">
      <c r="A123" s="278" t="s">
        <v>225</v>
      </c>
      <c r="B123" s="291"/>
      <c r="C123" s="291"/>
      <c r="D123" s="291"/>
    </row>
    <row r="124" spans="1:4" ht="15.75">
      <c r="A124" s="60" t="s">
        <v>152</v>
      </c>
      <c r="B124" s="287" t="str">
        <f aca="true" t="shared" si="1" ref="B124:D125">B4</f>
        <v>Prior Year </v>
      </c>
      <c r="C124" s="185" t="str">
        <f t="shared" si="1"/>
        <v>Current Year </v>
      </c>
      <c r="D124" s="185" t="str">
        <f t="shared" si="1"/>
        <v>Proposed Budget </v>
      </c>
    </row>
    <row r="125" spans="1:4" ht="15.75">
      <c r="A125" s="87" t="s">
        <v>166</v>
      </c>
      <c r="B125" s="280" t="str">
        <f t="shared" si="1"/>
        <v>Actual for 2013</v>
      </c>
      <c r="C125" s="280" t="str">
        <f t="shared" si="1"/>
        <v>Estimate for 2014</v>
      </c>
      <c r="D125" s="280" t="str">
        <f t="shared" si="1"/>
        <v>Year for 2015</v>
      </c>
    </row>
    <row r="126" spans="1:4" ht="15.75">
      <c r="A126" s="266" t="s">
        <v>162</v>
      </c>
      <c r="B126" s="100"/>
      <c r="C126" s="100"/>
      <c r="D126" s="100"/>
    </row>
    <row r="127" spans="1:4" ht="15.75">
      <c r="A127" s="288" t="s">
        <v>999</v>
      </c>
      <c r="B127" s="100"/>
      <c r="C127" s="100"/>
      <c r="D127" s="100"/>
    </row>
    <row r="128" spans="1:4" ht="15.75">
      <c r="A128" s="83" t="s">
        <v>986</v>
      </c>
      <c r="B128" s="271">
        <v>4000</v>
      </c>
      <c r="C128" s="271">
        <v>4000</v>
      </c>
      <c r="D128" s="271">
        <v>4000</v>
      </c>
    </row>
    <row r="129" spans="1:4" ht="15.75">
      <c r="A129" s="266" t="s">
        <v>123</v>
      </c>
      <c r="B129" s="283">
        <f>SUM(B128:B128)</f>
        <v>4000</v>
      </c>
      <c r="C129" s="283">
        <f>SUM(C128:C128)</f>
        <v>4000</v>
      </c>
      <c r="D129" s="283">
        <f>SUM(D128:D128)</f>
        <v>4000</v>
      </c>
    </row>
    <row r="130" spans="1:4" ht="15.75">
      <c r="A130" s="288" t="s">
        <v>180</v>
      </c>
      <c r="B130" s="100"/>
      <c r="C130" s="100"/>
      <c r="D130" s="100"/>
    </row>
    <row r="131" spans="1:4" ht="15.75">
      <c r="A131" s="83" t="s">
        <v>986</v>
      </c>
      <c r="B131" s="271"/>
      <c r="C131" s="271"/>
      <c r="D131" s="271">
        <v>65000</v>
      </c>
    </row>
    <row r="132" spans="1:4" ht="15.75">
      <c r="A132" s="266" t="s">
        <v>123</v>
      </c>
      <c r="B132" s="283">
        <f>SUM(B131:B131)</f>
        <v>0</v>
      </c>
      <c r="C132" s="283">
        <f>SUM(C131:C131)</f>
        <v>0</v>
      </c>
      <c r="D132" s="283">
        <f>SUM(D131:D131)</f>
        <v>65000</v>
      </c>
    </row>
    <row r="133" spans="1:4" ht="15.75">
      <c r="A133" s="288" t="s">
        <v>1000</v>
      </c>
      <c r="B133" s="100"/>
      <c r="C133" s="100"/>
      <c r="D133" s="100"/>
    </row>
    <row r="134" spans="1:4" ht="15.75">
      <c r="A134" s="83" t="s">
        <v>986</v>
      </c>
      <c r="B134" s="271"/>
      <c r="C134" s="271">
        <v>25000</v>
      </c>
      <c r="D134" s="271">
        <v>35000</v>
      </c>
    </row>
    <row r="135" spans="1:4" ht="15.75">
      <c r="A135" s="266" t="s">
        <v>123</v>
      </c>
      <c r="B135" s="283">
        <f>SUM(B134:B134)</f>
        <v>0</v>
      </c>
      <c r="C135" s="283">
        <f>SUM(C134:C134)</f>
        <v>25000</v>
      </c>
      <c r="D135" s="283">
        <f>SUM(D134:D134)</f>
        <v>35000</v>
      </c>
    </row>
    <row r="136" spans="1:4" ht="15.75">
      <c r="A136" s="288" t="s">
        <v>1079</v>
      </c>
      <c r="B136" s="100"/>
      <c r="C136" s="100"/>
      <c r="D136" s="100"/>
    </row>
    <row r="137" spans="1:4" ht="15.75">
      <c r="A137" s="83" t="s">
        <v>986</v>
      </c>
      <c r="B137" s="271"/>
      <c r="C137" s="271"/>
      <c r="D137" s="271">
        <v>500</v>
      </c>
    </row>
    <row r="138" spans="1:4" ht="15.75">
      <c r="A138" s="266" t="s">
        <v>123</v>
      </c>
      <c r="B138" s="283">
        <f>SUM(B137:B137)</f>
        <v>0</v>
      </c>
      <c r="C138" s="283">
        <f>SUM(C137:C137)</f>
        <v>0</v>
      </c>
      <c r="D138" s="283">
        <f>SUM(D137:D137)</f>
        <v>500</v>
      </c>
    </row>
    <row r="139" spans="1:4" ht="15.75">
      <c r="A139" s="288" t="s">
        <v>1001</v>
      </c>
      <c r="B139" s="100"/>
      <c r="C139" s="100"/>
      <c r="D139" s="100"/>
    </row>
    <row r="140" spans="1:4" ht="15.75">
      <c r="A140" s="83" t="s">
        <v>982</v>
      </c>
      <c r="B140" s="271">
        <v>21475</v>
      </c>
      <c r="C140" s="271">
        <v>23552</v>
      </c>
      <c r="D140" s="271">
        <v>25000</v>
      </c>
    </row>
    <row r="141" spans="1:4" ht="15.75">
      <c r="A141" s="266" t="s">
        <v>123</v>
      </c>
      <c r="B141" s="283">
        <f>SUM(B140:B140)</f>
        <v>21475</v>
      </c>
      <c r="C141" s="283">
        <f>SUM(C140:C140)</f>
        <v>23552</v>
      </c>
      <c r="D141" s="283">
        <f>SUM(D140:D140)</f>
        <v>25000</v>
      </c>
    </row>
    <row r="142" spans="1:4" ht="15.75">
      <c r="A142" s="288" t="s">
        <v>1002</v>
      </c>
      <c r="B142" s="100"/>
      <c r="C142" s="100"/>
      <c r="D142" s="100"/>
    </row>
    <row r="143" spans="1:4" ht="15.75">
      <c r="A143" s="83" t="s">
        <v>986</v>
      </c>
      <c r="B143" s="271"/>
      <c r="C143" s="271"/>
      <c r="D143" s="271">
        <v>1500</v>
      </c>
    </row>
    <row r="144" spans="1:4" ht="15.75">
      <c r="A144" s="266" t="s">
        <v>123</v>
      </c>
      <c r="B144" s="283">
        <f>SUM(B143:B143)</f>
        <v>0</v>
      </c>
      <c r="C144" s="283">
        <f>SUM(C143:C143)</f>
        <v>0</v>
      </c>
      <c r="D144" s="283">
        <f>SUM(D143:D143)</f>
        <v>1500</v>
      </c>
    </row>
    <row r="145" spans="1:4" ht="15.75">
      <c r="A145" s="288" t="s">
        <v>1080</v>
      </c>
      <c r="B145" s="100"/>
      <c r="C145" s="100"/>
      <c r="D145" s="100"/>
    </row>
    <row r="146" spans="1:4" ht="15.75">
      <c r="A146" s="83" t="s">
        <v>986</v>
      </c>
      <c r="B146" s="271"/>
      <c r="C146" s="271"/>
      <c r="D146" s="271">
        <v>5600</v>
      </c>
    </row>
    <row r="147" spans="1:4" ht="15.75">
      <c r="A147" s="266" t="s">
        <v>123</v>
      </c>
      <c r="B147" s="283">
        <f>SUM(B146:B146)</f>
        <v>0</v>
      </c>
      <c r="C147" s="283">
        <f>SUM(C146:C146)</f>
        <v>0</v>
      </c>
      <c r="D147" s="283">
        <f>SUM(D146:D146)</f>
        <v>5600</v>
      </c>
    </row>
    <row r="148" spans="1:4" ht="15.75">
      <c r="A148" s="288" t="s">
        <v>892</v>
      </c>
      <c r="B148" s="100"/>
      <c r="C148" s="100"/>
      <c r="D148" s="100"/>
    </row>
    <row r="149" spans="1:4" ht="15.75">
      <c r="A149" s="83" t="s">
        <v>986</v>
      </c>
      <c r="B149" s="271">
        <v>20032</v>
      </c>
      <c r="C149" s="271">
        <v>22000</v>
      </c>
      <c r="D149" s="271">
        <v>40000</v>
      </c>
    </row>
    <row r="150" spans="1:4" ht="15.75">
      <c r="A150" s="266" t="s">
        <v>123</v>
      </c>
      <c r="B150" s="283">
        <f>SUM(B149:B149)</f>
        <v>20032</v>
      </c>
      <c r="C150" s="283">
        <f>SUM(C149:C149)</f>
        <v>22000</v>
      </c>
      <c r="D150" s="283">
        <f>SUM(D149:D149)</f>
        <v>40000</v>
      </c>
    </row>
    <row r="151" spans="1:4" ht="15.75">
      <c r="A151" s="288" t="s">
        <v>1003</v>
      </c>
      <c r="B151" s="100"/>
      <c r="C151" s="100"/>
      <c r="D151" s="100"/>
    </row>
    <row r="152" spans="1:4" ht="15.75">
      <c r="A152" s="83" t="s">
        <v>986</v>
      </c>
      <c r="B152" s="271"/>
      <c r="C152" s="271"/>
      <c r="D152" s="271">
        <v>823548</v>
      </c>
    </row>
    <row r="153" spans="1:4" ht="15.75">
      <c r="A153" s="266" t="s">
        <v>123</v>
      </c>
      <c r="B153" s="283">
        <f>SUM(B152:B152)</f>
        <v>0</v>
      </c>
      <c r="C153" s="283">
        <f>SUM(C152:C152)</f>
        <v>0</v>
      </c>
      <c r="D153" s="283">
        <f>SUM(D152:D152)</f>
        <v>823548</v>
      </c>
    </row>
    <row r="154" spans="1:4" ht="15.75">
      <c r="A154" s="288" t="s">
        <v>1004</v>
      </c>
      <c r="B154" s="100"/>
      <c r="C154" s="100"/>
      <c r="D154" s="100"/>
    </row>
    <row r="155" spans="1:4" ht="15.75">
      <c r="A155" s="83" t="s">
        <v>1005</v>
      </c>
      <c r="B155" s="271">
        <v>70000</v>
      </c>
      <c r="C155" s="271">
        <v>50000</v>
      </c>
      <c r="D155" s="271">
        <v>50000</v>
      </c>
    </row>
    <row r="156" spans="1:4" ht="15.75">
      <c r="A156" s="83" t="s">
        <v>1006</v>
      </c>
      <c r="B156" s="271">
        <v>79801</v>
      </c>
      <c r="C156" s="271"/>
      <c r="D156" s="271"/>
    </row>
    <row r="157" spans="1:4" ht="15.75">
      <c r="A157" s="83" t="s">
        <v>1086</v>
      </c>
      <c r="B157" s="271"/>
      <c r="C157" s="271"/>
      <c r="D157" s="271">
        <v>200000</v>
      </c>
    </row>
    <row r="158" spans="1:4" ht="15.75">
      <c r="A158" s="266" t="s">
        <v>123</v>
      </c>
      <c r="B158" s="283">
        <f>SUM(B155:B157)</f>
        <v>149801</v>
      </c>
      <c r="C158" s="283">
        <f>SUM(C155:C157)</f>
        <v>50000</v>
      </c>
      <c r="D158" s="283">
        <f>SUM(D155:D157)</f>
        <v>250000</v>
      </c>
    </row>
    <row r="159" spans="1:4" ht="15.75">
      <c r="A159" s="266"/>
      <c r="B159" s="100"/>
      <c r="C159" s="100"/>
      <c r="D159" s="100"/>
    </row>
    <row r="160" spans="1:6" ht="15.75">
      <c r="A160" s="266" t="s">
        <v>280</v>
      </c>
      <c r="B160" s="277">
        <f>B129+B135+B141+B150+B158+B132+B138+B153+B144+B147</f>
        <v>195308</v>
      </c>
      <c r="C160" s="277">
        <f>C129+C135+C141+C150+C158+C132+C138+C153+C144+C147</f>
        <v>124552</v>
      </c>
      <c r="D160" s="277">
        <f>D129+D135+D141+D150+D158+D132+D138+D153+D144+D147</f>
        <v>1250148</v>
      </c>
      <c r="F160" s="296"/>
    </row>
    <row r="161" spans="1:4" ht="15.75">
      <c r="A161" s="60"/>
      <c r="B161" s="198"/>
      <c r="C161" s="198"/>
      <c r="D161" s="198"/>
    </row>
    <row r="162" spans="1:4" ht="15.75">
      <c r="A162" s="74"/>
      <c r="B162" s="74"/>
      <c r="C162" s="74"/>
      <c r="D162" s="74"/>
    </row>
    <row r="163" spans="1:4" ht="15.75">
      <c r="A163" s="74"/>
      <c r="B163" s="74"/>
      <c r="C163" s="74"/>
      <c r="D163" s="74"/>
    </row>
    <row r="164" spans="1:4" ht="15.75">
      <c r="A164" s="74"/>
      <c r="B164" s="74"/>
      <c r="C164" s="74"/>
      <c r="D164" s="74"/>
    </row>
    <row r="165" spans="1:4" ht="15.75">
      <c r="A165" s="266" t="s">
        <v>281</v>
      </c>
      <c r="B165" s="283">
        <f>B50</f>
        <v>875131</v>
      </c>
      <c r="C165" s="283">
        <f>C50</f>
        <v>1046793</v>
      </c>
      <c r="D165" s="283">
        <f>D50</f>
        <v>1406863</v>
      </c>
    </row>
    <row r="166" spans="1:4" ht="15.75">
      <c r="A166" s="60"/>
      <c r="B166" s="100"/>
      <c r="C166" s="100"/>
      <c r="D166" s="100"/>
    </row>
    <row r="167" spans="1:6" ht="15.75">
      <c r="A167" s="266" t="s">
        <v>282</v>
      </c>
      <c r="B167" s="283">
        <f>B113</f>
        <v>1329514</v>
      </c>
      <c r="C167" s="283">
        <f>C113</f>
        <v>1451030</v>
      </c>
      <c r="D167" s="283">
        <f>D113</f>
        <v>1541165</v>
      </c>
      <c r="F167" s="296"/>
    </row>
    <row r="168" spans="1:4" ht="15.75">
      <c r="A168" s="60"/>
      <c r="B168" s="100"/>
      <c r="C168" s="100"/>
      <c r="D168" s="100"/>
    </row>
    <row r="169" spans="1:4" ht="15.75">
      <c r="A169" s="266" t="s">
        <v>280</v>
      </c>
      <c r="B169" s="283">
        <f>B160</f>
        <v>195308</v>
      </c>
      <c r="C169" s="283">
        <f>C160</f>
        <v>124552</v>
      </c>
      <c r="D169" s="283">
        <f>D160</f>
        <v>1250148</v>
      </c>
    </row>
    <row r="170" spans="1:4" ht="15.75">
      <c r="A170" s="60"/>
      <c r="B170" s="100"/>
      <c r="C170" s="100"/>
      <c r="D170" s="100"/>
    </row>
    <row r="171" spans="1:4" ht="16.5" thickBot="1">
      <c r="A171" s="227" t="s">
        <v>29</v>
      </c>
      <c r="B171" s="293">
        <f>SUM(B165:B170)</f>
        <v>2399953</v>
      </c>
      <c r="C171" s="293">
        <f>SUM(C165:C170)</f>
        <v>2622375</v>
      </c>
      <c r="D171" s="293">
        <f>SUM(D165:D170)</f>
        <v>4198176</v>
      </c>
    </row>
    <row r="172" spans="1:4" ht="16.5" thickTop="1">
      <c r="A172" s="294" t="s">
        <v>30</v>
      </c>
      <c r="B172" s="295"/>
      <c r="C172" s="295"/>
      <c r="D172" s="295"/>
    </row>
    <row r="174" spans="2:4" ht="15.75">
      <c r="B174" s="296"/>
      <c r="C174" s="296"/>
      <c r="D174" s="296"/>
    </row>
    <row r="175" spans="2:4" ht="15.75">
      <c r="B175" s="296"/>
      <c r="C175" s="296"/>
      <c r="D175" s="296"/>
    </row>
    <row r="176" spans="2:4" ht="15.75">
      <c r="B176" s="296"/>
      <c r="C176" s="296"/>
      <c r="D176" s="296"/>
    </row>
    <row r="177" spans="2:4" ht="15.75">
      <c r="B177" s="296"/>
      <c r="C177" s="296"/>
      <c r="D177" s="296"/>
    </row>
    <row r="178" spans="2:4" ht="15.75">
      <c r="B178" s="296"/>
      <c r="C178" s="296"/>
      <c r="D178" s="296"/>
    </row>
    <row r="179" spans="2:4" ht="15.75">
      <c r="B179" s="296"/>
      <c r="C179" s="296"/>
      <c r="D179" s="296"/>
    </row>
    <row r="180" spans="1:4" ht="15.75">
      <c r="A180" s="803" t="s">
        <v>273</v>
      </c>
      <c r="B180" s="803"/>
      <c r="C180" s="803"/>
      <c r="D180" s="803"/>
    </row>
    <row r="181" spans="2:4" ht="15.75">
      <c r="B181" s="296"/>
      <c r="C181" s="296"/>
      <c r="D181" s="296"/>
    </row>
    <row r="182" spans="2:4" ht="15.75">
      <c r="B182" s="296"/>
      <c r="C182" s="296"/>
      <c r="D182" s="296"/>
    </row>
    <row r="183" spans="2:4" ht="15.75">
      <c r="B183" s="296"/>
      <c r="C183" s="296"/>
      <c r="D183" s="296"/>
    </row>
    <row r="184" spans="2:4" ht="15.75">
      <c r="B184" s="296"/>
      <c r="C184" s="296"/>
      <c r="D184" s="296"/>
    </row>
    <row r="185" spans="2:4" ht="15.75">
      <c r="B185" s="296"/>
      <c r="C185" s="296"/>
      <c r="D185" s="296"/>
    </row>
    <row r="186" spans="2:4" ht="15.75">
      <c r="B186" s="296"/>
      <c r="C186" s="296"/>
      <c r="D186" s="296"/>
    </row>
    <row r="187" spans="2:4" ht="15.75">
      <c r="B187" s="296"/>
      <c r="C187" s="296"/>
      <c r="D187" s="296"/>
    </row>
    <row r="188" spans="2:4" ht="15.75">
      <c r="B188" s="296"/>
      <c r="C188" s="296"/>
      <c r="D188" s="296"/>
    </row>
    <row r="189" spans="2:4" ht="15.75">
      <c r="B189" s="296"/>
      <c r="C189" s="296"/>
      <c r="D189" s="296"/>
    </row>
    <row r="190" spans="2:4" ht="15.75">
      <c r="B190" s="296"/>
      <c r="C190" s="296"/>
      <c r="D190" s="296"/>
    </row>
    <row r="191" spans="2:4" ht="15.75">
      <c r="B191" s="296"/>
      <c r="C191" s="296"/>
      <c r="D191" s="296"/>
    </row>
    <row r="192" spans="2:4" ht="15.75">
      <c r="B192" s="296"/>
      <c r="C192" s="296"/>
      <c r="D192" s="296"/>
    </row>
    <row r="193" spans="2:4" ht="15.75">
      <c r="B193" s="296"/>
      <c r="C193" s="296"/>
      <c r="D193" s="296"/>
    </row>
    <row r="194" spans="2:4" ht="15.75">
      <c r="B194" s="296"/>
      <c r="C194" s="296"/>
      <c r="D194" s="296"/>
    </row>
    <row r="195" spans="2:4" ht="15.75">
      <c r="B195" s="296"/>
      <c r="C195" s="296"/>
      <c r="D195" s="296"/>
    </row>
    <row r="196" spans="2:4" ht="15.75">
      <c r="B196" s="296"/>
      <c r="C196" s="296"/>
      <c r="D196" s="296"/>
    </row>
    <row r="197" spans="2:4" ht="15.75">
      <c r="B197" s="296"/>
      <c r="C197" s="296"/>
      <c r="D197" s="296"/>
    </row>
    <row r="198" spans="2:4" ht="15.75">
      <c r="B198" s="296"/>
      <c r="C198" s="296"/>
      <c r="D198" s="296"/>
    </row>
    <row r="199" spans="2:4" ht="15.75">
      <c r="B199" s="296"/>
      <c r="C199" s="296"/>
      <c r="D199" s="296"/>
    </row>
    <row r="200" spans="2:4" ht="15.75">
      <c r="B200" s="296"/>
      <c r="C200" s="296"/>
      <c r="D200" s="296"/>
    </row>
    <row r="201" spans="2:4" ht="15.75">
      <c r="B201" s="296"/>
      <c r="C201" s="296"/>
      <c r="D201" s="296"/>
    </row>
    <row r="202" spans="2:4" ht="15.75">
      <c r="B202" s="296"/>
      <c r="C202" s="296"/>
      <c r="D202" s="296"/>
    </row>
    <row r="203" spans="2:4" ht="15.75">
      <c r="B203" s="296"/>
      <c r="C203" s="296"/>
      <c r="D203" s="296"/>
    </row>
    <row r="204" spans="2:4" ht="15.75">
      <c r="B204" s="296"/>
      <c r="C204" s="296"/>
      <c r="D204" s="296"/>
    </row>
    <row r="205" spans="2:4" ht="15.75">
      <c r="B205" s="296"/>
      <c r="C205" s="296"/>
      <c r="D205" s="296"/>
    </row>
    <row r="206" spans="2:4" ht="15.75">
      <c r="B206" s="296"/>
      <c r="C206" s="296"/>
      <c r="D206" s="296"/>
    </row>
    <row r="207" spans="2:4" ht="15.75">
      <c r="B207" s="296"/>
      <c r="C207" s="296"/>
      <c r="D207" s="296"/>
    </row>
    <row r="208" spans="2:4" ht="15.75">
      <c r="B208" s="296"/>
      <c r="C208" s="296"/>
      <c r="D208" s="296"/>
    </row>
    <row r="209" spans="2:4" ht="15.75">
      <c r="B209" s="296"/>
      <c r="C209" s="296"/>
      <c r="D209" s="296"/>
    </row>
    <row r="210" spans="2:4" ht="15.75">
      <c r="B210" s="296"/>
      <c r="C210" s="296"/>
      <c r="D210" s="296"/>
    </row>
    <row r="211" spans="2:4" ht="15.75">
      <c r="B211" s="296"/>
      <c r="C211" s="296"/>
      <c r="D211" s="296"/>
    </row>
    <row r="212" spans="2:4" ht="15.75">
      <c r="B212" s="296"/>
      <c r="C212" s="296"/>
      <c r="D212" s="296"/>
    </row>
    <row r="213" spans="2:4" ht="15.75">
      <c r="B213" s="296"/>
      <c r="C213" s="296"/>
      <c r="D213" s="296"/>
    </row>
    <row r="214" spans="2:4" ht="15.75">
      <c r="B214" s="296"/>
      <c r="C214" s="296"/>
      <c r="D214" s="296"/>
    </row>
    <row r="215" spans="2:4" ht="15.75">
      <c r="B215" s="296"/>
      <c r="C215" s="296"/>
      <c r="D215" s="296"/>
    </row>
    <row r="216" spans="2:4" ht="15.75">
      <c r="B216" s="296"/>
      <c r="C216" s="296"/>
      <c r="D216" s="296"/>
    </row>
    <row r="217" spans="2:4" ht="15.75">
      <c r="B217" s="296"/>
      <c r="C217" s="296"/>
      <c r="D217" s="296"/>
    </row>
    <row r="218" spans="2:4" ht="15.75">
      <c r="B218" s="296"/>
      <c r="C218" s="296"/>
      <c r="D218" s="296"/>
    </row>
    <row r="219" spans="2:4" ht="15.75">
      <c r="B219" s="296"/>
      <c r="C219" s="296"/>
      <c r="D219" s="296"/>
    </row>
    <row r="220" spans="2:4" ht="15.75">
      <c r="B220" s="296"/>
      <c r="C220" s="296"/>
      <c r="D220" s="296"/>
    </row>
    <row r="221" spans="2:4" ht="15.75">
      <c r="B221" s="296"/>
      <c r="C221" s="296"/>
      <c r="D221" s="296"/>
    </row>
    <row r="222" spans="2:4" ht="15.75">
      <c r="B222" s="296"/>
      <c r="C222" s="296"/>
      <c r="D222" s="296"/>
    </row>
    <row r="223" spans="2:4" ht="15.75">
      <c r="B223" s="296"/>
      <c r="C223" s="296"/>
      <c r="D223" s="296"/>
    </row>
    <row r="224" spans="2:4" ht="15.75">
      <c r="B224" s="296"/>
      <c r="C224" s="296"/>
      <c r="D224" s="296"/>
    </row>
    <row r="225" spans="2:4" ht="15.75">
      <c r="B225" s="296"/>
      <c r="C225" s="296"/>
      <c r="D225" s="296"/>
    </row>
    <row r="226" spans="2:4" ht="15.75">
      <c r="B226" s="296"/>
      <c r="C226" s="296"/>
      <c r="D226" s="296"/>
    </row>
    <row r="227" spans="2:4" ht="15.75">
      <c r="B227" s="296"/>
      <c r="C227" s="296"/>
      <c r="D227" s="296"/>
    </row>
    <row r="228" spans="2:4" ht="15.75">
      <c r="B228" s="296"/>
      <c r="C228" s="296"/>
      <c r="D228" s="296"/>
    </row>
    <row r="229" spans="2:4" ht="15.75">
      <c r="B229" s="296"/>
      <c r="C229" s="296"/>
      <c r="D229" s="296"/>
    </row>
    <row r="230" spans="2:4" ht="15.75">
      <c r="B230" s="296"/>
      <c r="C230" s="296"/>
      <c r="D230" s="296"/>
    </row>
    <row r="231" spans="2:4" ht="15.75">
      <c r="B231" s="296"/>
      <c r="C231" s="296"/>
      <c r="D231" s="296"/>
    </row>
    <row r="232" spans="2:4" ht="15.75">
      <c r="B232" s="296"/>
      <c r="C232" s="296"/>
      <c r="D232" s="296"/>
    </row>
    <row r="233" spans="2:4" ht="15.75">
      <c r="B233" s="296"/>
      <c r="C233" s="296"/>
      <c r="D233" s="296"/>
    </row>
    <row r="234" spans="2:4" ht="15.75">
      <c r="B234" s="296"/>
      <c r="C234" s="296"/>
      <c r="D234" s="296"/>
    </row>
    <row r="235" spans="2:4" ht="15.75">
      <c r="B235" s="296"/>
      <c r="C235" s="296"/>
      <c r="D235" s="296"/>
    </row>
    <row r="236" spans="2:4" ht="15.75">
      <c r="B236" s="296"/>
      <c r="C236" s="296"/>
      <c r="D236" s="296"/>
    </row>
    <row r="237" spans="2:4" ht="15.75">
      <c r="B237" s="296"/>
      <c r="C237" s="296"/>
      <c r="D237" s="296"/>
    </row>
    <row r="238" spans="2:4" ht="15.75">
      <c r="B238" s="296"/>
      <c r="C238" s="296"/>
      <c r="D238" s="296"/>
    </row>
    <row r="239" spans="2:4" ht="15.75">
      <c r="B239" s="296"/>
      <c r="C239" s="296"/>
      <c r="D239" s="296"/>
    </row>
    <row r="240" spans="2:4" ht="15.75">
      <c r="B240" s="296"/>
      <c r="C240" s="296"/>
      <c r="D240" s="296"/>
    </row>
    <row r="241" spans="2:4" ht="15.75">
      <c r="B241" s="296"/>
      <c r="C241" s="296"/>
      <c r="D241" s="296"/>
    </row>
    <row r="242" spans="2:4" ht="15.75">
      <c r="B242" s="296"/>
      <c r="C242" s="296"/>
      <c r="D242" s="296"/>
    </row>
    <row r="243" spans="2:4" ht="15.75">
      <c r="B243" s="296"/>
      <c r="C243" s="296"/>
      <c r="D243" s="296"/>
    </row>
    <row r="244" spans="2:4" ht="15.75">
      <c r="B244" s="296"/>
      <c r="C244" s="296"/>
      <c r="D244" s="296"/>
    </row>
    <row r="245" spans="2:4" ht="15.75">
      <c r="B245" s="296"/>
      <c r="C245" s="296"/>
      <c r="D245" s="296"/>
    </row>
    <row r="246" spans="2:4" ht="15.75">
      <c r="B246" s="296"/>
      <c r="C246" s="296"/>
      <c r="D246" s="296"/>
    </row>
    <row r="247" spans="2:4" ht="15.75">
      <c r="B247" s="296"/>
      <c r="C247" s="296"/>
      <c r="D247" s="296"/>
    </row>
    <row r="248" spans="2:4" ht="15.75">
      <c r="B248" s="296"/>
      <c r="C248" s="296"/>
      <c r="D248" s="296"/>
    </row>
    <row r="249" spans="2:4" ht="15.75">
      <c r="B249" s="296"/>
      <c r="C249" s="296"/>
      <c r="D249" s="296"/>
    </row>
    <row r="250" spans="2:4" ht="15.75">
      <c r="B250" s="296"/>
      <c r="C250" s="296"/>
      <c r="D250" s="296"/>
    </row>
    <row r="251" spans="2:4" ht="15.75">
      <c r="B251" s="296"/>
      <c r="C251" s="296"/>
      <c r="D251" s="296"/>
    </row>
    <row r="252" spans="2:4" ht="15.75">
      <c r="B252" s="296"/>
      <c r="C252" s="296"/>
      <c r="D252" s="296"/>
    </row>
    <row r="253" spans="2:4" ht="15.75">
      <c r="B253" s="296"/>
      <c r="C253" s="296"/>
      <c r="D253" s="296"/>
    </row>
    <row r="254" spans="2:4" ht="15.75">
      <c r="B254" s="296"/>
      <c r="C254" s="296"/>
      <c r="D254" s="296"/>
    </row>
    <row r="255" spans="2:4" ht="15.75">
      <c r="B255" s="296"/>
      <c r="C255" s="296"/>
      <c r="D255" s="296"/>
    </row>
    <row r="256" spans="2:4" ht="15.75">
      <c r="B256" s="296"/>
      <c r="C256" s="296"/>
      <c r="D256" s="296"/>
    </row>
    <row r="257" spans="2:4" ht="15.75">
      <c r="B257" s="296"/>
      <c r="C257" s="296"/>
      <c r="D257" s="296"/>
    </row>
    <row r="258" spans="2:4" ht="15.75">
      <c r="B258" s="296"/>
      <c r="C258" s="296"/>
      <c r="D258" s="296"/>
    </row>
    <row r="259" spans="2:4" ht="15.75">
      <c r="B259" s="296"/>
      <c r="C259" s="296"/>
      <c r="D259" s="296"/>
    </row>
    <row r="260" spans="2:4" ht="15.75">
      <c r="B260" s="296"/>
      <c r="C260" s="296"/>
      <c r="D260" s="296"/>
    </row>
    <row r="261" spans="2:4" ht="15.75">
      <c r="B261" s="296"/>
      <c r="C261" s="296"/>
      <c r="D261" s="296"/>
    </row>
    <row r="262" spans="2:4" ht="15.75">
      <c r="B262" s="296"/>
      <c r="C262" s="296"/>
      <c r="D262" s="296"/>
    </row>
    <row r="263" spans="2:4" ht="15.75">
      <c r="B263" s="296"/>
      <c r="C263" s="296"/>
      <c r="D263" s="296"/>
    </row>
    <row r="264" spans="2:4" ht="15.75">
      <c r="B264" s="296"/>
      <c r="C264" s="296"/>
      <c r="D264" s="296"/>
    </row>
    <row r="265" spans="2:4" ht="15.75">
      <c r="B265" s="296"/>
      <c r="C265" s="296"/>
      <c r="D265" s="296"/>
    </row>
    <row r="266" spans="2:4" ht="15.75">
      <c r="B266" s="296"/>
      <c r="C266" s="296"/>
      <c r="D266" s="296"/>
    </row>
    <row r="267" spans="2:4" ht="15.75">
      <c r="B267" s="296"/>
      <c r="C267" s="296"/>
      <c r="D267" s="296"/>
    </row>
    <row r="268" spans="2:4" ht="15.75">
      <c r="B268" s="296"/>
      <c r="C268" s="296"/>
      <c r="D268" s="296"/>
    </row>
    <row r="269" spans="2:4" ht="15.75">
      <c r="B269" s="296"/>
      <c r="C269" s="296"/>
      <c r="D269" s="296"/>
    </row>
    <row r="270" spans="2:4" ht="15.75">
      <c r="B270" s="296"/>
      <c r="C270" s="296"/>
      <c r="D270" s="296"/>
    </row>
    <row r="271" spans="2:4" ht="15.75">
      <c r="B271" s="296"/>
      <c r="C271" s="296"/>
      <c r="D271" s="296"/>
    </row>
    <row r="272" spans="2:4" ht="15.75">
      <c r="B272" s="296"/>
      <c r="C272" s="296"/>
      <c r="D272" s="296"/>
    </row>
    <row r="273" spans="2:4" ht="15.75">
      <c r="B273" s="296"/>
      <c r="C273" s="296"/>
      <c r="D273" s="296"/>
    </row>
    <row r="274" spans="2:4" ht="15.75">
      <c r="B274" s="296"/>
      <c r="C274" s="296"/>
      <c r="D274" s="296"/>
    </row>
    <row r="275" spans="2:4" ht="15.75">
      <c r="B275" s="296"/>
      <c r="C275" s="296"/>
      <c r="D275" s="296"/>
    </row>
    <row r="276" spans="2:4" ht="15.75">
      <c r="B276" s="296"/>
      <c r="C276" s="296"/>
      <c r="D276" s="296"/>
    </row>
  </sheetData>
  <sheetProtection/>
  <mergeCells count="3">
    <mergeCell ref="A180:D180"/>
    <mergeCell ref="A60:D60"/>
    <mergeCell ref="A120:D120"/>
  </mergeCells>
  <printOptions/>
  <pageMargins left="0.68" right="0.5" top="0.74" bottom="0.34" header="0.5" footer="0"/>
  <pageSetup blackAndWhite="1" horizontalDpi="120" verticalDpi="120" orientation="portrait" scale="85" r:id="rId1"/>
  <headerFooter alignWithMargins="0">
    <oddHeader>&amp;RState of Kansas
County
</oddHeader>
  </headerFooter>
  <rowBreaks count="2" manualBreakCount="2">
    <brk id="60" max="255" man="1"/>
    <brk id="120" max="3" man="1"/>
  </rowBreaks>
</worksheet>
</file>

<file path=xl/worksheets/sheet15.xml><?xml version="1.0" encoding="utf-8"?>
<worksheet xmlns="http://schemas.openxmlformats.org/spreadsheetml/2006/main" xmlns:r="http://schemas.openxmlformats.org/officeDocument/2006/relationships">
  <dimension ref="B1:K69"/>
  <sheetViews>
    <sheetView zoomScalePageLayoutView="0" workbookViewId="0" topLeftCell="A20">
      <selection activeCell="E34" sqref="E34"/>
    </sheetView>
  </sheetViews>
  <sheetFormatPr defaultColWidth="8.796875" defaultRowHeight="15"/>
  <cols>
    <col min="1" max="1" width="2.3984375" style="48" customWidth="1"/>
    <col min="2" max="2" width="31.09765625" style="48" customWidth="1"/>
    <col min="3" max="4" width="15.796875" style="48" customWidth="1"/>
    <col min="5" max="5" width="16.19921875" style="48" customWidth="1"/>
    <col min="6" max="6" width="7.3984375" style="48" customWidth="1"/>
    <col min="7" max="7" width="10.19921875" style="48" customWidth="1"/>
    <col min="8" max="8" width="8.8984375" style="48" customWidth="1"/>
    <col min="9" max="9" width="5" style="48" customWidth="1"/>
    <col min="10" max="10" width="10" style="48" customWidth="1"/>
    <col min="11" max="16384" width="8.8984375" style="48" customWidth="1"/>
  </cols>
  <sheetData>
    <row r="1" spans="2:5" ht="15.75">
      <c r="B1" s="198" t="str">
        <f>inputPrYr!C2</f>
        <v>Sheridan County</v>
      </c>
      <c r="C1" s="60"/>
      <c r="D1" s="60"/>
      <c r="E1" s="251">
        <f>inputPrYr!C4</f>
        <v>2015</v>
      </c>
    </row>
    <row r="2" spans="2:5" ht="15.75">
      <c r="B2" s="60"/>
      <c r="C2" s="60"/>
      <c r="D2" s="60"/>
      <c r="E2" s="205"/>
    </row>
    <row r="3" spans="2:5" ht="15.75">
      <c r="B3" s="125" t="s">
        <v>227</v>
      </c>
      <c r="C3" s="60"/>
      <c r="D3" s="60"/>
      <c r="E3" s="265"/>
    </row>
    <row r="4" spans="2:5" ht="15.75">
      <c r="B4" s="266" t="s">
        <v>152</v>
      </c>
      <c r="C4" s="629" t="s">
        <v>791</v>
      </c>
      <c r="D4" s="630" t="s">
        <v>792</v>
      </c>
      <c r="E4" s="185" t="s">
        <v>793</v>
      </c>
    </row>
    <row r="5" spans="2:5" ht="15.75">
      <c r="B5" s="417" t="str">
        <f>inputPrYr!B18</f>
        <v>Road &amp; Bridge</v>
      </c>
      <c r="C5" s="402" t="str">
        <f>CONCATENATE("Actual for ",E1-2,"")</f>
        <v>Actual for 2013</v>
      </c>
      <c r="D5" s="402" t="str">
        <f>CONCATENATE("Estimate for ",E1-1,"")</f>
        <v>Estimate for 2014</v>
      </c>
      <c r="E5" s="267" t="str">
        <f>CONCATENATE("Year for ",E1,"")</f>
        <v>Year for 2015</v>
      </c>
    </row>
    <row r="6" spans="2:5" ht="15.75">
      <c r="B6" s="268" t="s">
        <v>259</v>
      </c>
      <c r="C6" s="399">
        <v>951890</v>
      </c>
      <c r="D6" s="403">
        <f>C43</f>
        <v>1186539</v>
      </c>
      <c r="E6" s="230">
        <f>D43</f>
        <v>1307657</v>
      </c>
    </row>
    <row r="7" spans="2:5" ht="15.75">
      <c r="B7" s="255" t="s">
        <v>261</v>
      </c>
      <c r="C7" s="270"/>
      <c r="D7" s="270"/>
      <c r="E7" s="100"/>
    </row>
    <row r="8" spans="2:5" ht="15.75">
      <c r="B8" s="268" t="s">
        <v>153</v>
      </c>
      <c r="C8" s="399">
        <v>1399961</v>
      </c>
      <c r="D8" s="403">
        <f>IF(inputPrYr!H18&gt;0,inputPrYr!H18,inputPrYr!E18)</f>
        <v>1427913</v>
      </c>
      <c r="E8" s="191" t="s">
        <v>139</v>
      </c>
    </row>
    <row r="9" spans="2:5" ht="15.75">
      <c r="B9" s="268" t="s">
        <v>154</v>
      </c>
      <c r="C9" s="399">
        <v>2787</v>
      </c>
      <c r="D9" s="399">
        <v>9394</v>
      </c>
      <c r="E9" s="271">
        <v>9000</v>
      </c>
    </row>
    <row r="10" spans="2:5" ht="15.75">
      <c r="B10" s="268" t="s">
        <v>155</v>
      </c>
      <c r="C10" s="399">
        <v>144968</v>
      </c>
      <c r="D10" s="399">
        <v>139682</v>
      </c>
      <c r="E10" s="100">
        <f>mvalloc!E8</f>
        <v>134012</v>
      </c>
    </row>
    <row r="11" spans="2:5" ht="15.75">
      <c r="B11" s="268" t="s">
        <v>156</v>
      </c>
      <c r="C11" s="399">
        <v>2838</v>
      </c>
      <c r="D11" s="399">
        <v>2584</v>
      </c>
      <c r="E11" s="100">
        <f>mvalloc!F8</f>
        <v>2661</v>
      </c>
    </row>
    <row r="12" spans="2:5" ht="15.75">
      <c r="B12" s="270" t="s">
        <v>251</v>
      </c>
      <c r="C12" s="399">
        <v>16043</v>
      </c>
      <c r="D12" s="399">
        <v>25000</v>
      </c>
      <c r="E12" s="100">
        <f>mvalloc!G8</f>
        <v>23753</v>
      </c>
    </row>
    <row r="13" spans="2:5" ht="15.75">
      <c r="B13" s="270" t="s">
        <v>1076</v>
      </c>
      <c r="C13" s="399"/>
      <c r="D13" s="399"/>
      <c r="E13" s="230">
        <v>4512</v>
      </c>
    </row>
    <row r="14" spans="2:5" ht="15.75">
      <c r="B14" s="270" t="s">
        <v>1078</v>
      </c>
      <c r="C14" s="399"/>
      <c r="D14" s="399">
        <v>13457</v>
      </c>
      <c r="E14" s="230">
        <v>13457</v>
      </c>
    </row>
    <row r="15" spans="2:5" ht="15.75">
      <c r="B15" s="305" t="s">
        <v>7</v>
      </c>
      <c r="C15" s="399">
        <v>263699</v>
      </c>
      <c r="D15" s="399">
        <v>262001</v>
      </c>
      <c r="E15" s="120">
        <v>267671</v>
      </c>
    </row>
    <row r="16" spans="2:5" ht="15.75">
      <c r="B16" s="305" t="s">
        <v>1007</v>
      </c>
      <c r="C16" s="399">
        <v>12552</v>
      </c>
      <c r="D16" s="399"/>
      <c r="E16" s="120"/>
    </row>
    <row r="17" spans="2:5" ht="15.75">
      <c r="B17" s="305" t="s">
        <v>1008</v>
      </c>
      <c r="C17" s="399"/>
      <c r="D17" s="399"/>
      <c r="E17" s="120"/>
    </row>
    <row r="18" spans="2:5" ht="15.75">
      <c r="B18" s="272"/>
      <c r="C18" s="399"/>
      <c r="D18" s="399"/>
      <c r="E18" s="271"/>
    </row>
    <row r="19" spans="2:5" ht="15.75">
      <c r="B19" s="272" t="s">
        <v>964</v>
      </c>
      <c r="C19" s="399"/>
      <c r="D19" s="399"/>
      <c r="E19" s="271"/>
    </row>
    <row r="20" spans="2:5" ht="15.75">
      <c r="B20" s="272" t="s">
        <v>1012</v>
      </c>
      <c r="C20" s="399">
        <v>5016</v>
      </c>
      <c r="D20" s="399"/>
      <c r="E20" s="271"/>
    </row>
    <row r="21" spans="2:5" ht="15.75">
      <c r="B21" s="272" t="s">
        <v>1070</v>
      </c>
      <c r="C21" s="399">
        <v>6674</v>
      </c>
      <c r="D21" s="399"/>
      <c r="E21" s="271"/>
    </row>
    <row r="22" spans="2:5" ht="15.75">
      <c r="B22" s="274" t="s">
        <v>68</v>
      </c>
      <c r="C22" s="399">
        <v>12691</v>
      </c>
      <c r="D22" s="399">
        <v>3699</v>
      </c>
      <c r="E22" s="271"/>
    </row>
    <row r="23" spans="2:5" ht="15.75">
      <c r="B23" s="274" t="s">
        <v>634</v>
      </c>
      <c r="C23" s="400">
        <f>IF(C24*0.1&lt;C22,"Exceed 10% Rule","")</f>
      </c>
      <c r="D23" s="400">
        <f>IF(D24*0.1&lt;D22,"Exceed 10% Rule","")</f>
      </c>
      <c r="E23" s="302">
        <f>IF(E24*0.1+E49&lt;E22,"Exceed 10% Rule","")</f>
      </c>
    </row>
    <row r="24" spans="2:5" ht="15.75">
      <c r="B24" s="276" t="s">
        <v>159</v>
      </c>
      <c r="C24" s="401">
        <f>SUM(C8:C22)</f>
        <v>1867229</v>
      </c>
      <c r="D24" s="401">
        <f>SUM(D8:D22)</f>
        <v>1883730</v>
      </c>
      <c r="E24" s="306">
        <f>SUM(E9:E22)</f>
        <v>455066</v>
      </c>
    </row>
    <row r="25" spans="2:5" ht="15.75">
      <c r="B25" s="276" t="s">
        <v>160</v>
      </c>
      <c r="C25" s="401">
        <f>C6+C24</f>
        <v>2819119</v>
      </c>
      <c r="D25" s="401">
        <f>D6+D24</f>
        <v>3070269</v>
      </c>
      <c r="E25" s="306">
        <f>E6+E24</f>
        <v>1762723</v>
      </c>
    </row>
    <row r="26" spans="2:5" ht="15.75">
      <c r="B26" s="268" t="s">
        <v>162</v>
      </c>
      <c r="C26" s="270"/>
      <c r="D26" s="270"/>
      <c r="E26" s="100"/>
    </row>
    <row r="27" spans="2:5" ht="15.75">
      <c r="B27" s="308" t="s">
        <v>1009</v>
      </c>
      <c r="C27" s="399">
        <v>508527</v>
      </c>
      <c r="D27" s="399">
        <v>539384</v>
      </c>
      <c r="E27" s="120">
        <v>600000</v>
      </c>
    </row>
    <row r="28" spans="2:5" ht="15.75">
      <c r="B28" s="308" t="s">
        <v>1010</v>
      </c>
      <c r="C28" s="399">
        <v>530205</v>
      </c>
      <c r="D28" s="399">
        <f>469500</f>
        <v>469500</v>
      </c>
      <c r="E28" s="120">
        <f>1642132</f>
        <v>1642132</v>
      </c>
    </row>
    <row r="29" spans="2:5" ht="15.75">
      <c r="B29" s="308" t="s">
        <v>172</v>
      </c>
      <c r="C29" s="399"/>
      <c r="D29" s="399">
        <v>125000</v>
      </c>
      <c r="E29" s="120">
        <v>137500</v>
      </c>
    </row>
    <row r="30" spans="2:10" ht="15.75">
      <c r="B30" s="308" t="s">
        <v>1011</v>
      </c>
      <c r="C30" s="399"/>
      <c r="D30" s="399"/>
      <c r="E30" s="120"/>
      <c r="G30" s="801" t="str">
        <f>CONCATENATE("Desired Carryover Into ",E1+1,"")</f>
        <v>Desired Carryover Into 2016</v>
      </c>
      <c r="H30" s="802"/>
      <c r="I30" s="802"/>
      <c r="J30" s="770"/>
    </row>
    <row r="31" spans="2:10" ht="15.75">
      <c r="B31" s="308" t="s">
        <v>1013</v>
      </c>
      <c r="C31" s="399">
        <v>410000</v>
      </c>
      <c r="D31" s="399">
        <v>425000</v>
      </c>
      <c r="E31" s="120">
        <v>425000</v>
      </c>
      <c r="G31" s="581"/>
      <c r="H31" s="582"/>
      <c r="I31" s="583"/>
      <c r="J31" s="584"/>
    </row>
    <row r="32" spans="2:10" ht="15.75">
      <c r="B32" s="308" t="s">
        <v>1014</v>
      </c>
      <c r="C32" s="399">
        <v>175000</v>
      </c>
      <c r="D32" s="399">
        <v>175000</v>
      </c>
      <c r="E32" s="120">
        <v>175000</v>
      </c>
      <c r="G32" s="585" t="s">
        <v>639</v>
      </c>
      <c r="H32" s="583"/>
      <c r="I32" s="583"/>
      <c r="J32" s="586">
        <v>0</v>
      </c>
    </row>
    <row r="33" spans="2:10" ht="15.75">
      <c r="B33" s="308" t="s">
        <v>1088</v>
      </c>
      <c r="C33" s="399"/>
      <c r="D33" s="399"/>
      <c r="E33" s="120">
        <v>25000</v>
      </c>
      <c r="G33" s="581" t="s">
        <v>640</v>
      </c>
      <c r="H33" s="582"/>
      <c r="I33" s="582"/>
      <c r="J33" s="587">
        <f>IF(J32=0,"",ROUND((J32+E49-G45)/inputOth!E6*1000,3)-G50)</f>
      </c>
    </row>
    <row r="34" spans="2:10" ht="15.75">
      <c r="B34" s="308"/>
      <c r="C34" s="399"/>
      <c r="D34" s="399"/>
      <c r="E34" s="120"/>
      <c r="G34" s="588" t="str">
        <f>CONCATENATE("",E1," Tot Exp/Non-Appr Must Be:")</f>
        <v>2015 Tot Exp/Non-Appr Must Be:</v>
      </c>
      <c r="H34" s="589"/>
      <c r="I34" s="590"/>
      <c r="J34" s="591">
        <f>IF(J32&gt;0,IF(E46&lt;E25,IF(J32=G45,E46,((J32-G45)*(1-D48))+E25),E46+(J32-G45)),0)</f>
        <v>0</v>
      </c>
    </row>
    <row r="35" spans="2:10" ht="15.75">
      <c r="B35" s="308"/>
      <c r="C35" s="399"/>
      <c r="D35" s="399"/>
      <c r="E35" s="120"/>
      <c r="G35" s="592" t="s">
        <v>789</v>
      </c>
      <c r="H35" s="593"/>
      <c r="I35" s="593"/>
      <c r="J35" s="594">
        <f>IF(J32&gt;0,J34-E46,0)</f>
        <v>0</v>
      </c>
    </row>
    <row r="36" spans="2:5" ht="15.75">
      <c r="B36" s="308"/>
      <c r="C36" s="399"/>
      <c r="D36" s="399"/>
      <c r="E36" s="120"/>
    </row>
    <row r="37" spans="2:10" ht="15.75">
      <c r="B37" s="308"/>
      <c r="C37" s="399"/>
      <c r="D37" s="399"/>
      <c r="E37" s="120"/>
      <c r="G37" s="795" t="str">
        <f>CONCATENATE("Projected Carryover Into ",E1+1,"")</f>
        <v>Projected Carryover Into 2016</v>
      </c>
      <c r="H37" s="796"/>
      <c r="I37" s="796"/>
      <c r="J37" s="797"/>
    </row>
    <row r="38" spans="2:10" ht="15.75">
      <c r="B38" s="282"/>
      <c r="C38" s="399"/>
      <c r="D38" s="399"/>
      <c r="E38" s="271"/>
      <c r="G38" s="450"/>
      <c r="H38" s="449"/>
      <c r="I38" s="449"/>
      <c r="J38" s="451"/>
    </row>
    <row r="39" spans="2:10" ht="15.75">
      <c r="B39" s="274" t="s">
        <v>69</v>
      </c>
      <c r="C39" s="399">
        <v>8848</v>
      </c>
      <c r="D39" s="399">
        <v>28728</v>
      </c>
      <c r="E39" s="283">
        <f>Nhood!E7</f>
        <v>28592</v>
      </c>
      <c r="G39" s="436">
        <f>D43</f>
        <v>1307657</v>
      </c>
      <c r="H39" s="434" t="str">
        <f>CONCATENATE("",E1-1," Ending Cash Balance (est.)")</f>
        <v>2014 Ending Cash Balance (est.)</v>
      </c>
      <c r="I39" s="433"/>
      <c r="J39" s="451"/>
    </row>
    <row r="40" spans="2:10" ht="15.75">
      <c r="B40" s="274" t="s">
        <v>68</v>
      </c>
      <c r="C40" s="399"/>
      <c r="D40" s="399"/>
      <c r="E40" s="271"/>
      <c r="F40" s="284"/>
      <c r="G40" s="436">
        <f>E24</f>
        <v>455066</v>
      </c>
      <c r="H40" s="432" t="str">
        <f>CONCATENATE("",E1," Non-AV Receipts (est.)")</f>
        <v>2015 Non-AV Receipts (est.)</v>
      </c>
      <c r="I40" s="433"/>
      <c r="J40" s="451"/>
    </row>
    <row r="41" spans="2:11" ht="15.75">
      <c r="B41" s="274" t="s">
        <v>633</v>
      </c>
      <c r="C41" s="400">
        <f>IF(C42*0.1&lt;C40,"Exceed 10% Rule","")</f>
      </c>
      <c r="D41" s="400">
        <f>IF(D42*0.1&lt;D40,"Exceed 10% Rule","")</f>
      </c>
      <c r="E41" s="302">
        <f>IF(E42*0.1&lt;E40,"Exceed 10% Rule","")</f>
      </c>
      <c r="F41" s="435">
        <f>IF(E42/0.95-E42&lt;E45,"Exceeds 5%","")</f>
      </c>
      <c r="G41" s="431">
        <f>IF(E48&gt;0,E47,E49)</f>
        <v>1270501</v>
      </c>
      <c r="H41" s="432" t="str">
        <f>CONCATENATE("",E1," Ad Valorem Tax (est.)")</f>
        <v>2015 Ad Valorem Tax (est.)</v>
      </c>
      <c r="I41" s="433"/>
      <c r="J41" s="451"/>
      <c r="K41" s="595" t="str">
        <f>IF(G41=E49,"","Note: Does not include Delinquent Taxes")</f>
        <v>Note: Does not include Delinquent Taxes</v>
      </c>
    </row>
    <row r="42" spans="2:10" ht="15.75">
      <c r="B42" s="276" t="s">
        <v>163</v>
      </c>
      <c r="C42" s="401">
        <f>SUM(C27:C40)</f>
        <v>1632580</v>
      </c>
      <c r="D42" s="401">
        <f>SUM(D27:D40)</f>
        <v>1762612</v>
      </c>
      <c r="E42" s="306">
        <f>SUM(E27:E40)</f>
        <v>3033224</v>
      </c>
      <c r="G42" s="436">
        <f>SUM(G39:G41)</f>
        <v>3033224</v>
      </c>
      <c r="H42" s="432" t="str">
        <f>CONCATENATE("Total ",E1," Resources Available")</f>
        <v>Total 2015 Resources Available</v>
      </c>
      <c r="I42" s="433"/>
      <c r="J42" s="451"/>
    </row>
    <row r="43" spans="2:10" ht="15.75">
      <c r="B43" s="121" t="s">
        <v>260</v>
      </c>
      <c r="C43" s="404">
        <f>C25-C42</f>
        <v>1186539</v>
      </c>
      <c r="D43" s="404">
        <f>D25-D42</f>
        <v>1307657</v>
      </c>
      <c r="E43" s="191" t="s">
        <v>139</v>
      </c>
      <c r="G43" s="430"/>
      <c r="H43" s="432"/>
      <c r="I43" s="432"/>
      <c r="J43" s="451"/>
    </row>
    <row r="44" spans="2:10" ht="15.75">
      <c r="B44" s="266" t="str">
        <f>CONCATENATE("",E1-2,"/",E1-1,"/",E1," Budget Authority Amount:")</f>
        <v>2013/2014/2015 Budget Authority Amount:</v>
      </c>
      <c r="C44" s="301">
        <f>inputOth!$B32</f>
        <v>2439498</v>
      </c>
      <c r="D44" s="301">
        <f>inputPrYr!D18</f>
        <v>2884827</v>
      </c>
      <c r="E44" s="230">
        <f>E42</f>
        <v>3033224</v>
      </c>
      <c r="G44" s="431">
        <f>C42*0.05+C42</f>
        <v>1714209</v>
      </c>
      <c r="H44" s="432" t="str">
        <f>CONCATENATE("Less ",E1-2," Expenditures + 5%")</f>
        <v>Less 2013 Expenditures + 5%</v>
      </c>
      <c r="I44" s="433"/>
      <c r="J44" s="451"/>
    </row>
    <row r="45" spans="2:10" ht="15.75">
      <c r="B45" s="252"/>
      <c r="C45" s="791" t="s">
        <v>636</v>
      </c>
      <c r="D45" s="792"/>
      <c r="E45" s="85"/>
      <c r="G45" s="429">
        <f>G42-G44</f>
        <v>1319015</v>
      </c>
      <c r="H45" s="428" t="str">
        <f>CONCATENATE("Projected ",E1," Carryover (est.)")</f>
        <v>Projected 2015 Carryover (est.)</v>
      </c>
      <c r="I45" s="411"/>
      <c r="J45" s="410"/>
    </row>
    <row r="46" spans="2:5" ht="15.75">
      <c r="B46" s="439" t="str">
        <f>CONCATENATE(C68,"     ",D68)</f>
        <v>     </v>
      </c>
      <c r="C46" s="793" t="s">
        <v>637</v>
      </c>
      <c r="D46" s="794"/>
      <c r="E46" s="230">
        <f>E42+E45</f>
        <v>3033224</v>
      </c>
    </row>
    <row r="47" spans="2:10" ht="15.75">
      <c r="B47" s="439" t="str">
        <f>CONCATENATE(C69,"     ",D69)</f>
        <v>     </v>
      </c>
      <c r="C47" s="285"/>
      <c r="D47" s="205" t="s">
        <v>164</v>
      </c>
      <c r="E47" s="93">
        <f>IF(E46-E25&gt;0,E46-E25,0)</f>
        <v>1270501</v>
      </c>
      <c r="G47" s="788" t="s">
        <v>790</v>
      </c>
      <c r="H47" s="789"/>
      <c r="I47" s="789"/>
      <c r="J47" s="790"/>
    </row>
    <row r="48" spans="2:10" ht="15.75">
      <c r="B48" s="252"/>
      <c r="C48" s="437" t="s">
        <v>638</v>
      </c>
      <c r="D48" s="580">
        <f>inputOth!$E$23</f>
        <v>0.01</v>
      </c>
      <c r="E48" s="230">
        <f>IF(D48&gt;0,(E47*D48),0)</f>
        <v>12705.01</v>
      </c>
      <c r="G48" s="596"/>
      <c r="H48" s="597"/>
      <c r="I48" s="598"/>
      <c r="J48" s="599"/>
    </row>
    <row r="49" spans="2:10" ht="15.75">
      <c r="B49" s="60"/>
      <c r="C49" s="799" t="str">
        <f>CONCATENATE("Amount of  ",$E$1-1," Ad Valorem Tax")</f>
        <v>Amount of  2014 Ad Valorem Tax</v>
      </c>
      <c r="D49" s="800"/>
      <c r="E49" s="303">
        <f>E47+E48</f>
        <v>1283206.01</v>
      </c>
      <c r="G49" s="600">
        <f>summ!H17</f>
        <v>24.154</v>
      </c>
      <c r="H49" s="597" t="str">
        <f>CONCATENATE("",E1," Fund Mill Rate")</f>
        <v>2015 Fund Mill Rate</v>
      </c>
      <c r="I49" s="598"/>
      <c r="J49" s="599"/>
    </row>
    <row r="50" spans="2:10" ht="15.75">
      <c r="B50" s="60"/>
      <c r="C50" s="60"/>
      <c r="D50" s="60"/>
      <c r="E50" s="60"/>
      <c r="G50" s="601">
        <f>summ!E17</f>
        <v>30.783</v>
      </c>
      <c r="H50" s="597" t="str">
        <f>CONCATENATE("",E1-1," Fund Mill Rate")</f>
        <v>2014 Fund Mill Rate</v>
      </c>
      <c r="I50" s="598"/>
      <c r="J50" s="599"/>
    </row>
    <row r="51" spans="2:10" ht="15.75">
      <c r="B51" s="60"/>
      <c r="C51" s="60"/>
      <c r="D51" s="60"/>
      <c r="E51" s="60"/>
      <c r="G51" s="602">
        <f>summ!H39</f>
        <v>77.58699999999999</v>
      </c>
      <c r="H51" s="597" t="str">
        <f>CONCATENATE("Total ",E1," Mill Rate")</f>
        <v>Total 2015 Mill Rate</v>
      </c>
      <c r="I51" s="598"/>
      <c r="J51" s="599"/>
    </row>
    <row r="52" spans="2:10" ht="15.75">
      <c r="B52" s="60"/>
      <c r="C52" s="60"/>
      <c r="D52" s="60"/>
      <c r="E52" s="60"/>
      <c r="G52" s="601">
        <f>summ!E39</f>
        <v>97.844</v>
      </c>
      <c r="H52" s="603" t="str">
        <f>CONCATENATE("Total ",E1-1," Mill Rate")</f>
        <v>Total 2014 Mill Rate</v>
      </c>
      <c r="I52" s="604"/>
      <c r="J52" s="605"/>
    </row>
    <row r="53" spans="2:5" ht="15.75">
      <c r="B53" s="60"/>
      <c r="C53" s="60"/>
      <c r="D53" s="60"/>
      <c r="E53" s="60"/>
    </row>
    <row r="54" spans="2:9" ht="15.75">
      <c r="B54" s="60"/>
      <c r="C54" s="60"/>
      <c r="D54" s="60"/>
      <c r="E54" s="60"/>
      <c r="G54" s="685" t="s">
        <v>864</v>
      </c>
      <c r="H54" s="651"/>
      <c r="I54" s="650" t="str">
        <f>cert!E47</f>
        <v>No</v>
      </c>
    </row>
    <row r="55" spans="2:5" ht="15.75">
      <c r="B55" s="60"/>
      <c r="C55" s="60"/>
      <c r="D55" s="60"/>
      <c r="E55" s="60"/>
    </row>
    <row r="56" spans="2:5" ht="15.75" hidden="1">
      <c r="B56" s="60"/>
      <c r="C56" s="60"/>
      <c r="D56" s="60"/>
      <c r="E56" s="60"/>
    </row>
    <row r="57" spans="2:5" ht="15.75" hidden="1">
      <c r="B57" s="60"/>
      <c r="C57" s="60"/>
      <c r="D57" s="60"/>
      <c r="E57" s="60"/>
    </row>
    <row r="58" spans="2:5" ht="15.75">
      <c r="B58" s="60"/>
      <c r="C58" s="60"/>
      <c r="D58" s="60"/>
      <c r="E58" s="60"/>
    </row>
    <row r="59" spans="2:5" ht="15.75">
      <c r="B59" s="70"/>
      <c r="C59" s="70" t="s">
        <v>1015</v>
      </c>
      <c r="D59" s="307"/>
      <c r="E59" s="307"/>
    </row>
    <row r="68" spans="3:4" ht="15.75">
      <c r="C68" s="48">
        <f>IF(C42&gt;C44,"See Tab A","")</f>
      </c>
      <c r="D68" s="48">
        <f>IF(D42&gt;D44,"See Tab C","")</f>
      </c>
    </row>
    <row r="69" spans="3:4" ht="15.75">
      <c r="C69" s="48">
        <f>IF(C43&lt;0,"See Tab B","")</f>
      </c>
      <c r="D69" s="48">
        <f>IF(D43&lt;0,"See Tab D","")</f>
      </c>
    </row>
  </sheetData>
  <sheetProtection/>
  <mergeCells count="6">
    <mergeCell ref="C45:D45"/>
    <mergeCell ref="C46:D46"/>
    <mergeCell ref="C49:D49"/>
    <mergeCell ref="G30:J30"/>
    <mergeCell ref="G37:J37"/>
    <mergeCell ref="G47:J47"/>
  </mergeCells>
  <conditionalFormatting sqref="E40">
    <cfRule type="cellIs" priority="2" dxfId="181" operator="greaterThan" stopIfTrue="1">
      <formula>$E$42*0.1</formula>
    </cfRule>
  </conditionalFormatting>
  <conditionalFormatting sqref="E45">
    <cfRule type="cellIs" priority="3" dxfId="181" operator="greaterThan" stopIfTrue="1">
      <formula>$E$42/0.95-$E$42</formula>
    </cfRule>
  </conditionalFormatting>
  <conditionalFormatting sqref="C22">
    <cfRule type="cellIs" priority="4" dxfId="1" operator="greaterThan" stopIfTrue="1">
      <formula>$C$24*0.1</formula>
    </cfRule>
  </conditionalFormatting>
  <conditionalFormatting sqref="D22">
    <cfRule type="cellIs" priority="5" dxfId="1" operator="greaterThan" stopIfTrue="1">
      <formula>$D$24*0.1</formula>
    </cfRule>
  </conditionalFormatting>
  <conditionalFormatting sqref="E22">
    <cfRule type="cellIs" priority="6" dxfId="181" operator="greaterThan" stopIfTrue="1">
      <formula>$E$24*0.1+E49</formula>
    </cfRule>
  </conditionalFormatting>
  <conditionalFormatting sqref="C40">
    <cfRule type="cellIs" priority="7" dxfId="1" operator="greaterThan" stopIfTrue="1">
      <formula>$C$42*0.1</formula>
    </cfRule>
  </conditionalFormatting>
  <conditionalFormatting sqref="D40">
    <cfRule type="cellIs" priority="8" dxfId="1" operator="greaterThan" stopIfTrue="1">
      <formula>$D$42*0.1</formula>
    </cfRule>
  </conditionalFormatting>
  <conditionalFormatting sqref="C42">
    <cfRule type="cellIs" priority="9" dxfId="1" operator="greaterThan" stopIfTrue="1">
      <formula>$C$44</formula>
    </cfRule>
  </conditionalFormatting>
  <conditionalFormatting sqref="C43">
    <cfRule type="cellIs" priority="10" dxfId="1" operator="lessThan" stopIfTrue="1">
      <formula>0</formula>
    </cfRule>
  </conditionalFormatting>
  <conditionalFormatting sqref="D42">
    <cfRule type="cellIs" priority="11" dxfId="1" operator="greaterThan" stopIfTrue="1">
      <formula>$D$44</formula>
    </cfRule>
  </conditionalFormatting>
  <conditionalFormatting sqref="D43">
    <cfRule type="cellIs" priority="1" dxfId="0" operator="lessThan" stopIfTrue="1">
      <formula>0</formula>
    </cfRule>
  </conditionalFormatting>
  <printOptions/>
  <pageMargins left="0.75" right="0.75" top="1" bottom="0.5" header="0.5" footer="0.5"/>
  <pageSetup blackAndWhite="1" fitToHeight="2" horizontalDpi="600" verticalDpi="600" orientation="portrait" scale="85" r:id="rId1"/>
  <headerFooter alignWithMargins="0">
    <oddHeader>&amp;RState of Kansas
County</oddHeader>
  </headerFooter>
</worksheet>
</file>

<file path=xl/worksheets/sheet16.xml><?xml version="1.0" encoding="utf-8"?>
<worksheet xmlns="http://schemas.openxmlformats.org/spreadsheetml/2006/main" xmlns:r="http://schemas.openxmlformats.org/officeDocument/2006/relationships">
  <dimension ref="B1:K80"/>
  <sheetViews>
    <sheetView view="pageBreakPreview" zoomScale="60" zoomScalePageLayoutView="0" workbookViewId="0" topLeftCell="A21">
      <selection activeCell="E117" sqref="E117"/>
    </sheetView>
  </sheetViews>
  <sheetFormatPr defaultColWidth="8.796875" defaultRowHeight="15"/>
  <cols>
    <col min="1" max="1" width="2.3984375" style="48" customWidth="1"/>
    <col min="2" max="2" width="31.09765625" style="48" customWidth="1"/>
    <col min="3" max="4" width="15.796875" style="48" customWidth="1"/>
    <col min="5" max="5" width="16.09765625" style="48" customWidth="1"/>
    <col min="6" max="6" width="7.3984375" style="48" customWidth="1"/>
    <col min="7" max="7" width="10.19921875" style="48" customWidth="1"/>
    <col min="8" max="8" width="8.8984375" style="48" customWidth="1"/>
    <col min="9" max="9" width="5" style="48" customWidth="1"/>
    <col min="10" max="10" width="10" style="48" customWidth="1"/>
    <col min="11" max="16384" width="8.8984375" style="48" customWidth="1"/>
  </cols>
  <sheetData>
    <row r="1" spans="2:5" ht="15.75">
      <c r="B1" s="198" t="str">
        <f>(inputPrYr!C2)</f>
        <v>Sheridan County</v>
      </c>
      <c r="C1" s="60"/>
      <c r="D1" s="60"/>
      <c r="E1" s="251">
        <f>inputPrYr!C4</f>
        <v>2015</v>
      </c>
    </row>
    <row r="2" spans="2:5" ht="9" customHeight="1">
      <c r="B2" s="60"/>
      <c r="C2" s="60"/>
      <c r="D2" s="60"/>
      <c r="E2" s="205"/>
    </row>
    <row r="3" spans="2:5" ht="15.75">
      <c r="B3" s="125" t="s">
        <v>227</v>
      </c>
      <c r="C3" s="297"/>
      <c r="D3" s="297"/>
      <c r="E3" s="298"/>
    </row>
    <row r="4" spans="2:5" ht="15.75">
      <c r="B4" s="59" t="s">
        <v>152</v>
      </c>
      <c r="C4" s="629" t="s">
        <v>791</v>
      </c>
      <c r="D4" s="630" t="s">
        <v>792</v>
      </c>
      <c r="E4" s="185" t="s">
        <v>793</v>
      </c>
    </row>
    <row r="5" spans="2:5" ht="15.75">
      <c r="B5" s="417" t="str">
        <f>inputPrYr!B19</f>
        <v>Noxious Weed</v>
      </c>
      <c r="C5" s="402" t="str">
        <f>CONCATENATE("Actual for ",E1-2,"")</f>
        <v>Actual for 2013</v>
      </c>
      <c r="D5" s="402" t="str">
        <f>CONCATENATE("Estimate for ",E1-1,"")</f>
        <v>Estimate for 2014</v>
      </c>
      <c r="E5" s="267" t="str">
        <f>CONCATENATE("Year for ",E1,"")</f>
        <v>Year for 2015</v>
      </c>
    </row>
    <row r="6" spans="2:5" ht="15.75">
      <c r="B6" s="121" t="s">
        <v>259</v>
      </c>
      <c r="C6" s="399">
        <v>35551</v>
      </c>
      <c r="D6" s="403">
        <f>C28</f>
        <v>64732</v>
      </c>
      <c r="E6" s="230">
        <f>D28</f>
        <v>59517</v>
      </c>
    </row>
    <row r="7" spans="2:5" ht="15.75">
      <c r="B7" s="255" t="s">
        <v>261</v>
      </c>
      <c r="C7" s="270"/>
      <c r="D7" s="270"/>
      <c r="E7" s="100"/>
    </row>
    <row r="8" spans="2:5" ht="15.75">
      <c r="B8" s="121" t="s">
        <v>153</v>
      </c>
      <c r="C8" s="399">
        <v>119562</v>
      </c>
      <c r="D8" s="403">
        <f>IF(inputPrYr!H19&gt;0,inputPrYr!H19,inputPrYr!E19)</f>
        <v>126807</v>
      </c>
      <c r="E8" s="300" t="s">
        <v>139</v>
      </c>
    </row>
    <row r="9" spans="2:5" ht="15.75">
      <c r="B9" s="121" t="s">
        <v>154</v>
      </c>
      <c r="C9" s="399">
        <v>187</v>
      </c>
      <c r="D9" s="399">
        <v>742</v>
      </c>
      <c r="E9" s="85">
        <v>750</v>
      </c>
    </row>
    <row r="10" spans="2:5" ht="15.75">
      <c r="B10" s="121" t="s">
        <v>155</v>
      </c>
      <c r="C10" s="399">
        <v>10010</v>
      </c>
      <c r="D10" s="399">
        <v>11927</v>
      </c>
      <c r="E10" s="230">
        <f>mvalloc!E9</f>
        <v>11901</v>
      </c>
    </row>
    <row r="11" spans="2:5" ht="15.75">
      <c r="B11" s="121" t="s">
        <v>156</v>
      </c>
      <c r="C11" s="399">
        <v>194</v>
      </c>
      <c r="D11" s="399">
        <v>220</v>
      </c>
      <c r="E11" s="230">
        <f>mvalloc!F9</f>
        <v>236</v>
      </c>
    </row>
    <row r="12" spans="2:5" ht="15.75">
      <c r="B12" s="270" t="s">
        <v>220</v>
      </c>
      <c r="C12" s="399">
        <v>1375</v>
      </c>
      <c r="D12" s="399">
        <v>1840</v>
      </c>
      <c r="E12" s="230">
        <f>mvalloc!G9</f>
        <v>2109</v>
      </c>
    </row>
    <row r="13" spans="2:5" ht="15.75">
      <c r="B13" s="270" t="s">
        <v>1076</v>
      </c>
      <c r="C13" s="399"/>
      <c r="D13" s="399"/>
      <c r="E13" s="230">
        <v>401</v>
      </c>
    </row>
    <row r="14" spans="2:5" ht="15.75">
      <c r="B14" s="270" t="s">
        <v>1078</v>
      </c>
      <c r="C14" s="399"/>
      <c r="D14" s="399">
        <v>1106</v>
      </c>
      <c r="E14" s="230">
        <v>1106</v>
      </c>
    </row>
    <row r="15" spans="2:5" ht="15.75">
      <c r="B15" s="282" t="s">
        <v>1016</v>
      </c>
      <c r="C15" s="399">
        <v>53258</v>
      </c>
      <c r="D15" s="399">
        <v>60000</v>
      </c>
      <c r="E15" s="85">
        <v>87500</v>
      </c>
    </row>
    <row r="16" spans="2:5" ht="15.75">
      <c r="B16" s="274" t="s">
        <v>68</v>
      </c>
      <c r="C16" s="399"/>
      <c r="D16" s="399"/>
      <c r="E16" s="85"/>
    </row>
    <row r="17" spans="2:5" ht="15.75">
      <c r="B17" s="274" t="s">
        <v>634</v>
      </c>
      <c r="C17" s="400">
        <f>IF(C18*0.1&lt;C16,"Exceed 10% Rule","")</f>
      </c>
      <c r="D17" s="400">
        <f>IF(D18*0.1&lt;D16,"Exceed 10% Rule","")</f>
      </c>
      <c r="E17" s="302">
        <f>IF(E18*0.1+E34&lt;E16,"Exceed 10% Rule","")</f>
      </c>
    </row>
    <row r="18" spans="2:5" ht="15.75">
      <c r="B18" s="276" t="s">
        <v>159</v>
      </c>
      <c r="C18" s="401">
        <f>SUM(C8:C16)</f>
        <v>184586</v>
      </c>
      <c r="D18" s="401">
        <f>SUM(D8:D16)</f>
        <v>202642</v>
      </c>
      <c r="E18" s="306">
        <f>SUM(E8:E16)</f>
        <v>104003</v>
      </c>
    </row>
    <row r="19" spans="2:5" ht="15.75">
      <c r="B19" s="276" t="s">
        <v>160</v>
      </c>
      <c r="C19" s="401">
        <f>C6+C18</f>
        <v>220137</v>
      </c>
      <c r="D19" s="401">
        <f>D6+D18</f>
        <v>267374</v>
      </c>
      <c r="E19" s="306">
        <f>E6+E18</f>
        <v>163520</v>
      </c>
    </row>
    <row r="20" spans="2:5" ht="15.75">
      <c r="B20" s="121" t="s">
        <v>162</v>
      </c>
      <c r="C20" s="274"/>
      <c r="D20" s="274"/>
      <c r="E20" s="81"/>
    </row>
    <row r="21" spans="2:5" ht="15.75">
      <c r="B21" s="282" t="s">
        <v>1009</v>
      </c>
      <c r="C21" s="399">
        <v>38528</v>
      </c>
      <c r="D21" s="399">
        <v>40000</v>
      </c>
      <c r="E21" s="85">
        <v>45000</v>
      </c>
    </row>
    <row r="22" spans="2:10" ht="15.75">
      <c r="B22" s="282" t="s">
        <v>1010</v>
      </c>
      <c r="C22" s="399">
        <v>106121</v>
      </c>
      <c r="D22" s="399">
        <v>155365</v>
      </c>
      <c r="E22" s="85">
        <v>236612</v>
      </c>
      <c r="G22" s="801" t="str">
        <f>CONCATENATE("Desired Carryover Into ",E1+1,"")</f>
        <v>Desired Carryover Into 2016</v>
      </c>
      <c r="H22" s="802"/>
      <c r="I22" s="802"/>
      <c r="J22" s="770"/>
    </row>
    <row r="23" spans="2:10" ht="15.75">
      <c r="B23" s="282" t="s">
        <v>1017</v>
      </c>
      <c r="C23" s="399">
        <v>10000</v>
      </c>
      <c r="D23" s="399">
        <v>10000</v>
      </c>
      <c r="E23" s="85">
        <v>10000</v>
      </c>
      <c r="G23" s="581"/>
      <c r="H23" s="582"/>
      <c r="I23" s="583"/>
      <c r="J23" s="584"/>
    </row>
    <row r="24" spans="2:10" ht="15.75">
      <c r="B24" s="274" t="s">
        <v>69</v>
      </c>
      <c r="C24" s="399">
        <v>756</v>
      </c>
      <c r="D24" s="399">
        <v>2492</v>
      </c>
      <c r="E24" s="93">
        <f>Nhood!E8</f>
        <v>2949</v>
      </c>
      <c r="G24" s="585" t="s">
        <v>639</v>
      </c>
      <c r="H24" s="583"/>
      <c r="I24" s="583"/>
      <c r="J24" s="586">
        <v>0</v>
      </c>
    </row>
    <row r="25" spans="2:10" ht="15.75">
      <c r="B25" s="274" t="s">
        <v>68</v>
      </c>
      <c r="C25" s="399"/>
      <c r="D25" s="399"/>
      <c r="E25" s="85"/>
      <c r="G25" s="581" t="s">
        <v>640</v>
      </c>
      <c r="H25" s="582"/>
      <c r="I25" s="582"/>
      <c r="J25" s="587">
        <f>IF(J24=0,"",ROUND((J24+E34-G37)/inputOth!E6*1000,3)-G42)</f>
      </c>
    </row>
    <row r="26" spans="2:10" ht="15.75">
      <c r="B26" s="274" t="s">
        <v>633</v>
      </c>
      <c r="C26" s="400">
        <f>IF(C27*0.1&lt;C25,"Exceed 10% Rule","")</f>
      </c>
      <c r="D26" s="400">
        <f>IF(D27*0.1&lt;D25,"Exceed 10% Rule","")</f>
      </c>
      <c r="E26" s="302">
        <f>IF(E27*0.1&lt;E25,"Exceed 10% Rule","")</f>
      </c>
      <c r="G26" s="588" t="str">
        <f>CONCATENATE("",E1," Tot Exp/Non-Appr Must Be:")</f>
        <v>2015 Tot Exp/Non-Appr Must Be:</v>
      </c>
      <c r="H26" s="589"/>
      <c r="I26" s="590"/>
      <c r="J26" s="591">
        <f>IF(J24&gt;0,IF(E31&lt;E19,IF(J24=G37,E31,((J24-G37)*(1-D33))+E19),E31+(J24-G37)),0)</f>
        <v>0</v>
      </c>
    </row>
    <row r="27" spans="2:10" ht="15.75">
      <c r="B27" s="276" t="s">
        <v>163</v>
      </c>
      <c r="C27" s="401">
        <f>SUM(C21:C25)</f>
        <v>155405</v>
      </c>
      <c r="D27" s="401">
        <f>SUM(D21:D25)</f>
        <v>207857</v>
      </c>
      <c r="E27" s="306">
        <f>SUM(E21:E25)</f>
        <v>294561</v>
      </c>
      <c r="G27" s="592" t="s">
        <v>789</v>
      </c>
      <c r="H27" s="593"/>
      <c r="I27" s="593"/>
      <c r="J27" s="594">
        <f>IF(J24&gt;0,J26-E31,0)</f>
        <v>0</v>
      </c>
    </row>
    <row r="28" spans="2:10" ht="15.75">
      <c r="B28" s="121" t="s">
        <v>260</v>
      </c>
      <c r="C28" s="404">
        <f>C19-C27</f>
        <v>64732</v>
      </c>
      <c r="D28" s="404">
        <f>D19-D27</f>
        <v>59517</v>
      </c>
      <c r="E28" s="300" t="s">
        <v>139</v>
      </c>
      <c r="G28" s="1"/>
      <c r="H28" s="1"/>
      <c r="I28" s="1"/>
      <c r="J28" s="1"/>
    </row>
    <row r="29" spans="2:10" ht="15.75">
      <c r="B29" s="266" t="str">
        <f>CONCATENATE("",E1-2,"/",E1-1,"/",E1," Budget Authority Amount:")</f>
        <v>2013/2014/2015 Budget Authority Amount:</v>
      </c>
      <c r="C29" s="301">
        <f>inputOth!B33</f>
        <v>190187</v>
      </c>
      <c r="D29" s="301">
        <f>inputPrYr!D19</f>
        <v>205365</v>
      </c>
      <c r="E29" s="230">
        <f>E27</f>
        <v>294561</v>
      </c>
      <c r="G29" s="801" t="str">
        <f>CONCATENATE("Projected Carryover Into ",E1+1,"")</f>
        <v>Projected Carryover Into 2016</v>
      </c>
      <c r="H29" s="804"/>
      <c r="I29" s="804"/>
      <c r="J29" s="805"/>
    </row>
    <row r="30" spans="2:10" ht="15.75">
      <c r="B30" s="252"/>
      <c r="C30" s="791" t="s">
        <v>636</v>
      </c>
      <c r="D30" s="792"/>
      <c r="E30" s="85"/>
      <c r="G30" s="581"/>
      <c r="H30" s="583"/>
      <c r="I30" s="583"/>
      <c r="J30" s="606"/>
    </row>
    <row r="31" spans="2:10" ht="15.75">
      <c r="B31" s="439" t="str">
        <f>CONCATENATE(C74,"     ",D74)</f>
        <v>     See Tab C</v>
      </c>
      <c r="C31" s="793" t="s">
        <v>637</v>
      </c>
      <c r="D31" s="794"/>
      <c r="E31" s="230">
        <f>E27+E30</f>
        <v>294561</v>
      </c>
      <c r="G31" s="607">
        <f>D28</f>
        <v>59517</v>
      </c>
      <c r="H31" s="597" t="str">
        <f>CONCATENATE("",E1-1," Ending Cash Balance (est.)")</f>
        <v>2014 Ending Cash Balance (est.)</v>
      </c>
      <c r="I31" s="608"/>
      <c r="J31" s="606"/>
    </row>
    <row r="32" spans="2:10" ht="15.75">
      <c r="B32" s="439" t="str">
        <f>CONCATENATE(C75,"     ",D75)</f>
        <v>     </v>
      </c>
      <c r="C32" s="285"/>
      <c r="D32" s="205" t="s">
        <v>164</v>
      </c>
      <c r="E32" s="93">
        <f>IF(E31-E19&gt;0,E31-E19,0)</f>
        <v>131041</v>
      </c>
      <c r="G32" s="607">
        <f>E18</f>
        <v>104003</v>
      </c>
      <c r="H32" s="583" t="str">
        <f>CONCATENATE("",E1," Non-AV Receipts (est.)")</f>
        <v>2015 Non-AV Receipts (est.)</v>
      </c>
      <c r="I32" s="608"/>
      <c r="J32" s="606"/>
    </row>
    <row r="33" spans="2:11" ht="15.75">
      <c r="B33" s="205"/>
      <c r="C33" s="437" t="s">
        <v>638</v>
      </c>
      <c r="D33" s="580">
        <f>inputOth!$E$23</f>
        <v>0.01</v>
      </c>
      <c r="E33" s="230">
        <f>ROUND(IF(D33&gt;0,($E$32*D33),0),0)</f>
        <v>1310</v>
      </c>
      <c r="F33" s="284"/>
      <c r="G33" s="609">
        <f>IF(E33&gt;0,E32,E34)</f>
        <v>131041</v>
      </c>
      <c r="H33" s="583" t="str">
        <f>CONCATENATE("",E1," Ad Valorem Tax (est.)")</f>
        <v>2015 Ad Valorem Tax (est.)</v>
      </c>
      <c r="I33" s="608"/>
      <c r="J33" s="606"/>
      <c r="K33" s="595" t="str">
        <f>IF(G33=E34,"","Note: Does not include Delinquent Taxes")</f>
        <v>Note: Does not include Delinquent Taxes</v>
      </c>
    </row>
    <row r="34" spans="2:10" ht="15.75">
      <c r="B34" s="60"/>
      <c r="C34" s="799" t="str">
        <f>CONCATENATE("Amount of  ",$E$1-1," Ad Valorem Tax")</f>
        <v>Amount of  2014 Ad Valorem Tax</v>
      </c>
      <c r="D34" s="800"/>
      <c r="E34" s="303">
        <f>E32+E33</f>
        <v>132351</v>
      </c>
      <c r="F34" s="435">
        <f>IF(E27/0.95-E27&lt;E30,"Exceeds 5%","")</f>
      </c>
      <c r="G34" s="607">
        <f>SUM(G31:G33)</f>
        <v>294561</v>
      </c>
      <c r="H34" s="583" t="str">
        <f>CONCATENATE("Total ",E1," Resources Available")</f>
        <v>Total 2015 Resources Available</v>
      </c>
      <c r="I34" s="608"/>
      <c r="J34" s="606"/>
    </row>
    <row r="35" spans="2:10" ht="15.75">
      <c r="B35" s="60"/>
      <c r="C35" s="291"/>
      <c r="D35" s="291"/>
      <c r="E35" s="291"/>
      <c r="G35" s="610"/>
      <c r="H35" s="583"/>
      <c r="I35" s="583"/>
      <c r="J35" s="606"/>
    </row>
    <row r="36" spans="2:10" ht="15.75">
      <c r="B36" s="59" t="s">
        <v>152</v>
      </c>
      <c r="C36" s="629" t="str">
        <f aca="true" t="shared" si="0" ref="C36:E37">C4</f>
        <v>Prior Year </v>
      </c>
      <c r="D36" s="630" t="str">
        <f t="shared" si="0"/>
        <v>Current Year </v>
      </c>
      <c r="E36" s="185" t="str">
        <f t="shared" si="0"/>
        <v>Proposed Budget </v>
      </c>
      <c r="G36" s="609">
        <f>ROUND(C27*0.05+C27,0)</f>
        <v>163175</v>
      </c>
      <c r="H36" s="583" t="str">
        <f>CONCATENATE("Less ",E1-2," Expenditures + 5%")</f>
        <v>Less 2013 Expenditures + 5%</v>
      </c>
      <c r="I36" s="608"/>
      <c r="J36" s="611"/>
    </row>
    <row r="37" spans="2:10" ht="15.75">
      <c r="B37" s="416" t="str">
        <f>(inputPrYr!B20)</f>
        <v>Mental Health</v>
      </c>
      <c r="C37" s="402" t="str">
        <f t="shared" si="0"/>
        <v>Actual for 2013</v>
      </c>
      <c r="D37" s="402" t="str">
        <f t="shared" si="0"/>
        <v>Estimate for 2014</v>
      </c>
      <c r="E37" s="267" t="str">
        <f t="shared" si="0"/>
        <v>Year for 2015</v>
      </c>
      <c r="G37" s="612">
        <f>G34-G36</f>
        <v>131386</v>
      </c>
      <c r="H37" s="613" t="str">
        <f>CONCATENATE("Projected ",E1+1," carryover (est.)")</f>
        <v>Projected 2016 carryover (est.)</v>
      </c>
      <c r="I37" s="614"/>
      <c r="J37" s="615"/>
    </row>
    <row r="38" spans="2:10" ht="15.75">
      <c r="B38" s="121" t="s">
        <v>259</v>
      </c>
      <c r="C38" s="399">
        <v>0</v>
      </c>
      <c r="D38" s="403">
        <f>C57</f>
        <v>0</v>
      </c>
      <c r="E38" s="230">
        <f>D57</f>
        <v>0</v>
      </c>
      <c r="G38" s="1"/>
      <c r="H38" s="1"/>
      <c r="I38" s="1"/>
      <c r="J38" s="1"/>
    </row>
    <row r="39" spans="2:10" ht="15.75">
      <c r="B39" s="268" t="s">
        <v>261</v>
      </c>
      <c r="C39" s="270"/>
      <c r="D39" s="270"/>
      <c r="E39" s="100"/>
      <c r="G39" s="788" t="s">
        <v>790</v>
      </c>
      <c r="H39" s="789"/>
      <c r="I39" s="789"/>
      <c r="J39" s="790"/>
    </row>
    <row r="40" spans="2:10" ht="15.75">
      <c r="B40" s="121" t="s">
        <v>153</v>
      </c>
      <c r="C40" s="399">
        <v>14913</v>
      </c>
      <c r="D40" s="403">
        <f>IF(inputPrYr!H20&gt;0,inputPrYr!H20,inputPrYr!E20)</f>
        <v>16573</v>
      </c>
      <c r="E40" s="300" t="s">
        <v>139</v>
      </c>
      <c r="G40" s="596"/>
      <c r="H40" s="597"/>
      <c r="I40" s="598"/>
      <c r="J40" s="599"/>
    </row>
    <row r="41" spans="2:10" ht="15.75">
      <c r="B41" s="121" t="s">
        <v>154</v>
      </c>
      <c r="C41" s="399">
        <v>33</v>
      </c>
      <c r="D41" s="399">
        <v>106</v>
      </c>
      <c r="E41" s="85">
        <v>110</v>
      </c>
      <c r="G41" s="600">
        <f>summ!H18</f>
        <v>2.491</v>
      </c>
      <c r="H41" s="597" t="str">
        <f>CONCATENATE("",E1," Fund Mill Rate")</f>
        <v>2015 Fund Mill Rate</v>
      </c>
      <c r="I41" s="598"/>
      <c r="J41" s="599"/>
    </row>
    <row r="42" spans="2:10" ht="15.75">
      <c r="B42" s="121" t="s">
        <v>155</v>
      </c>
      <c r="C42" s="399">
        <v>1650</v>
      </c>
      <c r="D42" s="399">
        <v>1490</v>
      </c>
      <c r="E42" s="230">
        <f>mvalloc!E10</f>
        <v>1555</v>
      </c>
      <c r="G42" s="601">
        <f>summ!E18</f>
        <v>2.734</v>
      </c>
      <c r="H42" s="597" t="str">
        <f>CONCATENATE("",E1-1," Fund Mill Rate")</f>
        <v>2014 Fund Mill Rate</v>
      </c>
      <c r="I42" s="598"/>
      <c r="J42" s="599"/>
    </row>
    <row r="43" spans="2:10" ht="15.75">
      <c r="B43" s="121" t="s">
        <v>156</v>
      </c>
      <c r="C43" s="399">
        <v>32</v>
      </c>
      <c r="D43" s="399">
        <v>28</v>
      </c>
      <c r="E43" s="230">
        <f>mvalloc!F10</f>
        <v>31</v>
      </c>
      <c r="G43" s="602">
        <f>summ!H39</f>
        <v>77.58699999999999</v>
      </c>
      <c r="H43" s="597" t="str">
        <f>CONCATENATE("Total ",E1," Mill Rate")</f>
        <v>Total 2015 Mill Rate</v>
      </c>
      <c r="I43" s="598"/>
      <c r="J43" s="599"/>
    </row>
    <row r="44" spans="2:10" ht="15.75">
      <c r="B44" s="270" t="s">
        <v>220</v>
      </c>
      <c r="C44" s="399">
        <v>282</v>
      </c>
      <c r="D44" s="399">
        <v>290</v>
      </c>
      <c r="E44" s="230">
        <f>mvalloc!G10</f>
        <v>276</v>
      </c>
      <c r="G44" s="601">
        <f>summ!E39</f>
        <v>97.844</v>
      </c>
      <c r="H44" s="603" t="str">
        <f>CONCATENATE("Total ",E1-1," Mill Rate")</f>
        <v>Total 2014 Mill Rate</v>
      </c>
      <c r="I44" s="604"/>
      <c r="J44" s="605"/>
    </row>
    <row r="45" spans="2:10" ht="15.75">
      <c r="B45" s="270" t="s">
        <v>1076</v>
      </c>
      <c r="C45" s="399"/>
      <c r="D45" s="399"/>
      <c r="E45" s="230">
        <v>52</v>
      </c>
      <c r="G45" s="1"/>
      <c r="H45" s="1"/>
      <c r="I45" s="1"/>
      <c r="J45" s="1"/>
    </row>
    <row r="46" spans="2:10" ht="15.75">
      <c r="B46" s="270" t="s">
        <v>1078</v>
      </c>
      <c r="C46" s="399"/>
      <c r="D46" s="399">
        <v>138</v>
      </c>
      <c r="E46" s="230">
        <v>138</v>
      </c>
      <c r="G46" s="686" t="s">
        <v>864</v>
      </c>
      <c r="H46" s="651"/>
      <c r="I46" s="650" t="str">
        <f>cert!E47</f>
        <v>No</v>
      </c>
      <c r="J46" s="1"/>
    </row>
    <row r="47" spans="2:10" ht="15.75">
      <c r="B47" s="274" t="s">
        <v>68</v>
      </c>
      <c r="C47" s="399"/>
      <c r="D47" s="399"/>
      <c r="E47" s="85"/>
      <c r="G47" s="1"/>
      <c r="H47" s="1"/>
      <c r="I47" s="1"/>
      <c r="J47" s="1"/>
    </row>
    <row r="48" spans="2:10" ht="15.75">
      <c r="B48" s="274" t="s">
        <v>634</v>
      </c>
      <c r="C48" s="400">
        <f>IF(C49*0.1&lt;C47,"Exceed 10% Rule","")</f>
      </c>
      <c r="D48" s="400">
        <f>IF(D49*0.1&lt;D47,"Exceed 10% Rule","")</f>
      </c>
      <c r="E48" s="302">
        <f>IF(E49*0.1+E63&lt;E47,"Exceed 10% Rule","")</f>
      </c>
      <c r="G48" s="1"/>
      <c r="H48" s="1"/>
      <c r="I48" s="1"/>
      <c r="J48" s="1"/>
    </row>
    <row r="49" spans="2:10" ht="15.75">
      <c r="B49" s="276" t="s">
        <v>159</v>
      </c>
      <c r="C49" s="401">
        <f>SUM(C40:C47)</f>
        <v>16910</v>
      </c>
      <c r="D49" s="401">
        <f>SUM(D40:D47)</f>
        <v>18625</v>
      </c>
      <c r="E49" s="306">
        <f>SUM(E40:E47)</f>
        <v>2162</v>
      </c>
      <c r="G49" s="1"/>
      <c r="H49" s="1"/>
      <c r="I49" s="1"/>
      <c r="J49" s="1"/>
    </row>
    <row r="50" spans="2:10" ht="15.75">
      <c r="B50" s="276" t="s">
        <v>160</v>
      </c>
      <c r="C50" s="401">
        <f>C38+C49</f>
        <v>16910</v>
      </c>
      <c r="D50" s="401">
        <f>D38+D49</f>
        <v>18625</v>
      </c>
      <c r="E50" s="306">
        <f>E38+E49</f>
        <v>2162</v>
      </c>
      <c r="G50" s="1"/>
      <c r="H50" s="1"/>
      <c r="I50" s="1"/>
      <c r="J50" s="1"/>
    </row>
    <row r="51" spans="2:10" ht="15.75">
      <c r="B51" s="121" t="s">
        <v>162</v>
      </c>
      <c r="C51" s="274"/>
      <c r="D51" s="274"/>
      <c r="E51" s="81"/>
      <c r="G51" s="1"/>
      <c r="H51" s="1"/>
      <c r="I51" s="1"/>
      <c r="J51" s="1"/>
    </row>
    <row r="52" spans="2:10" ht="15.75">
      <c r="B52" s="282" t="s">
        <v>976</v>
      </c>
      <c r="C52" s="399">
        <v>16816</v>
      </c>
      <c r="D52" s="399">
        <v>18409</v>
      </c>
      <c r="E52" s="85">
        <v>18000</v>
      </c>
      <c r="G52" s="1"/>
      <c r="H52" s="1"/>
      <c r="I52" s="1"/>
      <c r="J52" s="1"/>
    </row>
    <row r="53" spans="2:10" ht="15.75">
      <c r="B53" s="274" t="s">
        <v>69</v>
      </c>
      <c r="C53" s="399">
        <v>94</v>
      </c>
      <c r="D53" s="399">
        <v>216</v>
      </c>
      <c r="E53" s="93">
        <f>Nhood!E9</f>
        <v>365</v>
      </c>
      <c r="G53" s="1"/>
      <c r="H53" s="1"/>
      <c r="I53" s="1"/>
      <c r="J53" s="1"/>
    </row>
    <row r="54" spans="2:10" ht="15.75">
      <c r="B54" s="274" t="s">
        <v>68</v>
      </c>
      <c r="C54" s="399"/>
      <c r="D54" s="399"/>
      <c r="E54" s="85"/>
      <c r="G54" s="1"/>
      <c r="H54" s="1"/>
      <c r="I54" s="1"/>
      <c r="J54" s="1"/>
    </row>
    <row r="55" spans="2:10" ht="15.75">
      <c r="B55" s="274" t="s">
        <v>633</v>
      </c>
      <c r="C55" s="400">
        <f>IF(C56*0.1&lt;C54,"Exceed 10% Rule","")</f>
      </c>
      <c r="D55" s="400">
        <f>IF(D56*0.1&lt;D54,"Exceed 10% Rule","")</f>
      </c>
      <c r="E55" s="302">
        <f>IF(E56*0.1&lt;E54,"Exceed 10% Rule","")</f>
      </c>
      <c r="G55" s="1"/>
      <c r="H55" s="1"/>
      <c r="I55" s="1"/>
      <c r="J55" s="1"/>
    </row>
    <row r="56" spans="2:10" ht="15.75">
      <c r="B56" s="276" t="s">
        <v>163</v>
      </c>
      <c r="C56" s="401">
        <f>SUM(C52:C54)</f>
        <v>16910</v>
      </c>
      <c r="D56" s="401">
        <f>SUM(D52:D54)</f>
        <v>18625</v>
      </c>
      <c r="E56" s="306">
        <f>SUM(E52:E54)</f>
        <v>18365</v>
      </c>
      <c r="G56" s="801" t="str">
        <f>CONCATENATE("Desired Carryover Into ",E1+1,"")</f>
        <v>Desired Carryover Into 2016</v>
      </c>
      <c r="H56" s="802"/>
      <c r="I56" s="802"/>
      <c r="J56" s="770"/>
    </row>
    <row r="57" spans="2:10" ht="15.75">
      <c r="B57" s="121" t="s">
        <v>260</v>
      </c>
      <c r="C57" s="404">
        <f>C50-C56</f>
        <v>0</v>
      </c>
      <c r="D57" s="404">
        <f>D50-D56</f>
        <v>0</v>
      </c>
      <c r="E57" s="300" t="s">
        <v>139</v>
      </c>
      <c r="G57" s="581"/>
      <c r="H57" s="582"/>
      <c r="I57" s="583"/>
      <c r="J57" s="584"/>
    </row>
    <row r="58" spans="2:10" ht="15.75">
      <c r="B58" s="266" t="str">
        <f>CONCATENATE("",E1-2,"/",E1-1,"/",E1," Budget Authority Amount:")</f>
        <v>2013/2014/2015 Budget Authority Amount:</v>
      </c>
      <c r="C58" s="301">
        <f>inputOth!B34</f>
        <v>16582</v>
      </c>
      <c r="D58" s="301">
        <f>inputPrYr!D20</f>
        <v>18211</v>
      </c>
      <c r="E58" s="230">
        <f>E56</f>
        <v>18365</v>
      </c>
      <c r="G58" s="585" t="s">
        <v>639</v>
      </c>
      <c r="H58" s="583"/>
      <c r="I58" s="583"/>
      <c r="J58" s="586">
        <v>0</v>
      </c>
    </row>
    <row r="59" spans="2:10" ht="15.75">
      <c r="B59" s="252"/>
      <c r="C59" s="791" t="s">
        <v>636</v>
      </c>
      <c r="D59" s="792"/>
      <c r="E59" s="85"/>
      <c r="G59" s="581" t="s">
        <v>640</v>
      </c>
      <c r="H59" s="582"/>
      <c r="I59" s="582"/>
      <c r="J59" s="587">
        <f>IF(J58=0,"",ROUND((J58+E63-G71)/inputOth!E6*1000,3)-G76)</f>
      </c>
    </row>
    <row r="60" spans="2:10" ht="15.75">
      <c r="B60" s="438" t="str">
        <f>CONCATENATE(C76,"     ",D76)</f>
        <v>See Tab A     See Tab C</v>
      </c>
      <c r="C60" s="793" t="s">
        <v>637</v>
      </c>
      <c r="D60" s="794"/>
      <c r="E60" s="230">
        <f>E56+E59</f>
        <v>18365</v>
      </c>
      <c r="G60" s="588" t="str">
        <f>CONCATENATE("",E1," Tot Exp/Non-Appr Must Be:")</f>
        <v>2015 Tot Exp/Non-Appr Must Be:</v>
      </c>
      <c r="H60" s="589"/>
      <c r="I60" s="590"/>
      <c r="J60" s="591">
        <f>IF(J58&gt;0,IF(E60&lt;E50,IF(J58=G71,E60,((J58-G71)*(1-D62))+E50),E60+(J58-G71)),0)</f>
        <v>0</v>
      </c>
    </row>
    <row r="61" spans="2:10" ht="15.75">
      <c r="B61" s="438" t="str">
        <f>CONCATENATE(C77,"     ",D77)</f>
        <v>     </v>
      </c>
      <c r="C61" s="285"/>
      <c r="D61" s="205" t="s">
        <v>164</v>
      </c>
      <c r="E61" s="93">
        <f>IF(E60-E50&gt;0,E60-E50,0)</f>
        <v>16203</v>
      </c>
      <c r="G61" s="592" t="s">
        <v>789</v>
      </c>
      <c r="H61" s="593"/>
      <c r="I61" s="593"/>
      <c r="J61" s="594">
        <f>IF(J58&gt;0,J60-E60,0)</f>
        <v>0</v>
      </c>
    </row>
    <row r="62" spans="2:10" ht="19.5" customHeight="1">
      <c r="B62" s="205"/>
      <c r="C62" s="437" t="s">
        <v>638</v>
      </c>
      <c r="D62" s="580">
        <f>inputOth!$E$23</f>
        <v>0.01</v>
      </c>
      <c r="E62" s="230">
        <f>ROUND(IF(D62&gt;0,($E$61*D62),0),0)</f>
        <v>162</v>
      </c>
      <c r="G62" s="1"/>
      <c r="H62" s="1"/>
      <c r="I62" s="1"/>
      <c r="J62" s="1"/>
    </row>
    <row r="63" spans="2:10" ht="15.75">
      <c r="B63" s="60"/>
      <c r="C63" s="799" t="str">
        <f>CONCATENATE("Amount of  ",$E$1-1," Ad Valorem Tax")</f>
        <v>Amount of  2014 Ad Valorem Tax</v>
      </c>
      <c r="D63" s="800"/>
      <c r="E63" s="303">
        <f>E61+E62</f>
        <v>16365</v>
      </c>
      <c r="G63" s="801" t="str">
        <f>CONCATENATE("Projected Carryover Into ",E1+1,"")</f>
        <v>Projected Carryover Into 2016</v>
      </c>
      <c r="H63" s="806"/>
      <c r="I63" s="806"/>
      <c r="J63" s="805"/>
    </row>
    <row r="64" spans="2:10" ht="15.75">
      <c r="B64" s="252"/>
      <c r="C64" s="720" t="s">
        <v>1018</v>
      </c>
      <c r="D64" s="60"/>
      <c r="E64" s="60"/>
      <c r="G64" s="616"/>
      <c r="H64" s="582"/>
      <c r="I64" s="582"/>
      <c r="J64" s="611"/>
    </row>
    <row r="65" spans="7:10" ht="15.75">
      <c r="G65" s="607">
        <f>D57</f>
        <v>0</v>
      </c>
      <c r="H65" s="597" t="str">
        <f>CONCATENATE("",E1-1," Ending Cash Balance (est.)")</f>
        <v>2014 Ending Cash Balance (est.)</v>
      </c>
      <c r="I65" s="608"/>
      <c r="J65" s="611"/>
    </row>
    <row r="66" spans="7:10" ht="15.75">
      <c r="G66" s="607">
        <f>E49</f>
        <v>2162</v>
      </c>
      <c r="H66" s="583" t="str">
        <f>CONCATENATE("",E1," Non-AV Receipts (est.)")</f>
        <v>2015 Non-AV Receipts (est.)</v>
      </c>
      <c r="I66" s="608"/>
      <c r="J66" s="611"/>
    </row>
    <row r="67" spans="6:11" ht="15.75">
      <c r="F67" s="284"/>
      <c r="G67" s="609">
        <f>IF(E62&gt;0,E61,E63)</f>
        <v>16203</v>
      </c>
      <c r="H67" s="583" t="str">
        <f>CONCATENATE("",E1," Ad Valorem Tax (est.)")</f>
        <v>2015 Ad Valorem Tax (est.)</v>
      </c>
      <c r="I67" s="608"/>
      <c r="J67" s="611"/>
      <c r="K67" s="595" t="str">
        <f>IF(G67=E63,"","Note: Does not include Delinquent Taxes")</f>
        <v>Note: Does not include Delinquent Taxes</v>
      </c>
    </row>
    <row r="68" spans="6:10" ht="15.75">
      <c r="F68" s="435">
        <f>IF(E56/0.95-E56&lt;E59,"Exceeds 5%","")</f>
      </c>
      <c r="G68" s="617">
        <f>SUM(G65:G67)</f>
        <v>18365</v>
      </c>
      <c r="H68" s="583" t="str">
        <f>CONCATENATE("Total ",E1," Resources Available")</f>
        <v>Total 2015 Resources Available</v>
      </c>
      <c r="I68" s="618"/>
      <c r="J68" s="611"/>
    </row>
    <row r="69" spans="7:10" ht="15.75">
      <c r="G69" s="619"/>
      <c r="H69" s="620"/>
      <c r="I69" s="582"/>
      <c r="J69" s="611"/>
    </row>
    <row r="70" spans="7:10" ht="15.75">
      <c r="G70" s="621">
        <f>ROUND(C56*0.05+C56,0)</f>
        <v>17756</v>
      </c>
      <c r="H70" s="583" t="str">
        <f>CONCATENATE("Less ",E1-2," Expenditures + 5%")</f>
        <v>Less 2013 Expenditures + 5%</v>
      </c>
      <c r="I70" s="618"/>
      <c r="J70" s="611"/>
    </row>
    <row r="71" spans="7:10" ht="15.75">
      <c r="G71" s="622">
        <f>G68-G70</f>
        <v>609</v>
      </c>
      <c r="H71" s="613" t="str">
        <f>CONCATENATE("Projected ",E1+1," carryover (est.)")</f>
        <v>Projected 2016 carryover (est.)</v>
      </c>
      <c r="I71" s="623"/>
      <c r="J71" s="624"/>
    </row>
    <row r="72" spans="7:10" ht="15.75">
      <c r="G72" s="1"/>
      <c r="H72" s="1"/>
      <c r="I72" s="1"/>
      <c r="J72" s="1"/>
    </row>
    <row r="73" spans="7:10" ht="15.75">
      <c r="G73" s="788" t="s">
        <v>790</v>
      </c>
      <c r="H73" s="789"/>
      <c r="I73" s="789"/>
      <c r="J73" s="790"/>
    </row>
    <row r="74" spans="3:10" ht="15.75">
      <c r="C74" s="48">
        <f>IF(C27&gt;C29,"See Tab A","")</f>
      </c>
      <c r="D74" s="48" t="str">
        <f>IF(D27&gt;D29,"See Tab C","")</f>
        <v>See Tab C</v>
      </c>
      <c r="G74" s="596"/>
      <c r="H74" s="597"/>
      <c r="I74" s="598"/>
      <c r="J74" s="599"/>
    </row>
    <row r="75" spans="3:10" ht="15.75">
      <c r="C75" s="48">
        <f>IF(C28&lt;0,"See Tab B","")</f>
      </c>
      <c r="D75" s="48">
        <f>IF(D28&lt;0,"See Tab D","")</f>
      </c>
      <c r="G75" s="600">
        <f>summ!H19</f>
        <v>0.308</v>
      </c>
      <c r="H75" s="597" t="str">
        <f>CONCATENATE("",E1," Fund Mill Rate")</f>
        <v>2015 Fund Mill Rate</v>
      </c>
      <c r="I75" s="598"/>
      <c r="J75" s="599"/>
    </row>
    <row r="76" spans="3:10" ht="15.75">
      <c r="C76" s="48" t="str">
        <f>IF(C56&gt;C58,"See Tab A","")</f>
        <v>See Tab A</v>
      </c>
      <c r="D76" s="48" t="str">
        <f>IF(D56&gt;D58,"See Tab C","")</f>
        <v>See Tab C</v>
      </c>
      <c r="G76" s="601">
        <f>summ!E19</f>
        <v>0.357</v>
      </c>
      <c r="H76" s="597" t="str">
        <f>CONCATENATE("",E1-1," Fund Mill Rate")</f>
        <v>2014 Fund Mill Rate</v>
      </c>
      <c r="I76" s="598"/>
      <c r="J76" s="599"/>
    </row>
    <row r="77" spans="3:10" ht="15.75">
      <c r="C77" s="48">
        <f>IF(C57&lt;0,"See Tab B","")</f>
      </c>
      <c r="D77" s="48">
        <f>IF(D57&lt;0,"See Tab D","")</f>
      </c>
      <c r="G77" s="602">
        <f>summ!H39</f>
        <v>77.58699999999999</v>
      </c>
      <c r="H77" s="597" t="str">
        <f>CONCATENATE("Total ",E1," Mill Rate")</f>
        <v>Total 2015 Mill Rate</v>
      </c>
      <c r="I77" s="598"/>
      <c r="J77" s="599"/>
    </row>
    <row r="78" spans="7:10" ht="15.75">
      <c r="G78" s="601">
        <f>summ!E39</f>
        <v>97.844</v>
      </c>
      <c r="H78" s="603" t="str">
        <f>CONCATENATE("Total ",E1-1," Mill Rate")</f>
        <v>Total 2014 Mill Rate</v>
      </c>
      <c r="I78" s="604"/>
      <c r="J78" s="605"/>
    </row>
    <row r="80" spans="7:9" ht="15.75">
      <c r="G80" s="687" t="s">
        <v>864</v>
      </c>
      <c r="H80" s="651"/>
      <c r="I80" s="650" t="str">
        <f>cert!E47</f>
        <v>No</v>
      </c>
    </row>
    <row r="83" ht="15.75" hidden="1"/>
    <row r="84" ht="15.75" hidden="1"/>
    <row r="85" ht="15.75" hidden="1"/>
    <row r="86" ht="15.75" hidden="1"/>
  </sheetData>
  <sheetProtection/>
  <mergeCells count="12">
    <mergeCell ref="C30:D30"/>
    <mergeCell ref="C31:D31"/>
    <mergeCell ref="C59:D59"/>
    <mergeCell ref="C60:D60"/>
    <mergeCell ref="C63:D63"/>
    <mergeCell ref="C34:D34"/>
    <mergeCell ref="G22:J22"/>
    <mergeCell ref="G29:J29"/>
    <mergeCell ref="G39:J39"/>
    <mergeCell ref="G56:J56"/>
    <mergeCell ref="G63:J63"/>
    <mergeCell ref="G73:J73"/>
  </mergeCells>
  <conditionalFormatting sqref="E54">
    <cfRule type="cellIs" priority="4" dxfId="181" operator="greaterThan" stopIfTrue="1">
      <formula>$E$56*0.1</formula>
    </cfRule>
  </conditionalFormatting>
  <conditionalFormatting sqref="E59">
    <cfRule type="cellIs" priority="5" dxfId="181" operator="greaterThan" stopIfTrue="1">
      <formula>$E$56/0.95-$E$56</formula>
    </cfRule>
  </conditionalFormatting>
  <conditionalFormatting sqref="E30">
    <cfRule type="cellIs" priority="6" dxfId="181" operator="greaterThan" stopIfTrue="1">
      <formula>$E$27/0.95-$E$27</formula>
    </cfRule>
  </conditionalFormatting>
  <conditionalFormatting sqref="E25">
    <cfRule type="cellIs" priority="7" dxfId="181" operator="greaterThan" stopIfTrue="1">
      <formula>$E$27*0.1</formula>
    </cfRule>
  </conditionalFormatting>
  <conditionalFormatting sqref="C27">
    <cfRule type="cellIs" priority="8" dxfId="1" operator="greaterThan" stopIfTrue="1">
      <formula>$C$29</formula>
    </cfRule>
  </conditionalFormatting>
  <conditionalFormatting sqref="C57 C28">
    <cfRule type="cellIs" priority="9" dxfId="1" operator="lessThan" stopIfTrue="1">
      <formula>0</formula>
    </cfRule>
  </conditionalFormatting>
  <conditionalFormatting sqref="D27">
    <cfRule type="cellIs" priority="10" dxfId="1" operator="greaterThan" stopIfTrue="1">
      <formula>$D$29</formula>
    </cfRule>
  </conditionalFormatting>
  <conditionalFormatting sqref="C56">
    <cfRule type="cellIs" priority="11" dxfId="1" operator="greaterThan" stopIfTrue="1">
      <formula>$C$58</formula>
    </cfRule>
  </conditionalFormatting>
  <conditionalFormatting sqref="D56">
    <cfRule type="cellIs" priority="12" dxfId="1" operator="greaterThan" stopIfTrue="1">
      <formula>$D$58</formula>
    </cfRule>
  </conditionalFormatting>
  <conditionalFormatting sqref="C54">
    <cfRule type="cellIs" priority="13" dxfId="1" operator="greaterThan" stopIfTrue="1">
      <formula>$C$56*0.1</formula>
    </cfRule>
  </conditionalFormatting>
  <conditionalFormatting sqref="D54">
    <cfRule type="cellIs" priority="14" dxfId="1" operator="greaterThan" stopIfTrue="1">
      <formula>$D$56*0.1</formula>
    </cfRule>
  </conditionalFormatting>
  <conditionalFormatting sqref="E47">
    <cfRule type="cellIs" priority="15" dxfId="181" operator="greaterThan" stopIfTrue="1">
      <formula>$E$49*0.1+E63</formula>
    </cfRule>
  </conditionalFormatting>
  <conditionalFormatting sqref="C47">
    <cfRule type="cellIs" priority="16" dxfId="1" operator="greaterThan" stopIfTrue="1">
      <formula>$C$49*0.1</formula>
    </cfRule>
  </conditionalFormatting>
  <conditionalFormatting sqref="D47">
    <cfRule type="cellIs" priority="17" dxfId="1" operator="greaterThan" stopIfTrue="1">
      <formula>$D$49*0.1</formula>
    </cfRule>
  </conditionalFormatting>
  <conditionalFormatting sqref="C25">
    <cfRule type="cellIs" priority="18" dxfId="1" operator="greaterThan" stopIfTrue="1">
      <formula>$C$27*0.1</formula>
    </cfRule>
  </conditionalFormatting>
  <conditionalFormatting sqref="D25">
    <cfRule type="cellIs" priority="19" dxfId="1" operator="greaterThan" stopIfTrue="1">
      <formula>$D$27*0.1</formula>
    </cfRule>
  </conditionalFormatting>
  <conditionalFormatting sqref="E16">
    <cfRule type="cellIs" priority="20" dxfId="181" operator="greaterThan" stopIfTrue="1">
      <formula>$E$18*0.1+E34</formula>
    </cfRule>
  </conditionalFormatting>
  <conditionalFormatting sqref="C16">
    <cfRule type="cellIs" priority="21" dxfId="1" operator="greaterThan" stopIfTrue="1">
      <formula>$C$18*0.1</formula>
    </cfRule>
  </conditionalFormatting>
  <conditionalFormatting sqref="D16">
    <cfRule type="cellIs" priority="22" dxfId="1" operator="greaterThan" stopIfTrue="1">
      <formula>$D$18*0.1</formula>
    </cfRule>
  </conditionalFormatting>
  <conditionalFormatting sqref="D28">
    <cfRule type="cellIs" priority="2" dxfId="0" operator="lessThan" stopIfTrue="1">
      <formula>0</formula>
    </cfRule>
    <cfRule type="cellIs" priority="3" dxfId="0" operator="lessThan" stopIfTrue="1">
      <formula>0</formula>
    </cfRule>
  </conditionalFormatting>
  <conditionalFormatting sqref="D57">
    <cfRule type="cellIs" priority="1" dxfId="0" operator="lessThan" stopIfTrue="1">
      <formula>0</formula>
    </cfRule>
  </conditionalFormatting>
  <printOptions/>
  <pageMargins left="0.81" right="0.5" top="0.74" bottom="0.34" header="0.5" footer="0"/>
  <pageSetup blackAndWhite="1" horizontalDpi="120" verticalDpi="120" orientation="portrait" scale="80" r:id="rId1"/>
  <headerFooter alignWithMargins="0">
    <oddHeader>&amp;RState of Kansas
County
</oddHeader>
  </headerFooter>
</worksheet>
</file>

<file path=xl/worksheets/sheet17.xml><?xml version="1.0" encoding="utf-8"?>
<worksheet xmlns="http://schemas.openxmlformats.org/spreadsheetml/2006/main" xmlns:r="http://schemas.openxmlformats.org/officeDocument/2006/relationships">
  <dimension ref="B1:K89"/>
  <sheetViews>
    <sheetView zoomScalePageLayoutView="0" workbookViewId="0" topLeftCell="A43">
      <selection activeCell="E117" sqref="E117"/>
    </sheetView>
  </sheetViews>
  <sheetFormatPr defaultColWidth="8.796875" defaultRowHeight="15"/>
  <cols>
    <col min="1" max="1" width="2.3984375" style="48" customWidth="1"/>
    <col min="2" max="2" width="31.09765625" style="48" customWidth="1"/>
    <col min="3" max="4" width="15.796875" style="48" customWidth="1"/>
    <col min="5" max="5" width="16.09765625" style="48" customWidth="1"/>
    <col min="6" max="6" width="7.3984375" style="48" customWidth="1"/>
    <col min="7" max="7" width="10.19921875" style="48" customWidth="1"/>
    <col min="8" max="8" width="8.8984375" style="48" customWidth="1"/>
    <col min="9" max="9" width="5" style="48" customWidth="1"/>
    <col min="10" max="10" width="10" style="48" customWidth="1"/>
    <col min="11" max="16384" width="8.8984375" style="48" customWidth="1"/>
  </cols>
  <sheetData>
    <row r="1" spans="2:5" ht="15.75">
      <c r="B1" s="198" t="str">
        <f>(inputPrYr!C2)</f>
        <v>Sheridan County</v>
      </c>
      <c r="C1" s="60"/>
      <c r="D1" s="60"/>
      <c r="E1" s="251">
        <f>inputPrYr!C4</f>
        <v>2015</v>
      </c>
    </row>
    <row r="2" spans="2:5" ht="7.5" customHeight="1">
      <c r="B2" s="60"/>
      <c r="C2" s="60"/>
      <c r="D2" s="60"/>
      <c r="E2" s="205"/>
    </row>
    <row r="3" spans="2:5" ht="15.75">
      <c r="B3" s="125" t="s">
        <v>227</v>
      </c>
      <c r="C3" s="297"/>
      <c r="D3" s="297"/>
      <c r="E3" s="298"/>
    </row>
    <row r="4" spans="2:5" ht="15.75">
      <c r="B4" s="59" t="s">
        <v>152</v>
      </c>
      <c r="C4" s="629" t="s">
        <v>791</v>
      </c>
      <c r="D4" s="630" t="s">
        <v>792</v>
      </c>
      <c r="E4" s="185" t="s">
        <v>793</v>
      </c>
    </row>
    <row r="5" spans="2:5" ht="15.75">
      <c r="B5" s="417" t="str">
        <f>inputPrYr!B21</f>
        <v>Public Health</v>
      </c>
      <c r="C5" s="402" t="str">
        <f>CONCATENATE("Actual for ",E1-2,"")</f>
        <v>Actual for 2013</v>
      </c>
      <c r="D5" s="402" t="str">
        <f>CONCATENATE("Estimate for ",E1-1,"")</f>
        <v>Estimate for 2014</v>
      </c>
      <c r="E5" s="267" t="str">
        <f>CONCATENATE("Year for ",E1,"")</f>
        <v>Year for 2015</v>
      </c>
    </row>
    <row r="6" spans="2:5" ht="15.75">
      <c r="B6" s="121" t="s">
        <v>259</v>
      </c>
      <c r="C6" s="399">
        <v>19473</v>
      </c>
      <c r="D6" s="403">
        <f>C31</f>
        <v>16026</v>
      </c>
      <c r="E6" s="230">
        <f>D31</f>
        <v>0</v>
      </c>
    </row>
    <row r="7" spans="2:5" ht="15.75">
      <c r="B7" s="255" t="s">
        <v>261</v>
      </c>
      <c r="C7" s="270"/>
      <c r="D7" s="270"/>
      <c r="E7" s="100"/>
    </row>
    <row r="8" spans="2:5" ht="15.75">
      <c r="B8" s="121" t="s">
        <v>153</v>
      </c>
      <c r="C8" s="399">
        <v>21574</v>
      </c>
      <c r="D8" s="403">
        <f>IF(inputPrYr!H21&gt;0,inputPrYr!H21,inputPrYr!E21)</f>
        <v>23766</v>
      </c>
      <c r="E8" s="300" t="s">
        <v>139</v>
      </c>
    </row>
    <row r="9" spans="2:5" ht="15.75">
      <c r="B9" s="121" t="s">
        <v>154</v>
      </c>
      <c r="C9" s="399">
        <v>48</v>
      </c>
      <c r="D9" s="399">
        <v>155</v>
      </c>
      <c r="E9" s="85">
        <v>165</v>
      </c>
    </row>
    <row r="10" spans="2:5" ht="15.75">
      <c r="B10" s="121" t="s">
        <v>155</v>
      </c>
      <c r="C10" s="399">
        <v>2454</v>
      </c>
      <c r="D10" s="399">
        <v>2152</v>
      </c>
      <c r="E10" s="230">
        <f>mvalloc!E11</f>
        <v>2230</v>
      </c>
    </row>
    <row r="11" spans="2:5" ht="15.75">
      <c r="B11" s="121" t="s">
        <v>156</v>
      </c>
      <c r="C11" s="399">
        <v>47</v>
      </c>
      <c r="D11" s="399">
        <v>42</v>
      </c>
      <c r="E11" s="230">
        <f>mvalloc!F11</f>
        <v>44</v>
      </c>
    </row>
    <row r="12" spans="2:5" ht="15.75">
      <c r="B12" s="270" t="s">
        <v>220</v>
      </c>
      <c r="C12" s="399">
        <v>412</v>
      </c>
      <c r="D12" s="399">
        <v>380</v>
      </c>
      <c r="E12" s="230">
        <f>mvalloc!G11</f>
        <v>395</v>
      </c>
    </row>
    <row r="13" spans="2:5" ht="15.75">
      <c r="B13" s="270" t="s">
        <v>1076</v>
      </c>
      <c r="C13" s="399"/>
      <c r="D13" s="399"/>
      <c r="E13" s="230">
        <v>75</v>
      </c>
    </row>
    <row r="14" spans="2:5" ht="15.75">
      <c r="B14" s="270" t="s">
        <v>1078</v>
      </c>
      <c r="C14" s="399"/>
      <c r="D14" s="399">
        <v>200</v>
      </c>
      <c r="E14" s="230">
        <v>200</v>
      </c>
    </row>
    <row r="15" spans="2:5" ht="15.75">
      <c r="B15" s="282" t="s">
        <v>1019</v>
      </c>
      <c r="C15" s="399">
        <v>16325</v>
      </c>
      <c r="D15" s="399">
        <v>15000</v>
      </c>
      <c r="E15" s="85">
        <v>17000</v>
      </c>
    </row>
    <row r="16" spans="2:5" ht="15.75">
      <c r="B16" s="282" t="s">
        <v>1020</v>
      </c>
      <c r="C16" s="399"/>
      <c r="D16" s="399"/>
      <c r="E16" s="85"/>
    </row>
    <row r="17" spans="2:5" ht="15.75">
      <c r="B17" s="282" t="s">
        <v>1021</v>
      </c>
      <c r="C17" s="399">
        <v>103113</v>
      </c>
      <c r="D17" s="399">
        <v>68173</v>
      </c>
      <c r="E17" s="85">
        <v>110000</v>
      </c>
    </row>
    <row r="18" spans="2:5" ht="15.75">
      <c r="B18" s="282" t="s">
        <v>1072</v>
      </c>
      <c r="C18" s="399">
        <v>10530</v>
      </c>
      <c r="D18" s="399"/>
      <c r="E18" s="85"/>
    </row>
    <row r="19" spans="2:5" ht="15.75">
      <c r="B19" s="274" t="s">
        <v>68</v>
      </c>
      <c r="C19" s="399">
        <v>4338</v>
      </c>
      <c r="D19" s="399">
        <v>5400</v>
      </c>
      <c r="E19" s="85"/>
    </row>
    <row r="20" spans="2:5" ht="15.75">
      <c r="B20" s="274" t="s">
        <v>634</v>
      </c>
      <c r="C20" s="400">
        <f>IF(C21*0.1&lt;C19,"Exceed 10% Rule","")</f>
      </c>
      <c r="D20" s="400">
        <f>IF(D21*0.1&lt;D19,"Exceed 10% Rule","")</f>
      </c>
      <c r="E20" s="302">
        <f>IF(E21*0.1+E37&lt;E19,"Exceed 10% Rule","")</f>
      </c>
    </row>
    <row r="21" spans="2:5" ht="15.75">
      <c r="B21" s="276" t="s">
        <v>159</v>
      </c>
      <c r="C21" s="401">
        <f>SUM(C8:C19)</f>
        <v>158841</v>
      </c>
      <c r="D21" s="401">
        <f>SUM(D8:D19)</f>
        <v>115268</v>
      </c>
      <c r="E21" s="306">
        <f>SUM(E8:E19)</f>
        <v>130109</v>
      </c>
    </row>
    <row r="22" spans="2:5" ht="15.75">
      <c r="B22" s="276" t="s">
        <v>160</v>
      </c>
      <c r="C22" s="401">
        <f>C6+C21</f>
        <v>178314</v>
      </c>
      <c r="D22" s="401">
        <f>D6+D21</f>
        <v>131294</v>
      </c>
      <c r="E22" s="306">
        <f>E6+E21</f>
        <v>130109</v>
      </c>
    </row>
    <row r="23" spans="2:5" ht="15.75">
      <c r="B23" s="121" t="s">
        <v>162</v>
      </c>
      <c r="C23" s="274"/>
      <c r="D23" s="274"/>
      <c r="E23" s="81"/>
    </row>
    <row r="24" spans="2:10" ht="15.75">
      <c r="B24" s="282" t="s">
        <v>1009</v>
      </c>
      <c r="C24" s="399">
        <v>94389</v>
      </c>
      <c r="D24" s="399">
        <v>80000</v>
      </c>
      <c r="E24" s="85">
        <v>80000</v>
      </c>
      <c r="G24" s="801" t="str">
        <f>CONCATENATE("Desired Carryover Into ",E1+1,"")</f>
        <v>Desired Carryover Into 2016</v>
      </c>
      <c r="H24" s="802"/>
      <c r="I24" s="802"/>
      <c r="J24" s="770"/>
    </row>
    <row r="25" spans="2:10" ht="15.75">
      <c r="B25" s="282" t="s">
        <v>1010</v>
      </c>
      <c r="C25" s="399">
        <v>67763</v>
      </c>
      <c r="D25" s="399">
        <v>50829</v>
      </c>
      <c r="E25" s="85">
        <v>76406</v>
      </c>
      <c r="G25" s="581"/>
      <c r="H25" s="582"/>
      <c r="I25" s="583"/>
      <c r="J25" s="584"/>
    </row>
    <row r="26" spans="2:10" ht="15.75">
      <c r="B26" s="282" t="s">
        <v>1023</v>
      </c>
      <c r="C26" s="399"/>
      <c r="D26" s="399"/>
      <c r="E26" s="85"/>
      <c r="G26" s="585" t="s">
        <v>639</v>
      </c>
      <c r="H26" s="583"/>
      <c r="I26" s="583"/>
      <c r="J26" s="586">
        <v>0</v>
      </c>
    </row>
    <row r="27" spans="2:10" ht="15.75">
      <c r="B27" s="274" t="s">
        <v>69</v>
      </c>
      <c r="C27" s="399">
        <v>136</v>
      </c>
      <c r="D27" s="399">
        <v>465</v>
      </c>
      <c r="E27" s="93">
        <f>Nhood!E10</f>
        <v>605</v>
      </c>
      <c r="G27" s="581" t="s">
        <v>640</v>
      </c>
      <c r="H27" s="582"/>
      <c r="I27" s="582"/>
      <c r="J27" s="587">
        <f>IF(J26=0,"",ROUND((J26+E37-G39)/inputOth!E6*1000,3)-G44)</f>
      </c>
    </row>
    <row r="28" spans="2:10" ht="15.75">
      <c r="B28" s="274" t="s">
        <v>68</v>
      </c>
      <c r="C28" s="399"/>
      <c r="D28" s="399"/>
      <c r="E28" s="85"/>
      <c r="G28" s="588" t="str">
        <f>CONCATENATE("",E1," Tot Exp/Non-Appr Must Be:")</f>
        <v>2015 Tot Exp/Non-Appr Must Be:</v>
      </c>
      <c r="H28" s="589"/>
      <c r="I28" s="590"/>
      <c r="J28" s="591">
        <f>IF(J26&gt;0,IF(E34&lt;E22,IF(J26=G39,E34,((J26-G39)*(1-D36))+E22),E34+(J26-G39)),0)</f>
        <v>0</v>
      </c>
    </row>
    <row r="29" spans="2:10" ht="15.75">
      <c r="B29" s="274" t="s">
        <v>633</v>
      </c>
      <c r="C29" s="400">
        <f>IF(C30*0.1&lt;C28,"Exceed 10% Rule","")</f>
      </c>
      <c r="D29" s="400">
        <f>IF(D30*0.1&lt;D28,"Exceed 10% Rule","")</f>
      </c>
      <c r="E29" s="302">
        <f>IF(E30*0.1&lt;E28,"Exceed 10% Rule","")</f>
      </c>
      <c r="G29" s="592" t="s">
        <v>789</v>
      </c>
      <c r="H29" s="593"/>
      <c r="I29" s="593"/>
      <c r="J29" s="594">
        <f>IF(J26&gt;0,J28-E34,0)</f>
        <v>0</v>
      </c>
    </row>
    <row r="30" spans="2:10" ht="15.75">
      <c r="B30" s="276" t="s">
        <v>163</v>
      </c>
      <c r="C30" s="401">
        <f>SUM(C24:C28)</f>
        <v>162288</v>
      </c>
      <c r="D30" s="401">
        <f>SUM(D24:D28)</f>
        <v>131294</v>
      </c>
      <c r="E30" s="306">
        <f>SUM(E24:E28)</f>
        <v>157011</v>
      </c>
      <c r="G30" s="1"/>
      <c r="H30" s="1"/>
      <c r="I30" s="1"/>
      <c r="J30" s="1"/>
    </row>
    <row r="31" spans="2:10" ht="15.75">
      <c r="B31" s="121" t="s">
        <v>260</v>
      </c>
      <c r="C31" s="404">
        <f>C22-C30</f>
        <v>16026</v>
      </c>
      <c r="D31" s="404">
        <f>D22-D30</f>
        <v>0</v>
      </c>
      <c r="E31" s="300" t="s">
        <v>139</v>
      </c>
      <c r="G31" s="801" t="str">
        <f>CONCATENATE("Projected Carryover Into ",E1+1,"")</f>
        <v>Projected Carryover Into 2016</v>
      </c>
      <c r="H31" s="804"/>
      <c r="I31" s="804"/>
      <c r="J31" s="805"/>
    </row>
    <row r="32" spans="2:10" ht="15.75">
      <c r="B32" s="266" t="str">
        <f>CONCATENATE("",E1-2,"/",E1-1,"/",E1," Budget Authority Amount:")</f>
        <v>2013/2014/2015 Budget Authority Amount:</v>
      </c>
      <c r="C32" s="301">
        <f>inputOth!B35</f>
        <v>169017</v>
      </c>
      <c r="D32" s="301">
        <f>inputPrYr!D21</f>
        <v>131294</v>
      </c>
      <c r="E32" s="230">
        <f>E30</f>
        <v>157011</v>
      </c>
      <c r="G32" s="581"/>
      <c r="H32" s="583"/>
      <c r="I32" s="583"/>
      <c r="J32" s="606"/>
    </row>
    <row r="33" spans="2:10" ht="15.75">
      <c r="B33" s="252"/>
      <c r="C33" s="791" t="s">
        <v>636</v>
      </c>
      <c r="D33" s="792"/>
      <c r="E33" s="258"/>
      <c r="G33" s="607">
        <f>D31</f>
        <v>0</v>
      </c>
      <c r="H33" s="597" t="str">
        <f>CONCATENATE("",E1-1," Ending Cash Balance (est.)")</f>
        <v>2014 Ending Cash Balance (est.)</v>
      </c>
      <c r="I33" s="608"/>
      <c r="J33" s="606"/>
    </row>
    <row r="34" spans="2:10" ht="15.75">
      <c r="B34" s="439" t="str">
        <f>CONCATENATE(C77,"     ",D77)</f>
        <v>     </v>
      </c>
      <c r="C34" s="793" t="s">
        <v>637</v>
      </c>
      <c r="D34" s="794"/>
      <c r="E34" s="230">
        <f>E30+E33</f>
        <v>157011</v>
      </c>
      <c r="G34" s="607">
        <f>E21</f>
        <v>130109</v>
      </c>
      <c r="H34" s="583" t="str">
        <f>CONCATENATE("",E1," Non-AV Receipts (est.)")</f>
        <v>2015 Non-AV Receipts (est.)</v>
      </c>
      <c r="I34" s="608"/>
      <c r="J34" s="606"/>
    </row>
    <row r="35" spans="2:11" ht="15.75">
      <c r="B35" s="439" t="str">
        <f>CONCATENATE(C78,"     ",D78)</f>
        <v>     </v>
      </c>
      <c r="C35" s="285"/>
      <c r="D35" s="205" t="s">
        <v>164</v>
      </c>
      <c r="E35" s="93">
        <f>IF(E34-E22&gt;0,E34-E22,0)</f>
        <v>26902</v>
      </c>
      <c r="F35" s="284"/>
      <c r="G35" s="609">
        <f>IF(E36&gt;0,E35,E37)</f>
        <v>26902</v>
      </c>
      <c r="H35" s="583" t="str">
        <f>CONCATENATE("",E1," Ad Valorem Tax (est.)")</f>
        <v>2015 Ad Valorem Tax (est.)</v>
      </c>
      <c r="I35" s="608"/>
      <c r="J35" s="606"/>
      <c r="K35" s="595" t="str">
        <f>IF(G35=E37,"","Note: Does not include Delinquent Taxes")</f>
        <v>Note: Does not include Delinquent Taxes</v>
      </c>
    </row>
    <row r="36" spans="2:10" ht="15.75">
      <c r="B36" s="205"/>
      <c r="C36" s="437" t="s">
        <v>638</v>
      </c>
      <c r="D36" s="580">
        <f>inputOth!$E$23</f>
        <v>0.01</v>
      </c>
      <c r="E36" s="230">
        <f>ROUND(IF(D36&gt;0,($E$35*D36),0),0)</f>
        <v>269</v>
      </c>
      <c r="F36" s="435">
        <f>IF(E30/0.95-E30&lt;E33,"Exceeds 5%","")</f>
      </c>
      <c r="G36" s="607">
        <f>SUM(G33:G35)</f>
        <v>157011</v>
      </c>
      <c r="H36" s="583" t="str">
        <f>CONCATENATE("Total ",E1," Resources Available")</f>
        <v>Total 2015 Resources Available</v>
      </c>
      <c r="I36" s="608"/>
      <c r="J36" s="606"/>
    </row>
    <row r="37" spans="2:10" ht="15.75">
      <c r="B37" s="60"/>
      <c r="C37" s="799" t="str">
        <f>CONCATENATE("Amount of  ",$E$1-1," Ad Valorem Tax")</f>
        <v>Amount of  2014 Ad Valorem Tax</v>
      </c>
      <c r="D37" s="800"/>
      <c r="E37" s="303">
        <f>E35+E36</f>
        <v>27171</v>
      </c>
      <c r="G37" s="610"/>
      <c r="H37" s="583"/>
      <c r="I37" s="583"/>
      <c r="J37" s="606"/>
    </row>
    <row r="38" spans="2:10" ht="15.75">
      <c r="B38" s="59" t="s">
        <v>152</v>
      </c>
      <c r="C38" s="291"/>
      <c r="D38" s="291"/>
      <c r="E38" s="291"/>
      <c r="G38" s="609">
        <f>ROUND(C30*0.05+C30,0)</f>
        <v>170402</v>
      </c>
      <c r="H38" s="583" t="str">
        <f>CONCATENATE("Less ",E1-2," Expenditures + 5%")</f>
        <v>Less 2013 Expenditures + 5%</v>
      </c>
      <c r="I38" s="608"/>
      <c r="J38" s="611"/>
    </row>
    <row r="39" spans="2:10" ht="15.75">
      <c r="B39" s="60"/>
      <c r="C39" s="629" t="str">
        <f aca="true" t="shared" si="0" ref="C39:E40">C4</f>
        <v>Prior Year </v>
      </c>
      <c r="D39" s="630" t="str">
        <f t="shared" si="0"/>
        <v>Current Year </v>
      </c>
      <c r="E39" s="185" t="str">
        <f t="shared" si="0"/>
        <v>Proposed Budget </v>
      </c>
      <c r="G39" s="612">
        <f>G36-G38</f>
        <v>-13391</v>
      </c>
      <c r="H39" s="613" t="str">
        <f>CONCATENATE("Projected ",E1+1," carryover (est.)")</f>
        <v>Projected 2016 carryover (est.)</v>
      </c>
      <c r="I39" s="614"/>
      <c r="J39" s="615"/>
    </row>
    <row r="40" spans="2:10" ht="15.75">
      <c r="B40" s="416" t="str">
        <f>inputPrYr!B22</f>
        <v>Council on Aging</v>
      </c>
      <c r="C40" s="402" t="str">
        <f t="shared" si="0"/>
        <v>Actual for 2013</v>
      </c>
      <c r="D40" s="402" t="str">
        <f t="shared" si="0"/>
        <v>Estimate for 2014</v>
      </c>
      <c r="E40" s="267" t="str">
        <f t="shared" si="0"/>
        <v>Year for 2015</v>
      </c>
      <c r="G40" s="1"/>
      <c r="H40" s="1"/>
      <c r="I40" s="1"/>
      <c r="J40" s="1"/>
    </row>
    <row r="41" spans="2:10" ht="15.75">
      <c r="B41" s="121" t="s">
        <v>259</v>
      </c>
      <c r="C41" s="399">
        <v>0</v>
      </c>
      <c r="D41" s="403">
        <f>C60</f>
        <v>586</v>
      </c>
      <c r="E41" s="230">
        <f>D60</f>
        <v>1259</v>
      </c>
      <c r="G41" s="788" t="s">
        <v>790</v>
      </c>
      <c r="H41" s="789"/>
      <c r="I41" s="789"/>
      <c r="J41" s="790"/>
    </row>
    <row r="42" spans="2:10" ht="15.75">
      <c r="B42" s="268" t="s">
        <v>261</v>
      </c>
      <c r="C42" s="270"/>
      <c r="D42" s="270"/>
      <c r="E42" s="100"/>
      <c r="G42" s="596"/>
      <c r="H42" s="597"/>
      <c r="I42" s="598"/>
      <c r="J42" s="599"/>
    </row>
    <row r="43" spans="2:10" ht="15.75">
      <c r="B43" s="121" t="s">
        <v>153</v>
      </c>
      <c r="C43" s="399">
        <v>32662</v>
      </c>
      <c r="D43" s="403">
        <f>IF(inputPrYr!H22&gt;0,inputPrYr!H22,inputPrYr!E22)</f>
        <v>35651</v>
      </c>
      <c r="E43" s="300" t="s">
        <v>139</v>
      </c>
      <c r="G43" s="600">
        <f>summ!H20</f>
        <v>0.511</v>
      </c>
      <c r="H43" s="597" t="str">
        <f>CONCATENATE("",E1," Fund Mill Rate")</f>
        <v>2015 Fund Mill Rate</v>
      </c>
      <c r="I43" s="598"/>
      <c r="J43" s="599"/>
    </row>
    <row r="44" spans="2:10" ht="15.75">
      <c r="B44" s="121" t="s">
        <v>154</v>
      </c>
      <c r="C44" s="399">
        <v>67</v>
      </c>
      <c r="D44" s="399">
        <v>226</v>
      </c>
      <c r="E44" s="85">
        <v>225</v>
      </c>
      <c r="G44" s="601">
        <f>summ!E20</f>
        <v>0.512</v>
      </c>
      <c r="H44" s="597" t="str">
        <f>CONCATENATE("",E1-1," Fund Mill Rate")</f>
        <v>2014 Fund Mill Rate</v>
      </c>
      <c r="I44" s="598"/>
      <c r="J44" s="599"/>
    </row>
    <row r="45" spans="2:10" ht="15.75">
      <c r="B45" s="121" t="s">
        <v>155</v>
      </c>
      <c r="C45" s="399">
        <v>3551</v>
      </c>
      <c r="D45" s="399">
        <v>3261</v>
      </c>
      <c r="E45" s="230">
        <f>mvalloc!E12</f>
        <v>3346</v>
      </c>
      <c r="G45" s="602">
        <f>summ!H39</f>
        <v>77.58699999999999</v>
      </c>
      <c r="H45" s="597" t="str">
        <f>CONCATENATE("Total ",E1," Mill Rate")</f>
        <v>Total 2015 Mill Rate</v>
      </c>
      <c r="I45" s="598"/>
      <c r="J45" s="599"/>
    </row>
    <row r="46" spans="2:10" ht="15.75">
      <c r="B46" s="121" t="s">
        <v>156</v>
      </c>
      <c r="C46" s="399">
        <v>69</v>
      </c>
      <c r="D46" s="399">
        <v>75</v>
      </c>
      <c r="E46" s="230">
        <f>mvalloc!F12</f>
        <v>66</v>
      </c>
      <c r="G46" s="601">
        <f>summ!E39</f>
        <v>97.844</v>
      </c>
      <c r="H46" s="603" t="str">
        <f>CONCATENATE("Total ",E1-1," Mill Rate")</f>
        <v>Total 2014 Mill Rate</v>
      </c>
      <c r="I46" s="604"/>
      <c r="J46" s="605"/>
    </row>
    <row r="47" spans="2:10" ht="15.75">
      <c r="B47" s="270" t="s">
        <v>220</v>
      </c>
      <c r="C47" s="399">
        <v>544</v>
      </c>
      <c r="D47" s="399">
        <v>580</v>
      </c>
      <c r="E47" s="230">
        <f>mvalloc!G12</f>
        <v>593</v>
      </c>
      <c r="G47" s="1"/>
      <c r="H47" s="1"/>
      <c r="I47" s="1"/>
      <c r="J47" s="1"/>
    </row>
    <row r="48" spans="2:10" ht="15.75">
      <c r="B48" s="270" t="s">
        <v>1076</v>
      </c>
      <c r="C48" s="399"/>
      <c r="D48" s="399"/>
      <c r="E48" s="230">
        <v>113</v>
      </c>
      <c r="G48" s="688" t="s">
        <v>864</v>
      </c>
      <c r="H48" s="651"/>
      <c r="I48" s="650" t="str">
        <f>cert!E47</f>
        <v>No</v>
      </c>
      <c r="J48" s="1"/>
    </row>
    <row r="49" spans="2:10" ht="15.75">
      <c r="B49" s="270" t="s">
        <v>1078</v>
      </c>
      <c r="C49" s="399"/>
      <c r="D49" s="399">
        <v>302</v>
      </c>
      <c r="E49" s="230">
        <v>302</v>
      </c>
      <c r="G49" s="740"/>
      <c r="H49" s="741"/>
      <c r="I49" s="742"/>
      <c r="J49" s="1"/>
    </row>
    <row r="50" spans="2:10" ht="15.75">
      <c r="B50" s="274" t="s">
        <v>68</v>
      </c>
      <c r="C50" s="399"/>
      <c r="D50" s="399"/>
      <c r="E50" s="85"/>
      <c r="G50" s="1"/>
      <c r="H50" s="1"/>
      <c r="I50" s="1"/>
      <c r="J50" s="1"/>
    </row>
    <row r="51" spans="2:10" ht="15.75">
      <c r="B51" s="274" t="s">
        <v>634</v>
      </c>
      <c r="C51" s="400">
        <f>IF(C52*0.1&lt;C50,"Exceed 10% Rule","")</f>
      </c>
      <c r="D51" s="400">
        <f>IF(D52*0.1&lt;D50,"Exceed 10% Rule","")</f>
      </c>
      <c r="E51" s="302">
        <f>IF(E52*0.1+E66&lt;E50,"Exceed 10% Rule","")</f>
      </c>
      <c r="G51" s="1"/>
      <c r="H51" s="1"/>
      <c r="I51" s="1"/>
      <c r="J51" s="1"/>
    </row>
    <row r="52" spans="2:10" ht="15.75">
      <c r="B52" s="276" t="s">
        <v>159</v>
      </c>
      <c r="C52" s="401">
        <f>SUM(C43:C50)</f>
        <v>36893</v>
      </c>
      <c r="D52" s="401">
        <f>SUM(D43:D50)</f>
        <v>40095</v>
      </c>
      <c r="E52" s="306">
        <f>SUM(E44:E50)</f>
        <v>4645</v>
      </c>
      <c r="G52" s="1"/>
      <c r="H52" s="1"/>
      <c r="I52" s="1"/>
      <c r="J52" s="1"/>
    </row>
    <row r="53" spans="2:10" ht="15.75">
      <c r="B53" s="276" t="s">
        <v>160</v>
      </c>
      <c r="C53" s="401">
        <f>C41+C52</f>
        <v>36893</v>
      </c>
      <c r="D53" s="401">
        <f>D41+D52</f>
        <v>40681</v>
      </c>
      <c r="E53" s="306">
        <f>E41+E52</f>
        <v>5904</v>
      </c>
      <c r="G53" s="1"/>
      <c r="H53" s="1"/>
      <c r="I53" s="1"/>
      <c r="J53" s="1"/>
    </row>
    <row r="54" spans="2:10" ht="15.75">
      <c r="B54" s="121" t="s">
        <v>162</v>
      </c>
      <c r="C54" s="274"/>
      <c r="D54" s="274"/>
      <c r="E54" s="81"/>
      <c r="G54" s="1"/>
      <c r="H54" s="1"/>
      <c r="I54" s="1"/>
      <c r="J54" s="1"/>
    </row>
    <row r="55" spans="2:10" ht="15.75">
      <c r="B55" s="282" t="s">
        <v>976</v>
      </c>
      <c r="C55" s="399">
        <v>36101</v>
      </c>
      <c r="D55" s="399">
        <v>38956</v>
      </c>
      <c r="E55" s="85">
        <v>45354</v>
      </c>
      <c r="G55" s="1"/>
      <c r="H55" s="1"/>
      <c r="I55" s="1"/>
      <c r="J55" s="1"/>
    </row>
    <row r="56" spans="2:10" ht="15.75">
      <c r="B56" s="274" t="s">
        <v>69</v>
      </c>
      <c r="C56" s="399">
        <v>206</v>
      </c>
      <c r="D56" s="399">
        <v>466</v>
      </c>
      <c r="E56" s="93">
        <f>Nhood!E11</f>
        <v>908</v>
      </c>
      <c r="G56" s="1"/>
      <c r="H56" s="1"/>
      <c r="I56" s="1"/>
      <c r="J56" s="1"/>
    </row>
    <row r="57" spans="2:10" ht="15.75">
      <c r="B57" s="274" t="s">
        <v>68</v>
      </c>
      <c r="C57" s="399"/>
      <c r="D57" s="399"/>
      <c r="E57" s="85"/>
      <c r="G57" s="1"/>
      <c r="H57" s="1"/>
      <c r="I57" s="1"/>
      <c r="J57" s="1"/>
    </row>
    <row r="58" spans="2:10" ht="15.75">
      <c r="B58" s="274" t="s">
        <v>633</v>
      </c>
      <c r="C58" s="400">
        <f>IF(C59*0.1&lt;C57,"Exceed 10% Rule","")</f>
      </c>
      <c r="D58" s="400">
        <f>IF(D59*0.1&lt;D57,"Exceed 10% Rule","")</f>
      </c>
      <c r="E58" s="302">
        <f>IF(E59*0.1&lt;E57,"Exceed 10% Rule","")</f>
      </c>
      <c r="G58" s="1"/>
      <c r="H58" s="1"/>
      <c r="I58" s="1"/>
      <c r="J58" s="1"/>
    </row>
    <row r="59" spans="2:10" ht="15.75">
      <c r="B59" s="276" t="s">
        <v>163</v>
      </c>
      <c r="C59" s="401">
        <f>SUM(C55:C57)</f>
        <v>36307</v>
      </c>
      <c r="D59" s="401">
        <f>SUM(D55:D57)</f>
        <v>39422</v>
      </c>
      <c r="E59" s="306">
        <f>SUM(E55:E57)</f>
        <v>46262</v>
      </c>
      <c r="G59" s="1"/>
      <c r="H59" s="1"/>
      <c r="I59" s="1"/>
      <c r="J59" s="1"/>
    </row>
    <row r="60" spans="2:10" ht="15.75">
      <c r="B60" s="121" t="s">
        <v>260</v>
      </c>
      <c r="C60" s="404">
        <f>C53-C59</f>
        <v>586</v>
      </c>
      <c r="D60" s="404">
        <f>D53-D59</f>
        <v>1259</v>
      </c>
      <c r="E60" s="300" t="s">
        <v>139</v>
      </c>
      <c r="G60" s="1"/>
      <c r="H60" s="1"/>
      <c r="I60" s="1"/>
      <c r="J60" s="1"/>
    </row>
    <row r="61" spans="2:10" ht="15.75">
      <c r="B61" s="266" t="str">
        <f>CONCATENATE("",E1-2,"/",E1-1,"/",E1," Budget Authority Amount:")</f>
        <v>2013/2014/2015 Budget Authority Amount:</v>
      </c>
      <c r="C61" s="301">
        <f>inputOth!B36</f>
        <v>36307</v>
      </c>
      <c r="D61" s="301">
        <f>inputPrYr!D22</f>
        <v>39422</v>
      </c>
      <c r="E61" s="230">
        <f>E59</f>
        <v>46262</v>
      </c>
      <c r="G61" s="1"/>
      <c r="H61" s="1"/>
      <c r="I61" s="1"/>
      <c r="J61" s="1"/>
    </row>
    <row r="62" spans="2:10" ht="15.75">
      <c r="B62" s="252"/>
      <c r="C62" s="791" t="s">
        <v>636</v>
      </c>
      <c r="D62" s="792"/>
      <c r="E62" s="85"/>
      <c r="G62" s="1"/>
      <c r="H62" s="1"/>
      <c r="I62" s="1"/>
      <c r="J62" s="1"/>
    </row>
    <row r="63" spans="2:10" ht="15.75">
      <c r="B63" s="438" t="str">
        <f>CONCATENATE(C79,"     ",D79)</f>
        <v>     </v>
      </c>
      <c r="C63" s="793" t="s">
        <v>637</v>
      </c>
      <c r="D63" s="794"/>
      <c r="E63" s="230">
        <f>E59+E62</f>
        <v>46262</v>
      </c>
      <c r="G63" s="1"/>
      <c r="H63" s="1"/>
      <c r="I63" s="1"/>
      <c r="J63" s="1"/>
    </row>
    <row r="64" spans="2:10" ht="15.75">
      <c r="B64" s="438" t="str">
        <f>CONCATENATE(C80,"     ",D80)</f>
        <v>     </v>
      </c>
      <c r="C64" s="285"/>
      <c r="D64" s="205" t="s">
        <v>164</v>
      </c>
      <c r="E64" s="93">
        <f>IF(E63-E53&gt;0,E63-E53,0)</f>
        <v>40358</v>
      </c>
      <c r="G64" s="1"/>
      <c r="H64" s="1"/>
      <c r="I64" s="1"/>
      <c r="J64" s="1"/>
    </row>
    <row r="65" spans="2:10" ht="15.75">
      <c r="B65" s="205"/>
      <c r="C65" s="437" t="s">
        <v>638</v>
      </c>
      <c r="D65" s="580">
        <f>inputOth!$E$23</f>
        <v>0.01</v>
      </c>
      <c r="E65" s="230">
        <f>ROUND(IF(D65&gt;0,($E$64*D65),0),0)</f>
        <v>404</v>
      </c>
      <c r="G65" s="801" t="str">
        <f>CONCATENATE("Desired Carryover Into ",E1+1,"")</f>
        <v>Desired Carryover Into 2016</v>
      </c>
      <c r="H65" s="802"/>
      <c r="I65" s="802"/>
      <c r="J65" s="770"/>
    </row>
    <row r="66" spans="2:10" ht="15.75">
      <c r="B66" s="60"/>
      <c r="C66" s="799" t="str">
        <f>CONCATENATE("Amount of  ",$E$1-1," Ad Valorem Tax")</f>
        <v>Amount of  2014 Ad Valorem Tax</v>
      </c>
      <c r="D66" s="800"/>
      <c r="E66" s="303">
        <f>E64+E65</f>
        <v>40762</v>
      </c>
      <c r="G66" s="581"/>
      <c r="H66" s="582"/>
      <c r="I66" s="583"/>
      <c r="J66" s="584"/>
    </row>
    <row r="67" spans="2:10" ht="15.75">
      <c r="B67" s="252"/>
      <c r="C67" s="720" t="s">
        <v>1024</v>
      </c>
      <c r="D67" s="60"/>
      <c r="E67" s="60"/>
      <c r="G67" s="585" t="s">
        <v>639</v>
      </c>
      <c r="H67" s="583"/>
      <c r="I67" s="583"/>
      <c r="J67" s="586">
        <v>0</v>
      </c>
    </row>
    <row r="68" spans="7:10" ht="15.75">
      <c r="G68" s="581" t="s">
        <v>640</v>
      </c>
      <c r="H68" s="582"/>
      <c r="I68" s="582"/>
      <c r="J68" s="587">
        <f>IF(J67=0,"",ROUND((J67+E66-G80)/inputOth!E6*1000,3)-G85)</f>
      </c>
    </row>
    <row r="69" spans="7:10" ht="15.75">
      <c r="G69" s="588" t="str">
        <f>CONCATENATE("",E1," Tot Exp/Non-Appr Must Be:")</f>
        <v>2015 Tot Exp/Non-Appr Must Be:</v>
      </c>
      <c r="H69" s="589"/>
      <c r="I69" s="590"/>
      <c r="J69" s="591">
        <f>IF(J67&gt;0,IF(E63&lt;E53,IF(J67=G80,E63,((J67-G80)*(1-D65))+E53),E63+(J67-G80)),0)</f>
        <v>0</v>
      </c>
    </row>
    <row r="70" spans="7:10" ht="15.75">
      <c r="G70" s="592" t="s">
        <v>789</v>
      </c>
      <c r="H70" s="593"/>
      <c r="I70" s="593"/>
      <c r="J70" s="594">
        <f>IF(J67&gt;0,J69-E63,0)</f>
        <v>0</v>
      </c>
    </row>
    <row r="71" spans="7:10" ht="15.75">
      <c r="G71" s="1"/>
      <c r="H71" s="1"/>
      <c r="I71" s="1"/>
      <c r="J71" s="1"/>
    </row>
    <row r="72" spans="7:10" ht="15.75">
      <c r="G72" s="801" t="str">
        <f>CONCATENATE("Projected Carryover Into ",E1+1,"")</f>
        <v>Projected Carryover Into 2016</v>
      </c>
      <c r="H72" s="806"/>
      <c r="I72" s="806"/>
      <c r="J72" s="805"/>
    </row>
    <row r="73" spans="7:10" ht="15.75">
      <c r="G73" s="616"/>
      <c r="H73" s="582"/>
      <c r="I73" s="582"/>
      <c r="J73" s="611"/>
    </row>
    <row r="74" spans="7:10" ht="15.75">
      <c r="G74" s="607">
        <f>D60</f>
        <v>1259</v>
      </c>
      <c r="H74" s="597" t="str">
        <f>CONCATENATE("",E1-1," Ending Cash Balance (est.)")</f>
        <v>2014 Ending Cash Balance (est.)</v>
      </c>
      <c r="I74" s="608"/>
      <c r="J74" s="611"/>
    </row>
    <row r="75" spans="7:10" ht="15.75">
      <c r="G75" s="607">
        <f>E52</f>
        <v>4645</v>
      </c>
      <c r="H75" s="583" t="str">
        <f>CONCATENATE("",E1," Non-AV Receipts (est.)")</f>
        <v>2015 Non-AV Receipts (est.)</v>
      </c>
      <c r="I75" s="608"/>
      <c r="J75" s="611"/>
    </row>
    <row r="76" spans="6:11" ht="15.75">
      <c r="F76" s="284"/>
      <c r="G76" s="609">
        <f>IF(E65&gt;0,E64,E66)</f>
        <v>40358</v>
      </c>
      <c r="H76" s="583" t="str">
        <f>CONCATENATE("",E1," Ad Valorem Tax (est.)")</f>
        <v>2015 Ad Valorem Tax (est.)</v>
      </c>
      <c r="I76" s="608"/>
      <c r="J76" s="611"/>
      <c r="K76" s="595" t="str">
        <f>IF(G76=E66,"","Note: Does not include Delinquent Taxes")</f>
        <v>Note: Does not include Delinquent Taxes</v>
      </c>
    </row>
    <row r="77" spans="3:10" ht="15.75">
      <c r="C77" s="48">
        <f>IF(C30&gt;C32,"See Tab A","")</f>
      </c>
      <c r="D77" s="48">
        <f>IF(D30&gt;D32,"See Tab C","")</f>
      </c>
      <c r="F77" s="435">
        <f>IF(E59/0.95-E59&lt;E62,"Exceeds 5%","")</f>
      </c>
      <c r="G77" s="617">
        <f>SUM(G74:G76)</f>
        <v>46262</v>
      </c>
      <c r="H77" s="583" t="str">
        <f>CONCATENATE("Total ",E1," Resources Available")</f>
        <v>Total 2015 Resources Available</v>
      </c>
      <c r="I77" s="618"/>
      <c r="J77" s="611"/>
    </row>
    <row r="78" spans="3:10" ht="15.75">
      <c r="C78" s="48">
        <f>IF(C31&lt;0,"See Tab B","")</f>
      </c>
      <c r="D78" s="48">
        <f>IF(D31&lt;0,"See Tab D","")</f>
      </c>
      <c r="G78" s="619"/>
      <c r="H78" s="620"/>
      <c r="I78" s="582"/>
      <c r="J78" s="611"/>
    </row>
    <row r="79" spans="3:10" ht="15.75">
      <c r="C79" s="48">
        <f>IF(C59&gt;C61,"See Tab A","")</f>
      </c>
      <c r="D79" s="48">
        <f>IF(D59&gt;D61,"See Tab C","")</f>
      </c>
      <c r="G79" s="621">
        <f>ROUND(C59*0.05+C59,0)</f>
        <v>38122</v>
      </c>
      <c r="H79" s="583" t="str">
        <f>CONCATENATE("Less ",E1-2," Expenditures + 5%")</f>
        <v>Less 2013 Expenditures + 5%</v>
      </c>
      <c r="I79" s="618"/>
      <c r="J79" s="611"/>
    </row>
    <row r="80" spans="3:10" ht="15.75">
      <c r="C80" s="48">
        <f>IF(C60&lt;0,"See Tab B","")</f>
      </c>
      <c r="D80" s="48">
        <f>IF(D60&lt;0,"See Tab D","")</f>
      </c>
      <c r="G80" s="622">
        <f>G77-G79</f>
        <v>8140</v>
      </c>
      <c r="H80" s="613" t="str">
        <f>CONCATENATE("Projected ",E1+1," carryover (est.)")</f>
        <v>Projected 2016 carryover (est.)</v>
      </c>
      <c r="I80" s="623"/>
      <c r="J80" s="624"/>
    </row>
    <row r="81" spans="7:10" ht="15.75">
      <c r="G81" s="1"/>
      <c r="H81" s="1"/>
      <c r="I81" s="1"/>
      <c r="J81" s="1"/>
    </row>
    <row r="82" spans="7:10" ht="15.75">
      <c r="G82" s="788" t="s">
        <v>790</v>
      </c>
      <c r="H82" s="789"/>
      <c r="I82" s="789"/>
      <c r="J82" s="790"/>
    </row>
    <row r="83" spans="7:10" ht="15.75">
      <c r="G83" s="596"/>
      <c r="H83" s="597"/>
      <c r="I83" s="598"/>
      <c r="J83" s="599"/>
    </row>
    <row r="84" spans="7:10" ht="15.75">
      <c r="G84" s="600">
        <f>summ!H21</f>
        <v>0.767</v>
      </c>
      <c r="H84" s="597" t="str">
        <f>CONCATENATE("",E1," Fund Mill Rate")</f>
        <v>2015 Fund Mill Rate</v>
      </c>
      <c r="I84" s="598"/>
      <c r="J84" s="599"/>
    </row>
    <row r="85" spans="7:10" ht="15.75">
      <c r="G85" s="601">
        <f>summ!E21</f>
        <v>0.769</v>
      </c>
      <c r="H85" s="597" t="str">
        <f>CONCATENATE("",E1-1," Fund Mill Rate")</f>
        <v>2014 Fund Mill Rate</v>
      </c>
      <c r="I85" s="598"/>
      <c r="J85" s="599"/>
    </row>
    <row r="86" spans="7:10" ht="15.75">
      <c r="G86" s="602">
        <f>summ!H39</f>
        <v>77.58699999999999</v>
      </c>
      <c r="H86" s="597" t="str">
        <f>CONCATENATE("Total ",E1," Mill Rate")</f>
        <v>Total 2015 Mill Rate</v>
      </c>
      <c r="I86" s="598"/>
      <c r="J86" s="599"/>
    </row>
    <row r="87" spans="7:10" ht="15.75">
      <c r="G87" s="601">
        <f>summ!E39</f>
        <v>97.844</v>
      </c>
      <c r="H87" s="603" t="str">
        <f>CONCATENATE("Total ",E1-1," Mill Rate")</f>
        <v>Total 2014 Mill Rate</v>
      </c>
      <c r="I87" s="604"/>
      <c r="J87" s="605"/>
    </row>
    <row r="89" spans="7:9" ht="15.75">
      <c r="G89" s="689" t="s">
        <v>864</v>
      </c>
      <c r="H89" s="651"/>
      <c r="I89" s="650" t="str">
        <f>cert!E47</f>
        <v>No</v>
      </c>
    </row>
    <row r="92" ht="15.75" hidden="1"/>
    <row r="93" ht="15.75" hidden="1"/>
    <row r="94" ht="15.75" hidden="1"/>
    <row r="95" ht="15.75" hidden="1"/>
  </sheetData>
  <sheetProtection/>
  <mergeCells count="12">
    <mergeCell ref="C33:D33"/>
    <mergeCell ref="C34:D34"/>
    <mergeCell ref="C62:D62"/>
    <mergeCell ref="C63:D63"/>
    <mergeCell ref="C66:D66"/>
    <mergeCell ref="C37:D37"/>
    <mergeCell ref="G24:J24"/>
    <mergeCell ref="G31:J31"/>
    <mergeCell ref="G41:J41"/>
    <mergeCell ref="G65:J65"/>
    <mergeCell ref="G72:J72"/>
    <mergeCell ref="G82:J82"/>
  </mergeCells>
  <conditionalFormatting sqref="E57">
    <cfRule type="cellIs" priority="3" dxfId="181" operator="greaterThan" stopIfTrue="1">
      <formula>$E$59*0.1</formula>
    </cfRule>
  </conditionalFormatting>
  <conditionalFormatting sqref="E62">
    <cfRule type="cellIs" priority="4" dxfId="181" operator="greaterThan" stopIfTrue="1">
      <formula>$E$59/0.95-$E$59</formula>
    </cfRule>
  </conditionalFormatting>
  <conditionalFormatting sqref="E33">
    <cfRule type="cellIs" priority="5" dxfId="181" operator="greaterThan" stopIfTrue="1">
      <formula>$E$30/0.95-$E$30</formula>
    </cfRule>
  </conditionalFormatting>
  <conditionalFormatting sqref="E28">
    <cfRule type="cellIs" priority="6" dxfId="181" operator="greaterThan" stopIfTrue="1">
      <formula>$E$30*0.1</formula>
    </cfRule>
  </conditionalFormatting>
  <conditionalFormatting sqref="C30">
    <cfRule type="cellIs" priority="7" dxfId="1" operator="greaterThan" stopIfTrue="1">
      <formula>$C$32</formula>
    </cfRule>
  </conditionalFormatting>
  <conditionalFormatting sqref="C60 C31">
    <cfRule type="cellIs" priority="8" dxfId="1" operator="lessThan" stopIfTrue="1">
      <formula>0</formula>
    </cfRule>
  </conditionalFormatting>
  <conditionalFormatting sqref="D30">
    <cfRule type="cellIs" priority="9" dxfId="1" operator="greaterThan" stopIfTrue="1">
      <formula>$D$32</formula>
    </cfRule>
  </conditionalFormatting>
  <conditionalFormatting sqref="C59">
    <cfRule type="cellIs" priority="10" dxfId="1" operator="greaterThan" stopIfTrue="1">
      <formula>$C$61</formula>
    </cfRule>
  </conditionalFormatting>
  <conditionalFormatting sqref="D59">
    <cfRule type="cellIs" priority="11" dxfId="1" operator="greaterThan" stopIfTrue="1">
      <formula>$D$61</formula>
    </cfRule>
  </conditionalFormatting>
  <conditionalFormatting sqref="C57">
    <cfRule type="cellIs" priority="12" dxfId="1" operator="greaterThan" stopIfTrue="1">
      <formula>$C$59*0.1</formula>
    </cfRule>
  </conditionalFormatting>
  <conditionalFormatting sqref="D57">
    <cfRule type="cellIs" priority="13" dxfId="1" operator="greaterThan" stopIfTrue="1">
      <formula>$D$59*0.1</formula>
    </cfRule>
  </conditionalFormatting>
  <conditionalFormatting sqref="E50">
    <cfRule type="cellIs" priority="14" dxfId="181" operator="greaterThan" stopIfTrue="1">
      <formula>$E$52*0.1+E66</formula>
    </cfRule>
  </conditionalFormatting>
  <conditionalFormatting sqref="C50">
    <cfRule type="cellIs" priority="15" dxfId="1" operator="greaterThan" stopIfTrue="1">
      <formula>$C$52*0.1</formula>
    </cfRule>
  </conditionalFormatting>
  <conditionalFormatting sqref="D50">
    <cfRule type="cellIs" priority="16" dxfId="1" operator="greaterThan" stopIfTrue="1">
      <formula>$D$52*0.1</formula>
    </cfRule>
  </conditionalFormatting>
  <conditionalFormatting sqref="C28">
    <cfRule type="cellIs" priority="17" dxfId="1" operator="greaterThan" stopIfTrue="1">
      <formula>$C$30*0.1</formula>
    </cfRule>
  </conditionalFormatting>
  <conditionalFormatting sqref="D28">
    <cfRule type="cellIs" priority="18" dxfId="1" operator="greaterThan" stopIfTrue="1">
      <formula>$D$30*0.1</formula>
    </cfRule>
  </conditionalFormatting>
  <conditionalFormatting sqref="E19">
    <cfRule type="cellIs" priority="19" dxfId="181" operator="greaterThan" stopIfTrue="1">
      <formula>$E$21*0.1+E37</formula>
    </cfRule>
  </conditionalFormatting>
  <conditionalFormatting sqref="C19">
    <cfRule type="cellIs" priority="20" dxfId="1" operator="greaterThan" stopIfTrue="1">
      <formula>$C$21*0.1</formula>
    </cfRule>
  </conditionalFormatting>
  <conditionalFormatting sqref="D19">
    <cfRule type="cellIs" priority="21" dxfId="1" operator="greaterThan" stopIfTrue="1">
      <formula>$D$21*0.1</formula>
    </cfRule>
  </conditionalFormatting>
  <conditionalFormatting sqref="D60 D31">
    <cfRule type="cellIs" priority="2" dxfId="0" operator="lessThan" stopIfTrue="1">
      <formula>0</formula>
    </cfRule>
  </conditionalFormatting>
  <printOptions/>
  <pageMargins left="0.63" right="0.5" top="0.74" bottom="0.34" header="0.5" footer="0"/>
  <pageSetup blackAndWhite="1" horizontalDpi="120" verticalDpi="120" orientation="portrait" scale="76" r:id="rId1"/>
  <headerFooter alignWithMargins="0">
    <oddHeader>&amp;RState of Kansas
County
</oddHeader>
  </headerFooter>
</worksheet>
</file>

<file path=xl/worksheets/sheet18.xml><?xml version="1.0" encoding="utf-8"?>
<worksheet xmlns="http://schemas.openxmlformats.org/spreadsheetml/2006/main" xmlns:r="http://schemas.openxmlformats.org/officeDocument/2006/relationships">
  <dimension ref="B1:K84"/>
  <sheetViews>
    <sheetView zoomScalePageLayoutView="0" workbookViewId="0" topLeftCell="A38">
      <selection activeCell="E117" sqref="E117"/>
    </sheetView>
  </sheetViews>
  <sheetFormatPr defaultColWidth="8.796875" defaultRowHeight="15"/>
  <cols>
    <col min="1" max="1" width="2.3984375" style="48" customWidth="1"/>
    <col min="2" max="2" width="31.09765625" style="48" customWidth="1"/>
    <col min="3" max="4" width="15.796875" style="48" customWidth="1"/>
    <col min="5" max="5" width="16.19921875" style="48" customWidth="1"/>
    <col min="6" max="6" width="7.3984375" style="48" customWidth="1"/>
    <col min="7" max="7" width="10.19921875" style="48" customWidth="1"/>
    <col min="8" max="8" width="8.8984375" style="48" customWidth="1"/>
    <col min="9" max="9" width="5" style="48" customWidth="1"/>
    <col min="10" max="10" width="10" style="48" customWidth="1"/>
    <col min="11" max="16384" width="8.8984375" style="48" customWidth="1"/>
  </cols>
  <sheetData>
    <row r="1" spans="2:5" ht="15.75">
      <c r="B1" s="198" t="str">
        <f>(inputPrYr!C2)</f>
        <v>Sheridan County</v>
      </c>
      <c r="C1" s="60"/>
      <c r="D1" s="60"/>
      <c r="E1" s="251">
        <f>inputPrYr!C4</f>
        <v>2015</v>
      </c>
    </row>
    <row r="2" spans="2:5" ht="15.75">
      <c r="B2" s="60"/>
      <c r="C2" s="60"/>
      <c r="D2" s="60"/>
      <c r="E2" s="205"/>
    </row>
    <row r="3" spans="2:5" ht="15.75">
      <c r="B3" s="125" t="s">
        <v>227</v>
      </c>
      <c r="C3" s="297"/>
      <c r="D3" s="297"/>
      <c r="E3" s="298"/>
    </row>
    <row r="4" spans="2:5" ht="15.75">
      <c r="B4" s="59" t="s">
        <v>152</v>
      </c>
      <c r="C4" s="629" t="s">
        <v>791</v>
      </c>
      <c r="D4" s="630" t="s">
        <v>792</v>
      </c>
      <c r="E4" s="185" t="s">
        <v>793</v>
      </c>
    </row>
    <row r="5" spans="2:5" ht="15.75">
      <c r="B5" s="417" t="str">
        <f>inputPrYr!B23</f>
        <v>Library Service Contract</v>
      </c>
      <c r="C5" s="402" t="str">
        <f>CONCATENATE("Actual for ",E1-2,"")</f>
        <v>Actual for 2013</v>
      </c>
      <c r="D5" s="402" t="str">
        <f>CONCATENATE("Estimate for ",E1-1,"")</f>
        <v>Estimate for 2014</v>
      </c>
      <c r="E5" s="267" t="str">
        <f>CONCATENATE("Year for ",E1,"")</f>
        <v>Year for 2015</v>
      </c>
    </row>
    <row r="6" spans="2:5" ht="15.75">
      <c r="B6" s="121" t="s">
        <v>259</v>
      </c>
      <c r="C6" s="399">
        <v>0</v>
      </c>
      <c r="D6" s="403">
        <f>C25</f>
        <v>305</v>
      </c>
      <c r="E6" s="230">
        <f>D25</f>
        <v>468</v>
      </c>
    </row>
    <row r="7" spans="2:5" ht="15.75">
      <c r="B7" s="255" t="s">
        <v>261</v>
      </c>
      <c r="C7" s="270"/>
      <c r="D7" s="270"/>
      <c r="E7" s="100"/>
    </row>
    <row r="8" spans="2:5" ht="15.75">
      <c r="B8" s="121" t="s">
        <v>153</v>
      </c>
      <c r="C8" s="399">
        <v>15772</v>
      </c>
      <c r="D8" s="403">
        <f>IF(inputPrYr!H23&gt;0,inputPrYr!H23,inputPrYr!E23)</f>
        <v>15737</v>
      </c>
      <c r="E8" s="300" t="s">
        <v>139</v>
      </c>
    </row>
    <row r="9" spans="2:5" ht="15.75">
      <c r="B9" s="121" t="s">
        <v>154</v>
      </c>
      <c r="C9" s="399">
        <v>34</v>
      </c>
      <c r="D9" s="399">
        <v>112</v>
      </c>
      <c r="E9" s="85">
        <v>100</v>
      </c>
    </row>
    <row r="10" spans="2:5" ht="15.75">
      <c r="B10" s="121" t="s">
        <v>155</v>
      </c>
      <c r="C10" s="399">
        <v>1750</v>
      </c>
      <c r="D10" s="399">
        <v>1576</v>
      </c>
      <c r="E10" s="230">
        <f>mvalloc!E13</f>
        <v>1477</v>
      </c>
    </row>
    <row r="11" spans="2:5" ht="15.75">
      <c r="B11" s="121" t="s">
        <v>156</v>
      </c>
      <c r="C11" s="399">
        <v>34</v>
      </c>
      <c r="D11" s="399">
        <v>28</v>
      </c>
      <c r="E11" s="230">
        <f>mvalloc!F13</f>
        <v>29</v>
      </c>
    </row>
    <row r="12" spans="2:5" ht="15.75">
      <c r="B12" s="270" t="s">
        <v>220</v>
      </c>
      <c r="C12" s="399">
        <v>302</v>
      </c>
      <c r="D12" s="399">
        <v>265</v>
      </c>
      <c r="E12" s="230">
        <f>mvalloc!G13</f>
        <v>262</v>
      </c>
    </row>
    <row r="13" spans="2:5" ht="15.75">
      <c r="B13" s="270" t="s">
        <v>1076</v>
      </c>
      <c r="C13" s="399"/>
      <c r="D13" s="399"/>
      <c r="E13" s="230">
        <v>50</v>
      </c>
    </row>
    <row r="14" spans="2:5" ht="15.75">
      <c r="B14" s="270" t="s">
        <v>1078</v>
      </c>
      <c r="C14" s="399"/>
      <c r="D14" s="399">
        <v>146</v>
      </c>
      <c r="E14" s="230">
        <v>146</v>
      </c>
    </row>
    <row r="15" spans="2:5" ht="15.75">
      <c r="B15" s="274" t="s">
        <v>68</v>
      </c>
      <c r="C15" s="399"/>
      <c r="D15" s="399"/>
      <c r="E15" s="85"/>
    </row>
    <row r="16" spans="2:5" ht="15.75">
      <c r="B16" s="274" t="s">
        <v>634</v>
      </c>
      <c r="C16" s="400">
        <f>IF(C17*0.1&lt;C15,"Exceed 10% Rule","")</f>
      </c>
      <c r="D16" s="400">
        <f>IF(D17*0.1&lt;D15,"Exceed 10% Rule","")</f>
      </c>
      <c r="E16" s="302">
        <f>IF(E17*0.1+E31&lt;E15,"Exceed 10% Rule","")</f>
      </c>
    </row>
    <row r="17" spans="2:5" ht="15.75">
      <c r="B17" s="276" t="s">
        <v>159</v>
      </c>
      <c r="C17" s="401">
        <f>SUM(C8:C15)</f>
        <v>17892</v>
      </c>
      <c r="D17" s="401">
        <f>SUM(D8:D15)</f>
        <v>17864</v>
      </c>
      <c r="E17" s="306">
        <f>SUM(E8:E15)</f>
        <v>2064</v>
      </c>
    </row>
    <row r="18" spans="2:5" ht="15.75">
      <c r="B18" s="276" t="s">
        <v>160</v>
      </c>
      <c r="C18" s="401">
        <f>C6+C17</f>
        <v>17892</v>
      </c>
      <c r="D18" s="401">
        <f>D6+D17</f>
        <v>18169</v>
      </c>
      <c r="E18" s="306">
        <f>E6+E17</f>
        <v>2532</v>
      </c>
    </row>
    <row r="19" spans="2:5" ht="15.75">
      <c r="B19" s="121" t="s">
        <v>162</v>
      </c>
      <c r="C19" s="274"/>
      <c r="D19" s="274"/>
      <c r="E19" s="81"/>
    </row>
    <row r="20" spans="2:10" ht="15.75">
      <c r="B20" s="282" t="s">
        <v>976</v>
      </c>
      <c r="C20" s="399">
        <v>17487</v>
      </c>
      <c r="D20" s="399">
        <v>17496</v>
      </c>
      <c r="E20" s="85">
        <v>17500</v>
      </c>
      <c r="G20" s="801" t="str">
        <f>CONCATENATE("Desired Carryover Into ",E1+1,"")</f>
        <v>Desired Carryover Into 2016</v>
      </c>
      <c r="H20" s="802"/>
      <c r="I20" s="802"/>
      <c r="J20" s="770"/>
    </row>
    <row r="21" spans="2:10" ht="15.75">
      <c r="B21" s="274" t="s">
        <v>69</v>
      </c>
      <c r="C21" s="399">
        <v>100</v>
      </c>
      <c r="D21" s="399">
        <v>205</v>
      </c>
      <c r="E21" s="93">
        <f>Nhood!E12</f>
        <v>345</v>
      </c>
      <c r="G21" s="581"/>
      <c r="H21" s="582"/>
      <c r="I21" s="583"/>
      <c r="J21" s="584"/>
    </row>
    <row r="22" spans="2:10" ht="15.75">
      <c r="B22" s="274" t="s">
        <v>68</v>
      </c>
      <c r="C22" s="399"/>
      <c r="D22" s="399"/>
      <c r="E22" s="85"/>
      <c r="G22" s="585" t="s">
        <v>639</v>
      </c>
      <c r="H22" s="583"/>
      <c r="I22" s="583"/>
      <c r="J22" s="586">
        <v>0</v>
      </c>
    </row>
    <row r="23" spans="2:10" ht="15.75">
      <c r="B23" s="274" t="s">
        <v>633</v>
      </c>
      <c r="C23" s="400">
        <f>IF(C24*0.1&lt;C22,"Exceed 10% Rule","")</f>
      </c>
      <c r="D23" s="400">
        <f>IF(D24*0.1&lt;D22,"Exceed 10% Rule","")</f>
      </c>
      <c r="E23" s="302">
        <f>IF(E24*0.1&lt;E22,"Exceed 10% Rule","")</f>
      </c>
      <c r="G23" s="581" t="s">
        <v>640</v>
      </c>
      <c r="H23" s="582"/>
      <c r="I23" s="582"/>
      <c r="J23" s="587">
        <f>IF(J22=0,"",ROUND((J22+E31-G35)/inputOth!E6*1000,3)-G40)</f>
      </c>
    </row>
    <row r="24" spans="2:10" ht="15.75">
      <c r="B24" s="276" t="s">
        <v>163</v>
      </c>
      <c r="C24" s="401">
        <f>SUM(C20:C22)</f>
        <v>17587</v>
      </c>
      <c r="D24" s="401">
        <f>SUM(D20:D22)</f>
        <v>17701</v>
      </c>
      <c r="E24" s="306">
        <f>SUM(E20:E22)</f>
        <v>17845</v>
      </c>
      <c r="G24" s="588" t="str">
        <f>CONCATENATE("",E1," Tot Exp/Non-Appr Must Be:")</f>
        <v>2015 Tot Exp/Non-Appr Must Be:</v>
      </c>
      <c r="H24" s="589"/>
      <c r="I24" s="590"/>
      <c r="J24" s="591">
        <f>IF(J22&gt;0,IF(E28&lt;E18,IF(J22=G35,E28,((J22-G35)*(1-D30))+E18),E28+(J22-G35)),0)</f>
        <v>0</v>
      </c>
    </row>
    <row r="25" spans="2:10" ht="15.75">
      <c r="B25" s="121" t="s">
        <v>260</v>
      </c>
      <c r="C25" s="404">
        <f>C18-C24</f>
        <v>305</v>
      </c>
      <c r="D25" s="404">
        <f>D18-D24</f>
        <v>468</v>
      </c>
      <c r="E25" s="300" t="s">
        <v>139</v>
      </c>
      <c r="G25" s="592" t="s">
        <v>789</v>
      </c>
      <c r="H25" s="593"/>
      <c r="I25" s="593"/>
      <c r="J25" s="594">
        <f>IF(J22&gt;0,J24-E28,0)</f>
        <v>0</v>
      </c>
    </row>
    <row r="26" spans="2:10" ht="15.75">
      <c r="B26" s="266" t="str">
        <f>CONCATENATE("",E1-2,"/",E1-1,"/",E1," Budget Authority Amount:")</f>
        <v>2013/2014/2015 Budget Authority Amount:</v>
      </c>
      <c r="C26" s="301">
        <f>inputOth!B37</f>
        <v>17587</v>
      </c>
      <c r="D26" s="301">
        <f>inputPrYr!D23</f>
        <v>17701</v>
      </c>
      <c r="E26" s="230">
        <f>E24</f>
        <v>17845</v>
      </c>
      <c r="G26" s="1"/>
      <c r="H26" s="1"/>
      <c r="I26" s="1"/>
      <c r="J26" s="1"/>
    </row>
    <row r="27" spans="2:10" ht="15.75">
      <c r="B27" s="252"/>
      <c r="C27" s="791" t="s">
        <v>636</v>
      </c>
      <c r="D27" s="792"/>
      <c r="E27" s="85"/>
      <c r="G27" s="801" t="str">
        <f>CONCATENATE("Projected Carryover Into ",E1+1,"")</f>
        <v>Projected Carryover Into 2016</v>
      </c>
      <c r="H27" s="804"/>
      <c r="I27" s="804"/>
      <c r="J27" s="805"/>
    </row>
    <row r="28" spans="2:10" ht="15.75">
      <c r="B28" s="439" t="str">
        <f>CONCATENATE(C73,"     ",D73)</f>
        <v>     </v>
      </c>
      <c r="C28" s="793" t="s">
        <v>637</v>
      </c>
      <c r="D28" s="794"/>
      <c r="E28" s="230">
        <f>E24+E27</f>
        <v>17845</v>
      </c>
      <c r="G28" s="581"/>
      <c r="H28" s="583"/>
      <c r="I28" s="583"/>
      <c r="J28" s="606"/>
    </row>
    <row r="29" spans="2:10" ht="15.75">
      <c r="B29" s="439" t="str">
        <f>CONCATENATE(C74,"     ",D74)</f>
        <v>     </v>
      </c>
      <c r="C29" s="285"/>
      <c r="D29" s="205" t="s">
        <v>164</v>
      </c>
      <c r="E29" s="93">
        <f>IF(E28-E18&gt;0,E28-E18,0)</f>
        <v>15313</v>
      </c>
      <c r="G29" s="607">
        <f>D25</f>
        <v>468</v>
      </c>
      <c r="H29" s="597" t="str">
        <f>CONCATENATE("",E1-1," Ending Cash Balance (est.)")</f>
        <v>2014 Ending Cash Balance (est.)</v>
      </c>
      <c r="I29" s="608"/>
      <c r="J29" s="606"/>
    </row>
    <row r="30" spans="2:10" ht="15.75">
      <c r="B30" s="205"/>
      <c r="C30" s="437" t="s">
        <v>638</v>
      </c>
      <c r="D30" s="580">
        <f>inputOth!$E$23</f>
        <v>0.01</v>
      </c>
      <c r="E30" s="230">
        <f>ROUND(IF(D30&gt;0,($E$29*D30),0),0)</f>
        <v>153</v>
      </c>
      <c r="G30" s="607">
        <f>E17</f>
        <v>2064</v>
      </c>
      <c r="H30" s="583" t="str">
        <f>CONCATENATE("",E1," Non-AV Receipts (est.)")</f>
        <v>2015 Non-AV Receipts (est.)</v>
      </c>
      <c r="I30" s="608"/>
      <c r="J30" s="606"/>
    </row>
    <row r="31" spans="2:11" ht="15.75">
      <c r="B31" s="60"/>
      <c r="C31" s="799" t="str">
        <f>CONCATENATE("Amount of  ",$E$1-1," Ad Valorem Tax")</f>
        <v>Amount of  2014 Ad Valorem Tax</v>
      </c>
      <c r="D31" s="800"/>
      <c r="E31" s="303">
        <f>E29+E30</f>
        <v>15466</v>
      </c>
      <c r="F31" s="284"/>
      <c r="G31" s="609">
        <f>IF(E30&gt;0,E29,E31)</f>
        <v>15313</v>
      </c>
      <c r="H31" s="583" t="str">
        <f>CONCATENATE("",E1," Ad Valorem Tax (est.)")</f>
        <v>2015 Ad Valorem Tax (est.)</v>
      </c>
      <c r="I31" s="608"/>
      <c r="J31" s="606"/>
      <c r="K31" s="595" t="str">
        <f>IF(G31=E31,"","Note: Does not include Delinquent Taxes")</f>
        <v>Note: Does not include Delinquent Taxes</v>
      </c>
    </row>
    <row r="32" spans="2:10" ht="15.75">
      <c r="B32" s="60"/>
      <c r="C32" s="291"/>
      <c r="D32" s="291"/>
      <c r="E32" s="291"/>
      <c r="F32" s="435">
        <f>IF(E24/0.95-E24&lt;E27,"Exceeds 5%","")</f>
      </c>
      <c r="G32" s="607">
        <f>SUM(G29:G31)</f>
        <v>17845</v>
      </c>
      <c r="H32" s="583" t="str">
        <f>CONCATENATE("Total ",E1," Resources Available")</f>
        <v>Total 2015 Resources Available</v>
      </c>
      <c r="I32" s="608"/>
      <c r="J32" s="606"/>
    </row>
    <row r="33" spans="2:10" ht="15.75">
      <c r="B33" s="59" t="s">
        <v>152</v>
      </c>
      <c r="C33" s="629" t="str">
        <f aca="true" t="shared" si="0" ref="C33:E34">C4</f>
        <v>Prior Year </v>
      </c>
      <c r="D33" s="630" t="str">
        <f t="shared" si="0"/>
        <v>Current Year </v>
      </c>
      <c r="E33" s="185" t="str">
        <f t="shared" si="0"/>
        <v>Proposed Budget </v>
      </c>
      <c r="G33" s="610"/>
      <c r="H33" s="583"/>
      <c r="I33" s="583"/>
      <c r="J33" s="606"/>
    </row>
    <row r="34" spans="2:10" ht="15.75">
      <c r="B34" s="417" t="str">
        <f>inputPrYr!B24</f>
        <v>Hospital Maintenance</v>
      </c>
      <c r="C34" s="402" t="str">
        <f t="shared" si="0"/>
        <v>Actual for 2013</v>
      </c>
      <c r="D34" s="402" t="str">
        <f t="shared" si="0"/>
        <v>Estimate for 2014</v>
      </c>
      <c r="E34" s="280" t="str">
        <f t="shared" si="0"/>
        <v>Year for 2015</v>
      </c>
      <c r="G34" s="609">
        <f>ROUND(C24*0.05+C24,0)</f>
        <v>18466</v>
      </c>
      <c r="H34" s="583" t="str">
        <f>CONCATENATE("Less ",E1-2," Expenditures + 5%")</f>
        <v>Less 2013 Expenditures + 5%</v>
      </c>
      <c r="I34" s="608"/>
      <c r="J34" s="611"/>
    </row>
    <row r="35" spans="2:10" ht="15.75">
      <c r="B35" s="121" t="s">
        <v>259</v>
      </c>
      <c r="C35" s="399">
        <v>0</v>
      </c>
      <c r="D35" s="403">
        <f>C55</f>
        <v>0</v>
      </c>
      <c r="E35" s="230">
        <f>D55</f>
        <v>0</v>
      </c>
      <c r="G35" s="612">
        <f>G32-G34</f>
        <v>-621</v>
      </c>
      <c r="H35" s="613" t="str">
        <f>CONCATENATE("Projected ",E1+1," carryover (est.)")</f>
        <v>Projected 2016 carryover (est.)</v>
      </c>
      <c r="I35" s="614"/>
      <c r="J35" s="615"/>
    </row>
    <row r="36" spans="2:10" ht="15.75">
      <c r="B36" s="255" t="s">
        <v>261</v>
      </c>
      <c r="C36" s="270"/>
      <c r="D36" s="270"/>
      <c r="E36" s="100"/>
      <c r="G36" s="1"/>
      <c r="H36" s="1"/>
      <c r="I36" s="1"/>
      <c r="J36" s="1"/>
    </row>
    <row r="37" spans="2:10" ht="15.75">
      <c r="B37" s="121" t="s">
        <v>153</v>
      </c>
      <c r="C37" s="399">
        <v>440080</v>
      </c>
      <c r="D37" s="403">
        <f>IF(inputPrYr!H24&gt;0,inputPrYr!H24,inputPrYr!E24)</f>
        <v>475337</v>
      </c>
      <c r="E37" s="300" t="s">
        <v>139</v>
      </c>
      <c r="G37" s="788" t="s">
        <v>790</v>
      </c>
      <c r="H37" s="789"/>
      <c r="I37" s="789"/>
      <c r="J37" s="790"/>
    </row>
    <row r="38" spans="2:10" ht="15.75">
      <c r="B38" s="121" t="s">
        <v>154</v>
      </c>
      <c r="C38" s="399">
        <v>894</v>
      </c>
      <c r="D38" s="399">
        <v>3025</v>
      </c>
      <c r="E38" s="85">
        <v>3100</v>
      </c>
      <c r="G38" s="596"/>
      <c r="H38" s="597"/>
      <c r="I38" s="598"/>
      <c r="J38" s="599"/>
    </row>
    <row r="39" spans="2:10" ht="15.75">
      <c r="B39" s="121" t="s">
        <v>155</v>
      </c>
      <c r="C39" s="399">
        <v>47231</v>
      </c>
      <c r="D39" s="399">
        <v>43909</v>
      </c>
      <c r="E39" s="230">
        <f>mvalloc!E14</f>
        <v>44611</v>
      </c>
      <c r="G39" s="600">
        <f>summ!H22</f>
        <v>0.291</v>
      </c>
      <c r="H39" s="597" t="str">
        <f>CONCATENATE("",E1," Fund Mill Rate")</f>
        <v>2015 Fund Mill Rate</v>
      </c>
      <c r="I39" s="598"/>
      <c r="J39" s="599"/>
    </row>
    <row r="40" spans="2:10" ht="15.75">
      <c r="B40" s="121" t="s">
        <v>156</v>
      </c>
      <c r="C40" s="399">
        <v>913</v>
      </c>
      <c r="D40" s="399">
        <v>793</v>
      </c>
      <c r="E40" s="230">
        <f>mvalloc!F14</f>
        <v>886</v>
      </c>
      <c r="G40" s="601">
        <f>summ!E22</f>
        <v>0.339</v>
      </c>
      <c r="H40" s="597" t="str">
        <f>CONCATENATE("",E1-1," Fund Mill Rate")</f>
        <v>2014 Fund Mill Rate</v>
      </c>
      <c r="I40" s="598"/>
      <c r="J40" s="599"/>
    </row>
    <row r="41" spans="2:10" ht="15.75">
      <c r="B41" s="270" t="s">
        <v>220</v>
      </c>
      <c r="C41" s="399">
        <v>7197</v>
      </c>
      <c r="D41" s="399">
        <v>7500</v>
      </c>
      <c r="E41" s="230">
        <f>mvalloc!G14</f>
        <v>7907</v>
      </c>
      <c r="G41" s="602">
        <f>summ!H39</f>
        <v>77.58699999999999</v>
      </c>
      <c r="H41" s="597" t="str">
        <f>CONCATENATE("Total ",E1," Mill Rate")</f>
        <v>Total 2015 Mill Rate</v>
      </c>
      <c r="I41" s="598"/>
      <c r="J41" s="599"/>
    </row>
    <row r="42" spans="2:10" ht="15.75">
      <c r="B42" s="270" t="s">
        <v>1076</v>
      </c>
      <c r="C42" s="399"/>
      <c r="D42" s="399"/>
      <c r="E42" s="230">
        <v>1502</v>
      </c>
      <c r="G42" s="601">
        <f>summ!E39</f>
        <v>97.844</v>
      </c>
      <c r="H42" s="603" t="str">
        <f>CONCATENATE("Total ",E1-1," Mill Rate")</f>
        <v>Total 2014 Mill Rate</v>
      </c>
      <c r="I42" s="604"/>
      <c r="J42" s="605"/>
    </row>
    <row r="43" spans="2:10" ht="15.75">
      <c r="B43" s="270" t="s">
        <v>1078</v>
      </c>
      <c r="C43" s="399"/>
      <c r="D43" s="399">
        <v>4073</v>
      </c>
      <c r="E43" s="230">
        <v>4073</v>
      </c>
      <c r="G43" s="1"/>
      <c r="H43" s="1"/>
      <c r="I43" s="1"/>
      <c r="J43" s="1"/>
    </row>
    <row r="44" spans="2:10" ht="15.75">
      <c r="B44" s="282" t="s">
        <v>632</v>
      </c>
      <c r="C44" s="399">
        <v>462177</v>
      </c>
      <c r="D44" s="399">
        <v>439968</v>
      </c>
      <c r="E44" s="85">
        <v>540000</v>
      </c>
      <c r="G44" s="690" t="s">
        <v>864</v>
      </c>
      <c r="H44" s="651"/>
      <c r="I44" s="650" t="str">
        <f>cert!E47</f>
        <v>No</v>
      </c>
      <c r="J44" s="1"/>
    </row>
    <row r="45" spans="2:10" ht="15.75">
      <c r="B45" s="274" t="s">
        <v>68</v>
      </c>
      <c r="C45" s="399"/>
      <c r="D45" s="399"/>
      <c r="E45" s="85"/>
      <c r="G45" s="1"/>
      <c r="H45" s="1"/>
      <c r="I45" s="1"/>
      <c r="J45" s="1"/>
    </row>
    <row r="46" spans="2:10" ht="15.75">
      <c r="B46" s="274" t="s">
        <v>634</v>
      </c>
      <c r="C46" s="400">
        <f>IF(C47*0.1&lt;C45,"Exceed 10% Rule","")</f>
      </c>
      <c r="D46" s="400">
        <f>IF(D47*0.1&lt;D45,"Exceed 10% Rule","")</f>
      </c>
      <c r="E46" s="302">
        <f>IF(E47*0.1+E61&lt;E45,"Exceed 10% Rule","")</f>
      </c>
      <c r="G46" s="1"/>
      <c r="H46" s="1"/>
      <c r="I46" s="1"/>
      <c r="J46" s="1"/>
    </row>
    <row r="47" spans="2:10" ht="15.75">
      <c r="B47" s="276" t="s">
        <v>159</v>
      </c>
      <c r="C47" s="401">
        <f>SUM(C37:C45)</f>
        <v>958492</v>
      </c>
      <c r="D47" s="401">
        <f>SUM(D37:D45)</f>
        <v>974605</v>
      </c>
      <c r="E47" s="306">
        <f>SUM(E37:E45)</f>
        <v>602079</v>
      </c>
      <c r="G47" s="1"/>
      <c r="H47" s="1"/>
      <c r="I47" s="1"/>
      <c r="J47" s="1"/>
    </row>
    <row r="48" spans="2:10" ht="15.75">
      <c r="B48" s="276" t="s">
        <v>160</v>
      </c>
      <c r="C48" s="401">
        <f>C35+C47</f>
        <v>958492</v>
      </c>
      <c r="D48" s="401">
        <f>D35+D47</f>
        <v>974605</v>
      </c>
      <c r="E48" s="306">
        <f>E35+E47</f>
        <v>602079</v>
      </c>
      <c r="G48" s="1"/>
      <c r="H48" s="1"/>
      <c r="I48" s="1"/>
      <c r="J48" s="1"/>
    </row>
    <row r="49" spans="2:10" ht="15.75">
      <c r="B49" s="121" t="s">
        <v>162</v>
      </c>
      <c r="C49" s="274"/>
      <c r="D49" s="274"/>
      <c r="E49" s="81"/>
      <c r="G49" s="1"/>
      <c r="H49" s="1"/>
      <c r="I49" s="1"/>
      <c r="J49" s="1"/>
    </row>
    <row r="50" spans="2:10" ht="15.75">
      <c r="B50" s="282" t="s">
        <v>976</v>
      </c>
      <c r="C50" s="399">
        <v>955711</v>
      </c>
      <c r="D50" s="399">
        <v>973259</v>
      </c>
      <c r="E50" s="85">
        <v>1128084</v>
      </c>
      <c r="G50" s="1"/>
      <c r="H50" s="1"/>
      <c r="I50" s="1"/>
      <c r="J50" s="1"/>
    </row>
    <row r="51" spans="2:10" ht="15.75">
      <c r="B51" s="274" t="s">
        <v>69</v>
      </c>
      <c r="C51" s="399">
        <v>2781</v>
      </c>
      <c r="D51" s="399">
        <v>1346</v>
      </c>
      <c r="E51" s="93">
        <f>Nhood!E13</f>
        <v>12110</v>
      </c>
      <c r="G51" s="1"/>
      <c r="H51" s="1"/>
      <c r="I51" s="1"/>
      <c r="J51" s="1"/>
    </row>
    <row r="52" spans="2:10" ht="15.75">
      <c r="B52" s="274" t="s">
        <v>68</v>
      </c>
      <c r="C52" s="399"/>
      <c r="D52" s="399"/>
      <c r="E52" s="85"/>
      <c r="G52" s="1"/>
      <c r="H52" s="1"/>
      <c r="I52" s="1"/>
      <c r="J52" s="1"/>
    </row>
    <row r="53" spans="2:10" ht="15.75">
      <c r="B53" s="274" t="s">
        <v>633</v>
      </c>
      <c r="C53" s="400">
        <f>IF(C54*0.1&lt;C52,"Exceed 10% Rule","")</f>
      </c>
      <c r="D53" s="400">
        <f>IF(D54*0.1&lt;D52,"Exceed 10% Rule","")</f>
      </c>
      <c r="E53" s="302">
        <f>IF(E54*0.1&lt;E52,"Exceed 10% Rule","")</f>
      </c>
      <c r="G53" s="1"/>
      <c r="H53" s="1"/>
      <c r="I53" s="1"/>
      <c r="J53" s="1"/>
    </row>
    <row r="54" spans="2:10" ht="15.75">
      <c r="B54" s="276" t="s">
        <v>163</v>
      </c>
      <c r="C54" s="401">
        <f>SUM(C50:C52)</f>
        <v>958492</v>
      </c>
      <c r="D54" s="401">
        <f>SUM(D50:D52)</f>
        <v>974605</v>
      </c>
      <c r="E54" s="306">
        <f>SUM(E50:E52)</f>
        <v>1140194</v>
      </c>
      <c r="G54" s="1"/>
      <c r="H54" s="1"/>
      <c r="I54" s="1"/>
      <c r="J54" s="1"/>
    </row>
    <row r="55" spans="2:10" ht="15.75">
      <c r="B55" s="121" t="s">
        <v>260</v>
      </c>
      <c r="C55" s="404">
        <f>C48-C54</f>
        <v>0</v>
      </c>
      <c r="D55" s="404">
        <f>D48-D54</f>
        <v>0</v>
      </c>
      <c r="E55" s="300" t="s">
        <v>139</v>
      </c>
      <c r="G55" s="1"/>
      <c r="H55" s="1"/>
      <c r="I55" s="1"/>
      <c r="J55" s="1"/>
    </row>
    <row r="56" spans="2:10" ht="15.75">
      <c r="B56" s="266" t="str">
        <f>CONCATENATE("",E1-2,"/",E1-1,"/",E1," Budget Authority Amount:")</f>
        <v>2013/2014/2015 Budget Authority Amount:</v>
      </c>
      <c r="C56" s="301">
        <f>inputOth!B38</f>
        <v>990848</v>
      </c>
      <c r="D56" s="301">
        <f>inputPrYr!D24</f>
        <v>974605</v>
      </c>
      <c r="E56" s="230">
        <f>E54</f>
        <v>1140194</v>
      </c>
      <c r="G56" s="1"/>
      <c r="H56" s="1"/>
      <c r="I56" s="1"/>
      <c r="J56" s="1"/>
    </row>
    <row r="57" spans="2:10" ht="15.75">
      <c r="B57" s="252"/>
      <c r="C57" s="791" t="s">
        <v>636</v>
      </c>
      <c r="D57" s="792"/>
      <c r="E57" s="85"/>
      <c r="G57" s="1"/>
      <c r="H57" s="1"/>
      <c r="I57" s="1"/>
      <c r="J57" s="1"/>
    </row>
    <row r="58" spans="2:10" ht="15.75">
      <c r="B58" s="438" t="str">
        <f>CONCATENATE(C75,"     ",D75)</f>
        <v>     </v>
      </c>
      <c r="C58" s="793" t="s">
        <v>637</v>
      </c>
      <c r="D58" s="794"/>
      <c r="E58" s="230">
        <f>E54+E57</f>
        <v>1140194</v>
      </c>
      <c r="G58" s="1"/>
      <c r="H58" s="1"/>
      <c r="I58" s="1"/>
      <c r="J58" s="1"/>
    </row>
    <row r="59" spans="2:10" ht="15.75">
      <c r="B59" s="438" t="str">
        <f>CONCATENATE(C76,"     ",D76)</f>
        <v>     </v>
      </c>
      <c r="C59" s="285"/>
      <c r="D59" s="205" t="s">
        <v>164</v>
      </c>
      <c r="E59" s="93">
        <f>IF(E58-E48&gt;0,E58-E48,0)</f>
        <v>538115</v>
      </c>
      <c r="G59" s="1"/>
      <c r="H59" s="1"/>
      <c r="I59" s="1"/>
      <c r="J59" s="1"/>
    </row>
    <row r="60" spans="2:10" ht="15.75">
      <c r="B60" s="205"/>
      <c r="C60" s="437" t="s">
        <v>638</v>
      </c>
      <c r="D60" s="580">
        <f>inputOth!$E$23</f>
        <v>0.01</v>
      </c>
      <c r="E60" s="230">
        <f>ROUND(IF(D60&gt;0,($E$59*D60),0),0)</f>
        <v>5381</v>
      </c>
      <c r="G60" s="801" t="str">
        <f>CONCATENATE("Desired Carryover Into ",E1+1,"")</f>
        <v>Desired Carryover Into 2016</v>
      </c>
      <c r="H60" s="802"/>
      <c r="I60" s="802"/>
      <c r="J60" s="770"/>
    </row>
    <row r="61" spans="2:10" ht="18.75" customHeight="1">
      <c r="B61" s="60"/>
      <c r="C61" s="799" t="str">
        <f>CONCATENATE("Amount of  ",$E$1-1," Ad Valorem Tax")</f>
        <v>Amount of  2014 Ad Valorem Tax</v>
      </c>
      <c r="D61" s="800"/>
      <c r="E61" s="303">
        <f>E59+E60</f>
        <v>543496</v>
      </c>
      <c r="G61" s="581"/>
      <c r="H61" s="582"/>
      <c r="I61" s="583"/>
      <c r="J61" s="584"/>
    </row>
    <row r="62" spans="2:10" ht="12.75" customHeight="1">
      <c r="B62" s="60"/>
      <c r="C62" s="717"/>
      <c r="D62" s="718"/>
      <c r="E62" s="739"/>
      <c r="G62" s="585" t="s">
        <v>639</v>
      </c>
      <c r="H62" s="583"/>
      <c r="I62" s="583"/>
      <c r="J62" s="586">
        <v>0</v>
      </c>
    </row>
    <row r="63" spans="2:10" ht="15.75">
      <c r="B63" s="252"/>
      <c r="C63" s="720" t="s">
        <v>1025</v>
      </c>
      <c r="D63" s="60"/>
      <c r="E63" s="60"/>
      <c r="G63" s="581" t="s">
        <v>640</v>
      </c>
      <c r="H63" s="582"/>
      <c r="I63" s="582"/>
      <c r="J63" s="587">
        <f>IF(J62=0,"",ROUND((J62+E61-G75)/inputOth!E6*1000,3)-G80)</f>
      </c>
    </row>
    <row r="64" spans="7:10" ht="15.75">
      <c r="G64" s="588" t="str">
        <f>CONCATENATE("",E1," Tot Exp/Non-Appr Must Be:")</f>
        <v>2015 Tot Exp/Non-Appr Must Be:</v>
      </c>
      <c r="H64" s="589"/>
      <c r="I64" s="590"/>
      <c r="J64" s="591">
        <f>IF(J62&gt;0,IF(E58&lt;E48,IF(J62=G75,E58,((J62-G75)*(1-D60))+E48),E58+(J62-G75)),0)</f>
        <v>0</v>
      </c>
    </row>
    <row r="65" spans="7:10" ht="15.75">
      <c r="G65" s="592" t="s">
        <v>789</v>
      </c>
      <c r="H65" s="593"/>
      <c r="I65" s="593"/>
      <c r="J65" s="594">
        <f>IF(J62&gt;0,J64-E58,0)</f>
        <v>0</v>
      </c>
    </row>
    <row r="66" spans="7:10" ht="15.75">
      <c r="G66" s="1"/>
      <c r="H66" s="1"/>
      <c r="I66" s="1"/>
      <c r="J66" s="1"/>
    </row>
    <row r="67" spans="7:10" ht="15.75">
      <c r="G67" s="801" t="str">
        <f>CONCATENATE("Projected Carryover Into ",E1+1,"")</f>
        <v>Projected Carryover Into 2016</v>
      </c>
      <c r="H67" s="806"/>
      <c r="I67" s="806"/>
      <c r="J67" s="805"/>
    </row>
    <row r="68" spans="7:10" ht="15.75">
      <c r="G68" s="616"/>
      <c r="H68" s="582"/>
      <c r="I68" s="582"/>
      <c r="J68" s="611"/>
    </row>
    <row r="69" spans="7:10" ht="15.75">
      <c r="G69" s="607">
        <f>D55</f>
        <v>0</v>
      </c>
      <c r="H69" s="597" t="str">
        <f>CONCATENATE("",E1-1," Ending Cash Balance (est.)")</f>
        <v>2014 Ending Cash Balance (est.)</v>
      </c>
      <c r="I69" s="608"/>
      <c r="J69" s="611"/>
    </row>
    <row r="70" spans="7:10" ht="15.75">
      <c r="G70" s="607">
        <f>E47</f>
        <v>602079</v>
      </c>
      <c r="H70" s="583" t="str">
        <f>CONCATENATE("",E1," Non-AV Receipts (est.)")</f>
        <v>2015 Non-AV Receipts (est.)</v>
      </c>
      <c r="I70" s="608"/>
      <c r="J70" s="611"/>
    </row>
    <row r="71" spans="6:11" ht="15.75">
      <c r="F71" s="284"/>
      <c r="G71" s="609">
        <f>IF(E60&gt;0,E59,E61)</f>
        <v>538115</v>
      </c>
      <c r="H71" s="583" t="str">
        <f>CONCATENATE("",E1," Ad Valorem Tax (est.)")</f>
        <v>2015 Ad Valorem Tax (est.)</v>
      </c>
      <c r="I71" s="608"/>
      <c r="J71" s="611"/>
      <c r="K71" s="595" t="str">
        <f>IF(G71=E61,"","Note: Does not include Delinquent Taxes")</f>
        <v>Note: Does not include Delinquent Taxes</v>
      </c>
    </row>
    <row r="72" spans="6:10" ht="15.75">
      <c r="F72" s="435">
        <f>IF(E54/0.95-E54&lt;E57,"Exceeds 5%","")</f>
      </c>
      <c r="G72" s="617">
        <f>SUM(G69:G71)</f>
        <v>1140194</v>
      </c>
      <c r="H72" s="583" t="str">
        <f>CONCATENATE("Total ",E1," Resources Available")</f>
        <v>Total 2015 Resources Available</v>
      </c>
      <c r="I72" s="618"/>
      <c r="J72" s="611"/>
    </row>
    <row r="73" spans="3:10" ht="15.75">
      <c r="C73" s="48">
        <f>IF(C24&gt;C26,"See Tab A","")</f>
      </c>
      <c r="D73" s="48">
        <f>IF(D24&gt;D26,"See Tab C","")</f>
      </c>
      <c r="G73" s="619"/>
      <c r="H73" s="620"/>
      <c r="I73" s="582"/>
      <c r="J73" s="611"/>
    </row>
    <row r="74" spans="3:10" ht="15.75">
      <c r="C74" s="48">
        <f>IF(C25&lt;0,"See Tab B","")</f>
      </c>
      <c r="D74" s="48">
        <f>IF(D25&lt;0,"See Tab D","")</f>
      </c>
      <c r="G74" s="621">
        <f>ROUND(C54*0.05+C54,0)</f>
        <v>1006417</v>
      </c>
      <c r="H74" s="583" t="str">
        <f>CONCATENATE("Less ",E1-2," Expenditures + 5%")</f>
        <v>Less 2013 Expenditures + 5%</v>
      </c>
      <c r="I74" s="618"/>
      <c r="J74" s="611"/>
    </row>
    <row r="75" spans="3:10" ht="15.75">
      <c r="C75" s="48">
        <f>IF(C54&gt;C56,"See Tab A","")</f>
      </c>
      <c r="D75" s="48">
        <f>IF(D54&gt;D56,"See Tab C","")</f>
      </c>
      <c r="G75" s="622">
        <f>G72-G74</f>
        <v>133777</v>
      </c>
      <c r="H75" s="613" t="str">
        <f>CONCATENATE("Projected ",E1+1," carryover (est.)")</f>
        <v>Projected 2016 carryover (est.)</v>
      </c>
      <c r="I75" s="623"/>
      <c r="J75" s="624"/>
    </row>
    <row r="76" spans="3:10" ht="15.75">
      <c r="C76" s="48">
        <f>IF(C55&lt;0,"See Tab B","")</f>
      </c>
      <c r="D76" s="48">
        <f>IF(D55&lt;0,"See Tab D","")</f>
      </c>
      <c r="G76" s="1"/>
      <c r="H76" s="1"/>
      <c r="I76" s="1"/>
      <c r="J76" s="1"/>
    </row>
    <row r="77" spans="7:10" ht="15.75">
      <c r="G77" s="788" t="s">
        <v>790</v>
      </c>
      <c r="H77" s="789"/>
      <c r="I77" s="789"/>
      <c r="J77" s="790"/>
    </row>
    <row r="78" spans="7:10" ht="15.75">
      <c r="G78" s="596"/>
      <c r="H78" s="597"/>
      <c r="I78" s="598"/>
      <c r="J78" s="599"/>
    </row>
    <row r="79" spans="7:10" ht="15.75">
      <c r="G79" s="600">
        <f>summ!H23</f>
        <v>10.23</v>
      </c>
      <c r="H79" s="597" t="str">
        <f>CONCATENATE("",E1," Fund Mill Rate")</f>
        <v>2015 Fund Mill Rate</v>
      </c>
      <c r="I79" s="598"/>
      <c r="J79" s="599"/>
    </row>
    <row r="80" spans="7:10" ht="15.75">
      <c r="G80" s="601">
        <f>summ!E23</f>
        <v>10.247</v>
      </c>
      <c r="H80" s="597" t="str">
        <f>CONCATENATE("",E1-1," Fund Mill Rate")</f>
        <v>2014 Fund Mill Rate</v>
      </c>
      <c r="I80" s="598"/>
      <c r="J80" s="599"/>
    </row>
    <row r="81" spans="7:10" ht="15.75">
      <c r="G81" s="602">
        <f>summ!H39</f>
        <v>77.58699999999999</v>
      </c>
      <c r="H81" s="597" t="str">
        <f>CONCATENATE("Total ",E1," Mill Rate")</f>
        <v>Total 2015 Mill Rate</v>
      </c>
      <c r="I81" s="598"/>
      <c r="J81" s="599"/>
    </row>
    <row r="82" spans="7:10" ht="15.75">
      <c r="G82" s="601">
        <f>summ!E39</f>
        <v>97.844</v>
      </c>
      <c r="H82" s="603" t="str">
        <f>CONCATENATE("Total ",E1-1," Mill Rate")</f>
        <v>Total 2014 Mill Rate</v>
      </c>
      <c r="I82" s="604"/>
      <c r="J82" s="605"/>
    </row>
    <row r="84" spans="7:9" ht="15.75">
      <c r="G84" s="691" t="s">
        <v>864</v>
      </c>
      <c r="H84" s="651"/>
      <c r="I84" s="650" t="str">
        <f>cert!E47</f>
        <v>No</v>
      </c>
    </row>
    <row r="87" ht="15.75" hidden="1"/>
    <row r="88" ht="15.75" hidden="1"/>
    <row r="89" ht="15.75" hidden="1"/>
    <row r="90" ht="15.75" hidden="1"/>
  </sheetData>
  <sheetProtection/>
  <mergeCells count="12">
    <mergeCell ref="C27:D27"/>
    <mergeCell ref="C28:D28"/>
    <mergeCell ref="C57:D57"/>
    <mergeCell ref="C58:D58"/>
    <mergeCell ref="C61:D61"/>
    <mergeCell ref="C31:D31"/>
    <mergeCell ref="G20:J20"/>
    <mergeCell ref="G27:J27"/>
    <mergeCell ref="G37:J37"/>
    <mergeCell ref="G60:J60"/>
    <mergeCell ref="G67:J67"/>
    <mergeCell ref="G77:J77"/>
  </mergeCells>
  <conditionalFormatting sqref="E52">
    <cfRule type="cellIs" priority="3" dxfId="181" operator="greaterThan" stopIfTrue="1">
      <formula>$E$54*0.1</formula>
    </cfRule>
  </conditionalFormatting>
  <conditionalFormatting sqref="E57">
    <cfRule type="cellIs" priority="4" dxfId="181" operator="greaterThan" stopIfTrue="1">
      <formula>$E$54/0.95-$E$54</formula>
    </cfRule>
  </conditionalFormatting>
  <conditionalFormatting sqref="E27">
    <cfRule type="cellIs" priority="5" dxfId="181" operator="greaterThan" stopIfTrue="1">
      <formula>$E$24/0.95-$E$24</formula>
    </cfRule>
  </conditionalFormatting>
  <conditionalFormatting sqref="E22">
    <cfRule type="cellIs" priority="6" dxfId="181" operator="greaterThan" stopIfTrue="1">
      <formula>$E$24*0.1</formula>
    </cfRule>
  </conditionalFormatting>
  <conditionalFormatting sqref="C55 C25">
    <cfRule type="cellIs" priority="7" dxfId="1" operator="lessThan" stopIfTrue="1">
      <formula>0</formula>
    </cfRule>
  </conditionalFormatting>
  <conditionalFormatting sqref="C54">
    <cfRule type="cellIs" priority="8" dxfId="1" operator="greaterThan" stopIfTrue="1">
      <formula>$C$56</formula>
    </cfRule>
  </conditionalFormatting>
  <conditionalFormatting sqref="D54">
    <cfRule type="cellIs" priority="9" dxfId="1" operator="greaterThan" stopIfTrue="1">
      <formula>$D$56</formula>
    </cfRule>
  </conditionalFormatting>
  <conditionalFormatting sqref="C52">
    <cfRule type="cellIs" priority="10" dxfId="1" operator="greaterThan" stopIfTrue="1">
      <formula>$C$54*0.1</formula>
    </cfRule>
  </conditionalFormatting>
  <conditionalFormatting sqref="D52">
    <cfRule type="cellIs" priority="11" dxfId="1" operator="greaterThan" stopIfTrue="1">
      <formula>$D$54*0.1</formula>
    </cfRule>
  </conditionalFormatting>
  <conditionalFormatting sqref="E45">
    <cfRule type="cellIs" priority="12" dxfId="181" operator="greaterThan" stopIfTrue="1">
      <formula>$E$47*0.1+E61</formula>
    </cfRule>
  </conditionalFormatting>
  <conditionalFormatting sqref="C45">
    <cfRule type="cellIs" priority="13" dxfId="1" operator="greaterThan" stopIfTrue="1">
      <formula>$C$47*0.1</formula>
    </cfRule>
  </conditionalFormatting>
  <conditionalFormatting sqref="D45">
    <cfRule type="cellIs" priority="14" dxfId="1" operator="greaterThan" stopIfTrue="1">
      <formula>$D$47*0.1</formula>
    </cfRule>
  </conditionalFormatting>
  <conditionalFormatting sqref="C24">
    <cfRule type="cellIs" priority="15" dxfId="1" operator="greaterThan" stopIfTrue="1">
      <formula>$C$26</formula>
    </cfRule>
  </conditionalFormatting>
  <conditionalFormatting sqref="D24">
    <cfRule type="cellIs" priority="16" dxfId="1" operator="greaterThan" stopIfTrue="1">
      <formula>$D$26</formula>
    </cfRule>
  </conditionalFormatting>
  <conditionalFormatting sqref="C22">
    <cfRule type="cellIs" priority="17" dxfId="1" operator="greaterThan" stopIfTrue="1">
      <formula>$C$24*0.1</formula>
    </cfRule>
  </conditionalFormatting>
  <conditionalFormatting sqref="D22">
    <cfRule type="cellIs" priority="18" dxfId="1" operator="greaterThan" stopIfTrue="1">
      <formula>$D$24*0.1</formula>
    </cfRule>
  </conditionalFormatting>
  <conditionalFormatting sqref="E15">
    <cfRule type="cellIs" priority="19" dxfId="181" operator="greaterThan" stopIfTrue="1">
      <formula>$E$17*0.1+E31</formula>
    </cfRule>
  </conditionalFormatting>
  <conditionalFormatting sqref="C15">
    <cfRule type="cellIs" priority="20" dxfId="1" operator="greaterThan" stopIfTrue="1">
      <formula>$C$17*0.1</formula>
    </cfRule>
  </conditionalFormatting>
  <conditionalFormatting sqref="D15">
    <cfRule type="cellIs" priority="21" dxfId="1" operator="greaterThan" stopIfTrue="1">
      <formula>$D$17*0.1</formula>
    </cfRule>
  </conditionalFormatting>
  <conditionalFormatting sqref="D55 D25">
    <cfRule type="cellIs" priority="2" dxfId="0" operator="lessThan" stopIfTrue="1">
      <formula>0</formula>
    </cfRule>
  </conditionalFormatting>
  <printOptions/>
  <pageMargins left="0.67" right="0.5" top="0.74" bottom="0.34" header="0.5" footer="0"/>
  <pageSetup blackAndWhite="1" horizontalDpi="120" verticalDpi="120" orientation="portrait" scale="81" r:id="rId1"/>
  <headerFooter alignWithMargins="0">
    <oddHeader>&amp;RState of Kansas
County
</oddHeader>
  </headerFooter>
</worksheet>
</file>

<file path=xl/worksheets/sheet19.xml><?xml version="1.0" encoding="utf-8"?>
<worksheet xmlns="http://schemas.openxmlformats.org/spreadsheetml/2006/main" xmlns:r="http://schemas.openxmlformats.org/officeDocument/2006/relationships">
  <dimension ref="B1:K85"/>
  <sheetViews>
    <sheetView zoomScalePageLayoutView="0" workbookViewId="0" topLeftCell="A32">
      <selection activeCell="E117" sqref="E117"/>
    </sheetView>
  </sheetViews>
  <sheetFormatPr defaultColWidth="8.796875" defaultRowHeight="15"/>
  <cols>
    <col min="1" max="1" width="2.3984375" style="48" customWidth="1"/>
    <col min="2" max="2" width="31.09765625" style="48" customWidth="1"/>
    <col min="3" max="4" width="15.796875" style="48" customWidth="1"/>
    <col min="5" max="5" width="16.19921875" style="48" customWidth="1"/>
    <col min="6" max="6" width="7.3984375" style="48" customWidth="1"/>
    <col min="7" max="7" width="10.19921875" style="48" customWidth="1"/>
    <col min="8" max="8" width="8.8984375" style="48" customWidth="1"/>
    <col min="9" max="9" width="5" style="48" customWidth="1"/>
    <col min="10" max="10" width="10" style="48" customWidth="1"/>
    <col min="11" max="16384" width="8.8984375" style="48" customWidth="1"/>
  </cols>
  <sheetData>
    <row r="1" spans="2:5" ht="15.75">
      <c r="B1" s="198" t="str">
        <f>(inputPrYr!C2)</f>
        <v>Sheridan County</v>
      </c>
      <c r="C1" s="60"/>
      <c r="D1" s="60"/>
      <c r="E1" s="251">
        <f>inputPrYr!C4</f>
        <v>2015</v>
      </c>
    </row>
    <row r="2" spans="2:5" ht="15.75">
      <c r="B2" s="60"/>
      <c r="C2" s="60"/>
      <c r="D2" s="60"/>
      <c r="E2" s="205"/>
    </row>
    <row r="3" spans="2:5" ht="15.75">
      <c r="B3" s="125" t="s">
        <v>227</v>
      </c>
      <c r="C3" s="297"/>
      <c r="D3" s="297"/>
      <c r="E3" s="298"/>
    </row>
    <row r="4" spans="2:5" ht="15.75">
      <c r="B4" s="59" t="s">
        <v>152</v>
      </c>
      <c r="C4" s="629" t="s">
        <v>791</v>
      </c>
      <c r="D4" s="630" t="s">
        <v>792</v>
      </c>
      <c r="E4" s="185" t="s">
        <v>793</v>
      </c>
    </row>
    <row r="5" spans="2:5" ht="15.75">
      <c r="B5" s="417" t="str">
        <f>inputPrYr!B25</f>
        <v>Mental Retardation</v>
      </c>
      <c r="C5" s="402" t="str">
        <f>CONCATENATE("Actual for ",E1-2,"")</f>
        <v>Actual for 2013</v>
      </c>
      <c r="D5" s="402" t="str">
        <f>CONCATENATE("Estimate for ",E1-1,"")</f>
        <v>Estimate for 2014</v>
      </c>
      <c r="E5" s="267" t="str">
        <f>CONCATENATE("Year for ",E1,"")</f>
        <v>Year for 2015</v>
      </c>
    </row>
    <row r="6" spans="2:5" ht="15.75">
      <c r="B6" s="121" t="s">
        <v>259</v>
      </c>
      <c r="C6" s="399">
        <v>0</v>
      </c>
      <c r="D6" s="403">
        <f>C25</f>
        <v>0</v>
      </c>
      <c r="E6" s="230">
        <f>D25</f>
        <v>0</v>
      </c>
    </row>
    <row r="7" spans="2:5" ht="15.75">
      <c r="B7" s="255" t="s">
        <v>261</v>
      </c>
      <c r="C7" s="270"/>
      <c r="D7" s="270"/>
      <c r="E7" s="100"/>
    </row>
    <row r="8" spans="2:5" ht="15.75">
      <c r="B8" s="121" t="s">
        <v>153</v>
      </c>
      <c r="C8" s="399">
        <v>42031</v>
      </c>
      <c r="D8" s="403">
        <f>IF(inputPrYr!H25&gt;0,inputPrYr!H25,inputPrYr!E25)</f>
        <v>43827</v>
      </c>
      <c r="E8" s="300" t="s">
        <v>139</v>
      </c>
    </row>
    <row r="9" spans="2:5" ht="15.75">
      <c r="B9" s="121" t="s">
        <v>154</v>
      </c>
      <c r="C9" s="399">
        <v>90</v>
      </c>
      <c r="D9" s="399">
        <v>296</v>
      </c>
      <c r="E9" s="85">
        <v>295</v>
      </c>
    </row>
    <row r="10" spans="2:5" ht="15.75">
      <c r="B10" s="121" t="s">
        <v>155</v>
      </c>
      <c r="C10" s="399">
        <v>4603</v>
      </c>
      <c r="D10" s="399">
        <v>4192</v>
      </c>
      <c r="E10" s="230">
        <f>mvalloc!E15</f>
        <v>4113</v>
      </c>
    </row>
    <row r="11" spans="2:5" ht="15.75">
      <c r="B11" s="121" t="s">
        <v>156</v>
      </c>
      <c r="C11" s="399">
        <v>89</v>
      </c>
      <c r="D11" s="399">
        <v>85</v>
      </c>
      <c r="E11" s="230">
        <f>mvalloc!F15</f>
        <v>82</v>
      </c>
    </row>
    <row r="12" spans="2:5" ht="15.75">
      <c r="B12" s="270" t="s">
        <v>220</v>
      </c>
      <c r="C12" s="399">
        <v>759</v>
      </c>
      <c r="D12" s="399">
        <v>750</v>
      </c>
      <c r="E12" s="230">
        <f>mvalloc!G15</f>
        <v>729</v>
      </c>
    </row>
    <row r="13" spans="2:5" ht="15.75">
      <c r="B13" s="270" t="s">
        <v>1076</v>
      </c>
      <c r="C13" s="399"/>
      <c r="D13" s="399"/>
      <c r="E13" s="230">
        <v>138</v>
      </c>
    </row>
    <row r="14" spans="2:5" ht="15.75">
      <c r="B14" s="270" t="s">
        <v>1078</v>
      </c>
      <c r="C14" s="399"/>
      <c r="D14" s="399">
        <v>500</v>
      </c>
      <c r="E14" s="230">
        <v>500</v>
      </c>
    </row>
    <row r="15" spans="2:5" ht="15.75">
      <c r="B15" s="274" t="s">
        <v>68</v>
      </c>
      <c r="C15" s="399"/>
      <c r="D15" s="399"/>
      <c r="E15" s="85"/>
    </row>
    <row r="16" spans="2:5" ht="15.75">
      <c r="B16" s="274" t="s">
        <v>634</v>
      </c>
      <c r="C16" s="400">
        <f>IF(C17*0.1&lt;C15,"Exceed 10% Rule","")</f>
      </c>
      <c r="D16" s="400">
        <f>IF(D17*0.1&lt;D15,"Exceed 10% Rule","")</f>
      </c>
      <c r="E16" s="302">
        <f>IF(E17*0.1+E31&lt;E15,"Exceed 10% Rule","")</f>
      </c>
    </row>
    <row r="17" spans="2:5" ht="15.75">
      <c r="B17" s="276" t="s">
        <v>159</v>
      </c>
      <c r="C17" s="401">
        <f>SUM(C8:C15)</f>
        <v>47572</v>
      </c>
      <c r="D17" s="401">
        <f>SUM(D8:D15)</f>
        <v>49650</v>
      </c>
      <c r="E17" s="306">
        <f>SUM(E8:E15)</f>
        <v>5857</v>
      </c>
    </row>
    <row r="18" spans="2:5" ht="15.75">
      <c r="B18" s="276" t="s">
        <v>160</v>
      </c>
      <c r="C18" s="401">
        <f>C6+C17</f>
        <v>47572</v>
      </c>
      <c r="D18" s="401">
        <f>D6+D17</f>
        <v>49650</v>
      </c>
      <c r="E18" s="306">
        <f>E6+E17</f>
        <v>5857</v>
      </c>
    </row>
    <row r="19" spans="2:5" ht="15.75">
      <c r="B19" s="121" t="s">
        <v>162</v>
      </c>
      <c r="C19" s="274"/>
      <c r="D19" s="274"/>
      <c r="E19" s="81"/>
    </row>
    <row r="20" spans="2:10" ht="15.75">
      <c r="B20" s="282" t="s">
        <v>976</v>
      </c>
      <c r="C20" s="399">
        <v>47306</v>
      </c>
      <c r="D20" s="399">
        <v>49078</v>
      </c>
      <c r="E20" s="85">
        <v>48000</v>
      </c>
      <c r="G20" s="801" t="str">
        <f>CONCATENATE("Desired Carryover Into ",E1+1,"")</f>
        <v>Desired Carryover Into 2016</v>
      </c>
      <c r="H20" s="802"/>
      <c r="I20" s="802"/>
      <c r="J20" s="770"/>
    </row>
    <row r="21" spans="2:10" ht="15.75">
      <c r="B21" s="274" t="s">
        <v>69</v>
      </c>
      <c r="C21" s="399">
        <v>266</v>
      </c>
      <c r="D21" s="399">
        <v>572</v>
      </c>
      <c r="E21" s="93">
        <f>Nhood!E14</f>
        <v>970</v>
      </c>
      <c r="G21" s="581"/>
      <c r="H21" s="582"/>
      <c r="I21" s="583"/>
      <c r="J21" s="584"/>
    </row>
    <row r="22" spans="2:10" ht="15.75">
      <c r="B22" s="274" t="s">
        <v>68</v>
      </c>
      <c r="C22" s="399"/>
      <c r="D22" s="399"/>
      <c r="E22" s="85"/>
      <c r="G22" s="585" t="s">
        <v>639</v>
      </c>
      <c r="H22" s="583"/>
      <c r="I22" s="583"/>
      <c r="J22" s="586">
        <v>0</v>
      </c>
    </row>
    <row r="23" spans="2:10" ht="15.75">
      <c r="B23" s="274" t="s">
        <v>633</v>
      </c>
      <c r="C23" s="400">
        <f>IF(C24*0.1&lt;C22,"Exceed 10% Rule","")</f>
      </c>
      <c r="D23" s="400">
        <f>IF(D24*0.1&lt;D22,"Exceed 10% Rule","")</f>
      </c>
      <c r="E23" s="302">
        <f>IF(E24*0.1&lt;E22,"Exceed 10% Rule","")</f>
      </c>
      <c r="G23" s="581" t="s">
        <v>640</v>
      </c>
      <c r="H23" s="582"/>
      <c r="I23" s="582"/>
      <c r="J23" s="587">
        <f>IF(J22=0,"",ROUND((J22+E31-G35)/inputOth!E6*1000,3)-G40)</f>
      </c>
    </row>
    <row r="24" spans="2:10" ht="15.75">
      <c r="B24" s="276" t="s">
        <v>163</v>
      </c>
      <c r="C24" s="401">
        <f>SUM(C20:C22)</f>
        <v>47572</v>
      </c>
      <c r="D24" s="401">
        <f>SUM(D20:D22)</f>
        <v>49650</v>
      </c>
      <c r="E24" s="306">
        <f>SUM(E20:E22)</f>
        <v>48970</v>
      </c>
      <c r="G24" s="588" t="str">
        <f>CONCATENATE("",E1," Tot Exp/Non-Appr Must Be:")</f>
        <v>2015 Tot Exp/Non-Appr Must Be:</v>
      </c>
      <c r="H24" s="589"/>
      <c r="I24" s="590"/>
      <c r="J24" s="591">
        <f>IF(J22&gt;0,IF(E28&lt;E18,IF(J22=G35,E28,((J22-G35)*(1-D30))+E18),E28+(J22-G35)),0)</f>
        <v>0</v>
      </c>
    </row>
    <row r="25" spans="2:10" ht="15.75">
      <c r="B25" s="121" t="s">
        <v>260</v>
      </c>
      <c r="C25" s="404">
        <f>C18-C24</f>
        <v>0</v>
      </c>
      <c r="D25" s="404">
        <f>D18-D24</f>
        <v>0</v>
      </c>
      <c r="E25" s="300" t="s">
        <v>139</v>
      </c>
      <c r="G25" s="592" t="s">
        <v>789</v>
      </c>
      <c r="H25" s="593"/>
      <c r="I25" s="593"/>
      <c r="J25" s="594">
        <f>IF(J22&gt;0,J24-E28,0)</f>
        <v>0</v>
      </c>
    </row>
    <row r="26" spans="2:10" ht="15.75">
      <c r="B26" s="266" t="str">
        <f>CONCATENATE("",E1-2,"/",E1-1,"/",E1," Budget Authority Amount:")</f>
        <v>2013/2014/2015 Budget Authority Amount:</v>
      </c>
      <c r="C26" s="301">
        <f>inputOth!B39</f>
        <v>46532</v>
      </c>
      <c r="D26" s="301">
        <f>inputPrYr!D25</f>
        <v>48558</v>
      </c>
      <c r="E26" s="230">
        <f>E24</f>
        <v>48970</v>
      </c>
      <c r="G26" s="1"/>
      <c r="H26" s="1"/>
      <c r="I26" s="1"/>
      <c r="J26" s="1"/>
    </row>
    <row r="27" spans="2:10" ht="15.75">
      <c r="B27" s="252"/>
      <c r="C27" s="791" t="s">
        <v>636</v>
      </c>
      <c r="D27" s="792"/>
      <c r="E27" s="85"/>
      <c r="G27" s="801" t="str">
        <f>CONCATENATE("Projected Carryover Into ",E1+1,"")</f>
        <v>Projected Carryover Into 2016</v>
      </c>
      <c r="H27" s="804"/>
      <c r="I27" s="804"/>
      <c r="J27" s="805"/>
    </row>
    <row r="28" spans="2:10" ht="15.75">
      <c r="B28" s="439" t="str">
        <f>CONCATENATE(C73,"     ",D73)</f>
        <v>See Tab A     See Tab C</v>
      </c>
      <c r="C28" s="793" t="s">
        <v>637</v>
      </c>
      <c r="D28" s="794"/>
      <c r="E28" s="230">
        <f>E24+E27</f>
        <v>48970</v>
      </c>
      <c r="G28" s="581"/>
      <c r="H28" s="583"/>
      <c r="I28" s="583"/>
      <c r="J28" s="606"/>
    </row>
    <row r="29" spans="2:10" ht="15.75">
      <c r="B29" s="439" t="str">
        <f>CONCATENATE(C74,"     ",D74)</f>
        <v>     </v>
      </c>
      <c r="C29" s="285"/>
      <c r="D29" s="205" t="s">
        <v>164</v>
      </c>
      <c r="E29" s="93">
        <f>IF(E28-E18&gt;0,E28-E18,0)</f>
        <v>43113</v>
      </c>
      <c r="G29" s="607">
        <f>D25</f>
        <v>0</v>
      </c>
      <c r="H29" s="597" t="str">
        <f>CONCATENATE("",E1-1," Ending Cash Balance (est.)")</f>
        <v>2014 Ending Cash Balance (est.)</v>
      </c>
      <c r="I29" s="608"/>
      <c r="J29" s="606"/>
    </row>
    <row r="30" spans="2:10" ht="15.75">
      <c r="B30" s="205"/>
      <c r="C30" s="437" t="s">
        <v>638</v>
      </c>
      <c r="D30" s="580">
        <f>inputOth!$E$23</f>
        <v>0.01</v>
      </c>
      <c r="E30" s="230">
        <f>ROUND(IF(D30&gt;0,($E$29*D30),0),0)</f>
        <v>431</v>
      </c>
      <c r="G30" s="607">
        <f>E17</f>
        <v>5857</v>
      </c>
      <c r="H30" s="583" t="str">
        <f>CONCATENATE("",E1," Non-AV Receipts (est.)")</f>
        <v>2015 Non-AV Receipts (est.)</v>
      </c>
      <c r="I30" s="608"/>
      <c r="J30" s="606"/>
    </row>
    <row r="31" spans="2:11" ht="15.75">
      <c r="B31" s="60"/>
      <c r="C31" s="799" t="str">
        <f>CONCATENATE("Amount of  ",$E$1-1," Ad Valorem Tax")</f>
        <v>Amount of  2014 Ad Valorem Tax</v>
      </c>
      <c r="D31" s="800"/>
      <c r="E31" s="303">
        <f>E29+E30</f>
        <v>43544</v>
      </c>
      <c r="F31" s="284"/>
      <c r="G31" s="609">
        <f>IF(E30&gt;0,E29,E31)</f>
        <v>43113</v>
      </c>
      <c r="H31" s="583" t="str">
        <f>CONCATENATE("",E1," Ad Valorem Tax (est.)")</f>
        <v>2015 Ad Valorem Tax (est.)</v>
      </c>
      <c r="I31" s="608"/>
      <c r="J31" s="606"/>
      <c r="K31" s="595" t="str">
        <f>IF(G31=E31,"","Note: Does not include Delinquent Taxes")</f>
        <v>Note: Does not include Delinquent Taxes</v>
      </c>
    </row>
    <row r="32" spans="2:10" ht="15.75">
      <c r="B32" s="60"/>
      <c r="C32" s="291"/>
      <c r="D32" s="291"/>
      <c r="E32" s="291"/>
      <c r="F32" s="435">
        <f>IF(E24/0.95-E24&lt;E27,"Exceeds 5%","")</f>
      </c>
      <c r="G32" s="607">
        <f>SUM(G29:G31)</f>
        <v>48970</v>
      </c>
      <c r="H32" s="583" t="str">
        <f>CONCATENATE("Total ",E1," Resources Available")</f>
        <v>Total 2015 Resources Available</v>
      </c>
      <c r="I32" s="608"/>
      <c r="J32" s="606"/>
    </row>
    <row r="33" spans="2:10" ht="15.75">
      <c r="B33" s="59" t="s">
        <v>152</v>
      </c>
      <c r="C33" s="629" t="str">
        <f aca="true" t="shared" si="0" ref="C33:E34">C4</f>
        <v>Prior Year </v>
      </c>
      <c r="D33" s="630" t="str">
        <f t="shared" si="0"/>
        <v>Current Year </v>
      </c>
      <c r="E33" s="185" t="str">
        <f t="shared" si="0"/>
        <v>Proposed Budget </v>
      </c>
      <c r="G33" s="610"/>
      <c r="H33" s="583"/>
      <c r="I33" s="583"/>
      <c r="J33" s="606"/>
    </row>
    <row r="34" spans="2:10" ht="15.75">
      <c r="B34" s="416" t="str">
        <f>inputPrYr!B26</f>
        <v>Pool Lease-Purchase</v>
      </c>
      <c r="C34" s="402" t="str">
        <f t="shared" si="0"/>
        <v>Actual for 2013</v>
      </c>
      <c r="D34" s="402" t="str">
        <f t="shared" si="0"/>
        <v>Estimate for 2014</v>
      </c>
      <c r="E34" s="267" t="str">
        <f t="shared" si="0"/>
        <v>Year for 2015</v>
      </c>
      <c r="G34" s="609">
        <f>ROUND(C24*0.05+C24,0)</f>
        <v>49951</v>
      </c>
      <c r="H34" s="583" t="str">
        <f>CONCATENATE("Less ",E1-2," Expenditures + 5%")</f>
        <v>Less 2013 Expenditures + 5%</v>
      </c>
      <c r="I34" s="608"/>
      <c r="J34" s="611"/>
    </row>
    <row r="35" spans="2:10" ht="15.75">
      <c r="B35" s="121" t="s">
        <v>259</v>
      </c>
      <c r="C35" s="399">
        <v>0</v>
      </c>
      <c r="D35" s="403">
        <f>C55</f>
        <v>5114</v>
      </c>
      <c r="E35" s="230">
        <f>D55</f>
        <v>82331</v>
      </c>
      <c r="G35" s="612">
        <f>G32-G34</f>
        <v>-981</v>
      </c>
      <c r="H35" s="613" t="str">
        <f>CONCATENATE("Projected ",E1+1," carryover (est.)")</f>
        <v>Projected 2016 carryover (est.)</v>
      </c>
      <c r="I35" s="614"/>
      <c r="J35" s="615"/>
    </row>
    <row r="36" spans="2:10" ht="15.75">
      <c r="B36" s="268" t="s">
        <v>261</v>
      </c>
      <c r="C36" s="270"/>
      <c r="D36" s="270"/>
      <c r="E36" s="100"/>
      <c r="G36" s="1"/>
      <c r="H36" s="1"/>
      <c r="I36" s="1"/>
      <c r="J36" s="1"/>
    </row>
    <row r="37" spans="2:10" ht="15.75">
      <c r="B37" s="121" t="s">
        <v>153</v>
      </c>
      <c r="C37" s="399">
        <v>138436</v>
      </c>
      <c r="D37" s="403">
        <f>IF(inputPrYr!H26&gt;0,inputPrYr!H26,inputPrYr!E26)</f>
        <v>66684</v>
      </c>
      <c r="E37" s="300" t="s">
        <v>139</v>
      </c>
      <c r="G37" s="788" t="s">
        <v>790</v>
      </c>
      <c r="H37" s="789"/>
      <c r="I37" s="789"/>
      <c r="J37" s="790"/>
    </row>
    <row r="38" spans="2:10" ht="15.75">
      <c r="B38" s="121" t="s">
        <v>154</v>
      </c>
      <c r="C38" s="399"/>
      <c r="D38" s="399">
        <v>581</v>
      </c>
      <c r="E38" s="85">
        <v>600</v>
      </c>
      <c r="G38" s="596"/>
      <c r="H38" s="597"/>
      <c r="I38" s="598"/>
      <c r="J38" s="599"/>
    </row>
    <row r="39" spans="2:10" ht="15.75">
      <c r="B39" s="121" t="s">
        <v>155</v>
      </c>
      <c r="C39" s="399"/>
      <c r="D39" s="399">
        <v>7800</v>
      </c>
      <c r="E39" s="230">
        <f>mvalloc!E16</f>
        <v>6258</v>
      </c>
      <c r="G39" s="600">
        <f>summ!H24</f>
        <v>0.82</v>
      </c>
      <c r="H39" s="597" t="str">
        <f>CONCATENATE("",E1," Fund Mill Rate")</f>
        <v>2015 Fund Mill Rate</v>
      </c>
      <c r="I39" s="598"/>
      <c r="J39" s="599"/>
    </row>
    <row r="40" spans="2:10" ht="15.75">
      <c r="B40" s="121" t="s">
        <v>156</v>
      </c>
      <c r="C40" s="399"/>
      <c r="D40" s="399">
        <v>156</v>
      </c>
      <c r="E40" s="230">
        <f>mvalloc!F16</f>
        <v>124</v>
      </c>
      <c r="G40" s="601">
        <f>summ!E24</f>
        <v>0.945</v>
      </c>
      <c r="H40" s="597" t="str">
        <f>CONCATENATE("",E1-1," Fund Mill Rate")</f>
        <v>2014 Fund Mill Rate</v>
      </c>
      <c r="I40" s="598"/>
      <c r="J40" s="599"/>
    </row>
    <row r="41" spans="2:10" ht="15.75">
      <c r="B41" s="270" t="s">
        <v>220</v>
      </c>
      <c r="C41" s="399"/>
      <c r="D41" s="399">
        <v>1586</v>
      </c>
      <c r="E41" s="230">
        <f>mvalloc!G16</f>
        <v>1109</v>
      </c>
      <c r="G41" s="602">
        <f>summ!H39</f>
        <v>77.58699999999999</v>
      </c>
      <c r="H41" s="597" t="str">
        <f>CONCATENATE("Total ",E1," Mill Rate")</f>
        <v>Total 2015 Mill Rate</v>
      </c>
      <c r="I41" s="598"/>
      <c r="J41" s="599"/>
    </row>
    <row r="42" spans="2:10" ht="15.75">
      <c r="B42" s="270" t="s">
        <v>1076</v>
      </c>
      <c r="C42" s="399"/>
      <c r="D42" s="399"/>
      <c r="E42" s="230">
        <v>211</v>
      </c>
      <c r="G42" s="601">
        <f>summ!E39</f>
        <v>97.844</v>
      </c>
      <c r="H42" s="603" t="str">
        <f>CONCATENATE("Total ",E1-1," Mill Rate")</f>
        <v>Total 2014 Mill Rate</v>
      </c>
      <c r="I42" s="604"/>
      <c r="J42" s="605"/>
    </row>
    <row r="43" spans="2:10" ht="15.75">
      <c r="B43" s="270" t="s">
        <v>1078</v>
      </c>
      <c r="C43" s="399"/>
      <c r="D43" s="399">
        <v>1281</v>
      </c>
      <c r="E43" s="230">
        <v>1300</v>
      </c>
      <c r="G43" s="1"/>
      <c r="H43" s="1"/>
      <c r="I43" s="1"/>
      <c r="J43" s="1"/>
    </row>
    <row r="44" spans="2:10" ht="15.75">
      <c r="B44" s="274" t="s">
        <v>68</v>
      </c>
      <c r="C44" s="399"/>
      <c r="D44" s="399"/>
      <c r="E44" s="85"/>
      <c r="G44" s="692" t="s">
        <v>864</v>
      </c>
      <c r="H44" s="651"/>
      <c r="I44" s="650" t="str">
        <f>cert!E47</f>
        <v>No</v>
      </c>
      <c r="J44" s="1"/>
    </row>
    <row r="45" spans="2:10" ht="15.75">
      <c r="B45" s="274" t="s">
        <v>634</v>
      </c>
      <c r="C45" s="400">
        <f>IF(C46*0.1&lt;C44,"Exceed 10% Rule","")</f>
      </c>
      <c r="D45" s="400">
        <f>IF(D46*0.1&lt;D44,"Exceed 10% Rule","")</f>
      </c>
      <c r="E45" s="302">
        <f>IF(E46*0.1+E61&lt;E44,"Exceed 10% Rule","")</f>
      </c>
      <c r="G45" s="1"/>
      <c r="H45" s="1"/>
      <c r="I45" s="1"/>
      <c r="J45" s="1"/>
    </row>
    <row r="46" spans="2:10" ht="15.75">
      <c r="B46" s="276" t="s">
        <v>159</v>
      </c>
      <c r="C46" s="401">
        <f>SUM(C37:C44)</f>
        <v>138436</v>
      </c>
      <c r="D46" s="401">
        <f>SUM(D37:D44)</f>
        <v>78088</v>
      </c>
      <c r="E46" s="306">
        <f>SUM(E37:E44)</f>
        <v>9602</v>
      </c>
      <c r="G46" s="1"/>
      <c r="H46" s="1"/>
      <c r="I46" s="1"/>
      <c r="J46" s="1"/>
    </row>
    <row r="47" spans="2:10" ht="15.75">
      <c r="B47" s="276" t="s">
        <v>160</v>
      </c>
      <c r="C47" s="401">
        <f>C35+C46</f>
        <v>138436</v>
      </c>
      <c r="D47" s="401">
        <f>D35+D46</f>
        <v>83202</v>
      </c>
      <c r="E47" s="306">
        <f>E35+E46</f>
        <v>91933</v>
      </c>
      <c r="G47" s="1"/>
      <c r="H47" s="1"/>
      <c r="I47" s="1"/>
      <c r="J47" s="1"/>
    </row>
    <row r="48" spans="2:10" ht="15.75">
      <c r="B48" s="121" t="s">
        <v>162</v>
      </c>
      <c r="C48" s="274"/>
      <c r="D48" s="274"/>
      <c r="E48" s="81"/>
      <c r="G48" s="1"/>
      <c r="H48" s="1"/>
      <c r="I48" s="1"/>
      <c r="J48" s="1"/>
    </row>
    <row r="49" spans="2:10" ht="15.75">
      <c r="B49" s="282" t="s">
        <v>1073</v>
      </c>
      <c r="C49" s="399">
        <v>132447</v>
      </c>
      <c r="D49" s="399"/>
      <c r="E49" s="85">
        <v>110373</v>
      </c>
      <c r="G49" s="1"/>
      <c r="H49" s="1"/>
      <c r="I49" s="1"/>
      <c r="J49" s="1"/>
    </row>
    <row r="50" spans="2:10" ht="15.75">
      <c r="B50" s="282" t="s">
        <v>1081</v>
      </c>
      <c r="C50" s="399"/>
      <c r="D50" s="399"/>
      <c r="E50" s="85">
        <v>48000</v>
      </c>
      <c r="G50" s="1"/>
      <c r="H50" s="1"/>
      <c r="I50" s="1"/>
      <c r="J50" s="1"/>
    </row>
    <row r="51" spans="2:10" ht="15.75">
      <c r="B51" s="274" t="s">
        <v>69</v>
      </c>
      <c r="C51" s="399">
        <v>875</v>
      </c>
      <c r="D51" s="399">
        <v>871</v>
      </c>
      <c r="E51" s="93">
        <f>Nhood!E15</f>
        <v>1530</v>
      </c>
      <c r="G51" s="1"/>
      <c r="H51" s="1"/>
      <c r="I51" s="1"/>
      <c r="J51" s="1"/>
    </row>
    <row r="52" spans="2:10" ht="15.75">
      <c r="B52" s="274" t="s">
        <v>68</v>
      </c>
      <c r="C52" s="399"/>
      <c r="D52" s="399"/>
      <c r="E52" s="85"/>
      <c r="G52" s="1"/>
      <c r="H52" s="1"/>
      <c r="I52" s="1"/>
      <c r="J52" s="1"/>
    </row>
    <row r="53" spans="2:10" ht="15.75">
      <c r="B53" s="274" t="s">
        <v>633</v>
      </c>
      <c r="C53" s="400">
        <f>IF(C54*0.1&lt;C52,"Exceed 10% Rule","")</f>
      </c>
      <c r="D53" s="400">
        <f>IF(D54*0.1&lt;D52,"Exceed 10% Rule","")</f>
      </c>
      <c r="E53" s="302">
        <f>IF(E54*0.1&lt;E52,"Exceed 10% Rule","")</f>
      </c>
      <c r="G53" s="1"/>
      <c r="H53" s="1"/>
      <c r="I53" s="1"/>
      <c r="J53" s="1"/>
    </row>
    <row r="54" spans="2:10" ht="15.75">
      <c r="B54" s="276" t="s">
        <v>163</v>
      </c>
      <c r="C54" s="401">
        <f>SUM(C49:C52)</f>
        <v>133322</v>
      </c>
      <c r="D54" s="401">
        <f>SUM(D49:D52)</f>
        <v>871</v>
      </c>
      <c r="E54" s="306">
        <f>SUM(E49:E52)</f>
        <v>159903</v>
      </c>
      <c r="G54" s="1"/>
      <c r="H54" s="1"/>
      <c r="I54" s="1"/>
      <c r="J54" s="1"/>
    </row>
    <row r="55" spans="2:10" ht="15.75">
      <c r="B55" s="121" t="s">
        <v>260</v>
      </c>
      <c r="C55" s="404">
        <f>C47-C54</f>
        <v>5114</v>
      </c>
      <c r="D55" s="404">
        <f>D47-D54</f>
        <v>82331</v>
      </c>
      <c r="E55" s="300" t="s">
        <v>139</v>
      </c>
      <c r="G55" s="1"/>
      <c r="H55" s="1"/>
      <c r="I55" s="1"/>
      <c r="J55" s="1"/>
    </row>
    <row r="56" spans="2:10" ht="15.75">
      <c r="B56" s="266" t="str">
        <f>CONCATENATE("",E1-2,"/",E1-1,"/",E1," Budget Authority Amount:")</f>
        <v>2013/2014/2015 Budget Authority Amount:</v>
      </c>
      <c r="C56" s="301">
        <f>inputOth!B40</f>
        <v>138000</v>
      </c>
      <c r="D56" s="301">
        <f>inputPrYr!D26</f>
        <v>221596</v>
      </c>
      <c r="E56" s="230">
        <f>E54</f>
        <v>159903</v>
      </c>
      <c r="G56" s="1"/>
      <c r="H56" s="1"/>
      <c r="I56" s="1"/>
      <c r="J56" s="1"/>
    </row>
    <row r="57" spans="2:10" ht="15.75">
      <c r="B57" s="252"/>
      <c r="C57" s="791" t="s">
        <v>636</v>
      </c>
      <c r="D57" s="792"/>
      <c r="E57" s="85"/>
      <c r="G57" s="1"/>
      <c r="H57" s="1"/>
      <c r="I57" s="1"/>
      <c r="J57" s="1"/>
    </row>
    <row r="58" spans="2:10" ht="15.75">
      <c r="B58" s="438" t="str">
        <f>CONCATENATE(C75,"     ",D75)</f>
        <v>     </v>
      </c>
      <c r="C58" s="793" t="s">
        <v>637</v>
      </c>
      <c r="D58" s="794"/>
      <c r="E58" s="230">
        <f>E54+E57</f>
        <v>159903</v>
      </c>
      <c r="G58" s="1"/>
      <c r="H58" s="1"/>
      <c r="I58" s="1"/>
      <c r="J58" s="1"/>
    </row>
    <row r="59" spans="2:10" ht="15.75">
      <c r="B59" s="438" t="str">
        <f>CONCATENATE(C76,"     ",D76)</f>
        <v>     </v>
      </c>
      <c r="C59" s="285"/>
      <c r="D59" s="205" t="s">
        <v>164</v>
      </c>
      <c r="E59" s="93">
        <f>IF(E58-E47&gt;0,E58-E47,0)</f>
        <v>67970</v>
      </c>
      <c r="G59" s="1"/>
      <c r="H59" s="1"/>
      <c r="I59" s="1"/>
      <c r="J59" s="1"/>
    </row>
    <row r="60" spans="2:10" ht="15.75">
      <c r="B60" s="205"/>
      <c r="C60" s="437" t="s">
        <v>638</v>
      </c>
      <c r="D60" s="580">
        <f>inputOth!$E$23</f>
        <v>0.01</v>
      </c>
      <c r="E60" s="230">
        <f>ROUND(IF(D60&gt;0,($E$59*D60),0),0)</f>
        <v>680</v>
      </c>
      <c r="G60" s="1"/>
      <c r="H60" s="1"/>
      <c r="I60" s="1"/>
      <c r="J60" s="1"/>
    </row>
    <row r="61" spans="2:10" ht="10.5" customHeight="1">
      <c r="B61" s="60"/>
      <c r="C61" s="799" t="str">
        <f>CONCATENATE("Amount of  ",$E$1-1," Ad Valorem Tax")</f>
        <v>Amount of  2014 Ad Valorem Tax</v>
      </c>
      <c r="D61" s="800"/>
      <c r="E61" s="303">
        <f>E59+E60</f>
        <v>68650</v>
      </c>
      <c r="G61" s="801" t="str">
        <f>CONCATENATE("Desired Carryover Into ",E1+1,"")</f>
        <v>Desired Carryover Into 2016</v>
      </c>
      <c r="H61" s="802"/>
      <c r="I61" s="802"/>
      <c r="J61" s="770"/>
    </row>
    <row r="62" spans="2:10" ht="15.75">
      <c r="B62" s="60"/>
      <c r="C62" s="717"/>
      <c r="D62" s="718"/>
      <c r="E62" s="739"/>
      <c r="G62" s="581"/>
      <c r="H62" s="582"/>
      <c r="I62" s="583"/>
      <c r="J62" s="584"/>
    </row>
    <row r="63" spans="2:10" ht="15.75">
      <c r="B63" s="252"/>
      <c r="C63" s="720" t="s">
        <v>1026</v>
      </c>
      <c r="D63" s="60"/>
      <c r="E63" s="60"/>
      <c r="G63" s="585" t="s">
        <v>639</v>
      </c>
      <c r="H63" s="583"/>
      <c r="I63" s="583"/>
      <c r="J63" s="586">
        <v>0</v>
      </c>
    </row>
    <row r="64" spans="7:10" ht="15.75">
      <c r="G64" s="581" t="s">
        <v>640</v>
      </c>
      <c r="H64" s="582"/>
      <c r="I64" s="582"/>
      <c r="J64" s="587">
        <f>IF(J63=0,"",ROUND((J63+E61-G76)/inputOth!E6*1000,3)-G81)</f>
      </c>
    </row>
    <row r="65" spans="7:10" ht="15.75">
      <c r="G65" s="588" t="str">
        <f>CONCATENATE("",E1," Tot Exp/Non-Appr Must Be:")</f>
        <v>2015 Tot Exp/Non-Appr Must Be:</v>
      </c>
      <c r="H65" s="589"/>
      <c r="I65" s="590"/>
      <c r="J65" s="591">
        <f>IF(J63&gt;0,IF(E58&lt;E47,IF(J63=G76,E58,((J63-G76)*(1-D60))+E47),E58+(J63-G76)),0)</f>
        <v>0</v>
      </c>
    </row>
    <row r="66" spans="7:10" ht="15.75">
      <c r="G66" s="592" t="s">
        <v>789</v>
      </c>
      <c r="H66" s="593"/>
      <c r="I66" s="593"/>
      <c r="J66" s="594">
        <f>IF(J63&gt;0,J65-E58,0)</f>
        <v>0</v>
      </c>
    </row>
    <row r="67" spans="7:10" ht="15.75">
      <c r="G67" s="1"/>
      <c r="H67" s="1"/>
      <c r="I67" s="1"/>
      <c r="J67" s="1"/>
    </row>
    <row r="68" spans="7:10" ht="15.75">
      <c r="G68" s="801" t="str">
        <f>CONCATENATE("Projected Carryover Into ",E1+1,"")</f>
        <v>Projected Carryover Into 2016</v>
      </c>
      <c r="H68" s="806"/>
      <c r="I68" s="806"/>
      <c r="J68" s="805"/>
    </row>
    <row r="69" spans="7:10" ht="15.75">
      <c r="G69" s="616"/>
      <c r="H69" s="582"/>
      <c r="I69" s="582"/>
      <c r="J69" s="611"/>
    </row>
    <row r="70" spans="7:10" ht="15.75">
      <c r="G70" s="607">
        <f>D55</f>
        <v>82331</v>
      </c>
      <c r="H70" s="597" t="str">
        <f>CONCATENATE("",E1-1," Ending Cash Balance (est.)")</f>
        <v>2014 Ending Cash Balance (est.)</v>
      </c>
      <c r="I70" s="608"/>
      <c r="J70" s="611"/>
    </row>
    <row r="71" spans="7:10" ht="15.75">
      <c r="G71" s="607">
        <f>E46</f>
        <v>9602</v>
      </c>
      <c r="H71" s="583" t="str">
        <f>CONCATENATE("",E1," Non-AV Receipts (est.)")</f>
        <v>2015 Non-AV Receipts (est.)</v>
      </c>
      <c r="I71" s="608"/>
      <c r="J71" s="611"/>
    </row>
    <row r="72" spans="6:11" ht="15.75">
      <c r="F72" s="284"/>
      <c r="G72" s="609">
        <f>IF(E60&gt;0,E59,E61)</f>
        <v>67970</v>
      </c>
      <c r="H72" s="583" t="str">
        <f>CONCATENATE("",E1," Ad Valorem Tax (est.)")</f>
        <v>2015 Ad Valorem Tax (est.)</v>
      </c>
      <c r="I72" s="608"/>
      <c r="J72" s="611"/>
      <c r="K72" s="595" t="str">
        <f>IF(G72=E61,"","Note: Does not include Delinquent Taxes")</f>
        <v>Note: Does not include Delinquent Taxes</v>
      </c>
    </row>
    <row r="73" spans="3:10" ht="15.75">
      <c r="C73" s="48" t="str">
        <f>IF(C24&gt;C26,"See Tab A","")</f>
        <v>See Tab A</v>
      </c>
      <c r="D73" s="48" t="str">
        <f>IF(D24&gt;D26,"See Tab C","")</f>
        <v>See Tab C</v>
      </c>
      <c r="F73" s="435">
        <f>IF(E54/0.95-E54&lt;E57,"Exceeds 5%","")</f>
      </c>
      <c r="G73" s="617">
        <f>SUM(G70:G72)</f>
        <v>159903</v>
      </c>
      <c r="H73" s="583" t="str">
        <f>CONCATENATE("Total ",E1," Resources Available")</f>
        <v>Total 2015 Resources Available</v>
      </c>
      <c r="I73" s="618"/>
      <c r="J73" s="611"/>
    </row>
    <row r="74" spans="3:10" ht="15.75">
      <c r="C74" s="48">
        <f>IF(C25&lt;0,"See Tab B","")</f>
      </c>
      <c r="D74" s="48">
        <f>IF(D25&lt;0,"See Tab D","")</f>
      </c>
      <c r="G74" s="619"/>
      <c r="H74" s="620"/>
      <c r="I74" s="582"/>
      <c r="J74" s="611"/>
    </row>
    <row r="75" spans="3:10" ht="15.75">
      <c r="C75" s="48">
        <f>IF(C54&gt;C56,"See Tab A","")</f>
      </c>
      <c r="D75" s="48">
        <f>IF(D54&gt;D56,"See Tab C","")</f>
      </c>
      <c r="G75" s="621">
        <f>ROUND(C54*0.05+C54,0)</f>
        <v>139988</v>
      </c>
      <c r="H75" s="583" t="str">
        <f>CONCATENATE("Less ",E1-2," Expenditures + 5%")</f>
        <v>Less 2013 Expenditures + 5%</v>
      </c>
      <c r="I75" s="618"/>
      <c r="J75" s="611"/>
    </row>
    <row r="76" spans="3:10" ht="15.75">
      <c r="C76" s="48">
        <f>IF(C55&lt;0,"See Tab B","")</f>
      </c>
      <c r="D76" s="48">
        <f>IF(D55&lt;0,"See Tab D","")</f>
      </c>
      <c r="G76" s="622">
        <f>G73-G75</f>
        <v>19915</v>
      </c>
      <c r="H76" s="613" t="str">
        <f>CONCATENATE("Projected ",E1+1," carryover (est.)")</f>
        <v>Projected 2016 carryover (est.)</v>
      </c>
      <c r="I76" s="623"/>
      <c r="J76" s="624"/>
    </row>
    <row r="77" spans="7:10" ht="15.75">
      <c r="G77" s="1"/>
      <c r="H77" s="1"/>
      <c r="I77" s="1"/>
      <c r="J77" s="1"/>
    </row>
    <row r="78" spans="7:10" ht="15.75">
      <c r="G78" s="788" t="s">
        <v>790</v>
      </c>
      <c r="H78" s="789"/>
      <c r="I78" s="789"/>
      <c r="J78" s="790"/>
    </row>
    <row r="79" spans="7:10" ht="15.75">
      <c r="G79" s="596"/>
      <c r="H79" s="597"/>
      <c r="I79" s="598"/>
      <c r="J79" s="599"/>
    </row>
    <row r="80" spans="7:10" ht="15.75">
      <c r="G80" s="600">
        <f>summ!H25</f>
        <v>1.292</v>
      </c>
      <c r="H80" s="597" t="str">
        <f>CONCATENATE("",E1," Fund Mill Rate")</f>
        <v>2015 Fund Mill Rate</v>
      </c>
      <c r="I80" s="598"/>
      <c r="J80" s="599"/>
    </row>
    <row r="81" spans="7:10" ht="15.75">
      <c r="G81" s="601">
        <f>summ!E25</f>
        <v>1.438</v>
      </c>
      <c r="H81" s="597" t="str">
        <f>CONCATENATE("",E1-1," Fund Mill Rate")</f>
        <v>2014 Fund Mill Rate</v>
      </c>
      <c r="I81" s="598"/>
      <c r="J81" s="599"/>
    </row>
    <row r="82" spans="7:10" ht="15.75">
      <c r="G82" s="602">
        <f>summ!H39</f>
        <v>77.58699999999999</v>
      </c>
      <c r="H82" s="597" t="str">
        <f>CONCATENATE("Total ",E1," Mill Rate")</f>
        <v>Total 2015 Mill Rate</v>
      </c>
      <c r="I82" s="598"/>
      <c r="J82" s="599"/>
    </row>
    <row r="83" spans="7:10" ht="15.75">
      <c r="G83" s="601">
        <f>summ!E39</f>
        <v>97.844</v>
      </c>
      <c r="H83" s="603" t="str">
        <f>CONCATENATE("Total ",E1-1," Mill Rate")</f>
        <v>Total 2014 Mill Rate</v>
      </c>
      <c r="I83" s="604"/>
      <c r="J83" s="605"/>
    </row>
    <row r="85" spans="7:9" ht="15.75">
      <c r="G85" s="693" t="s">
        <v>864</v>
      </c>
      <c r="H85" s="651"/>
      <c r="I85" s="650" t="str">
        <f>cert!E47</f>
        <v>No</v>
      </c>
    </row>
    <row r="88" ht="15.75" hidden="1"/>
    <row r="89" ht="15.75" hidden="1"/>
    <row r="90" ht="15.75" hidden="1"/>
    <row r="91" ht="15.75" hidden="1"/>
  </sheetData>
  <sheetProtection/>
  <mergeCells count="12">
    <mergeCell ref="G20:J20"/>
    <mergeCell ref="G27:J27"/>
    <mergeCell ref="G37:J37"/>
    <mergeCell ref="G61:J61"/>
    <mergeCell ref="G68:J68"/>
    <mergeCell ref="G78:J78"/>
    <mergeCell ref="C27:D27"/>
    <mergeCell ref="C28:D28"/>
    <mergeCell ref="C57:D57"/>
    <mergeCell ref="C58:D58"/>
    <mergeCell ref="C61:D61"/>
    <mergeCell ref="C31:D31"/>
  </mergeCells>
  <conditionalFormatting sqref="E52">
    <cfRule type="cellIs" priority="3" dxfId="181" operator="greaterThan" stopIfTrue="1">
      <formula>$E$54*0.1</formula>
    </cfRule>
  </conditionalFormatting>
  <conditionalFormatting sqref="E57">
    <cfRule type="cellIs" priority="4" dxfId="181" operator="greaterThan" stopIfTrue="1">
      <formula>$E$54/0.95-$E$54</formula>
    </cfRule>
  </conditionalFormatting>
  <conditionalFormatting sqref="E27">
    <cfRule type="cellIs" priority="5" dxfId="181" operator="greaterThan" stopIfTrue="1">
      <formula>$E$24/0.95-$E$24</formula>
    </cfRule>
  </conditionalFormatting>
  <conditionalFormatting sqref="E22">
    <cfRule type="cellIs" priority="6" dxfId="181" operator="greaterThan" stopIfTrue="1">
      <formula>$E$24*0.1</formula>
    </cfRule>
  </conditionalFormatting>
  <conditionalFormatting sqref="C55 C25">
    <cfRule type="cellIs" priority="7" dxfId="1" operator="lessThan" stopIfTrue="1">
      <formula>0</formula>
    </cfRule>
  </conditionalFormatting>
  <conditionalFormatting sqref="C54">
    <cfRule type="cellIs" priority="8" dxfId="1" operator="greaterThan" stopIfTrue="1">
      <formula>$C$56</formula>
    </cfRule>
  </conditionalFormatting>
  <conditionalFormatting sqref="D54">
    <cfRule type="cellIs" priority="9" dxfId="1" operator="greaterThan" stopIfTrue="1">
      <formula>$D$56</formula>
    </cfRule>
  </conditionalFormatting>
  <conditionalFormatting sqref="C52">
    <cfRule type="cellIs" priority="10" dxfId="1" operator="greaterThan" stopIfTrue="1">
      <formula>$C$54*0.1</formula>
    </cfRule>
  </conditionalFormatting>
  <conditionalFormatting sqref="D52">
    <cfRule type="cellIs" priority="11" dxfId="1" operator="greaterThan" stopIfTrue="1">
      <formula>$D$54*0.1</formula>
    </cfRule>
  </conditionalFormatting>
  <conditionalFormatting sqref="E44">
    <cfRule type="cellIs" priority="12" dxfId="181" operator="greaterThan" stopIfTrue="1">
      <formula>$E$46*0.1+E61</formula>
    </cfRule>
  </conditionalFormatting>
  <conditionalFormatting sqref="C44">
    <cfRule type="cellIs" priority="13" dxfId="1" operator="greaterThan" stopIfTrue="1">
      <formula>$C$46*0.1</formula>
    </cfRule>
  </conditionalFormatting>
  <conditionalFormatting sqref="D44">
    <cfRule type="cellIs" priority="14" dxfId="1" operator="greaterThan" stopIfTrue="1">
      <formula>$D$46*0.1</formula>
    </cfRule>
  </conditionalFormatting>
  <conditionalFormatting sqref="C24">
    <cfRule type="cellIs" priority="15" dxfId="1" operator="greaterThan" stopIfTrue="1">
      <formula>$C$26</formula>
    </cfRule>
  </conditionalFormatting>
  <conditionalFormatting sqref="D24">
    <cfRule type="cellIs" priority="16" dxfId="1" operator="greaterThan" stopIfTrue="1">
      <formula>$D$26</formula>
    </cfRule>
  </conditionalFormatting>
  <conditionalFormatting sqref="C22">
    <cfRule type="cellIs" priority="17" dxfId="1" operator="greaterThan" stopIfTrue="1">
      <formula>$C$24*0.1</formula>
    </cfRule>
  </conditionalFormatting>
  <conditionalFormatting sqref="D22">
    <cfRule type="cellIs" priority="18" dxfId="1" operator="greaterThan" stopIfTrue="1">
      <formula>$D$24*0.1</formula>
    </cfRule>
  </conditionalFormatting>
  <conditionalFormatting sqref="E15">
    <cfRule type="cellIs" priority="19" dxfId="181" operator="greaterThan" stopIfTrue="1">
      <formula>$E$17*0.1+E31</formula>
    </cfRule>
  </conditionalFormatting>
  <conditionalFormatting sqref="C15">
    <cfRule type="cellIs" priority="20" dxfId="1" operator="greaterThan" stopIfTrue="1">
      <formula>$C$17*0.1</formula>
    </cfRule>
  </conditionalFormatting>
  <conditionalFormatting sqref="D15">
    <cfRule type="cellIs" priority="21" dxfId="1" operator="greaterThan" stopIfTrue="1">
      <formula>$D$17*0.1</formula>
    </cfRule>
  </conditionalFormatting>
  <conditionalFormatting sqref="D55 D25">
    <cfRule type="cellIs" priority="2" dxfId="0" operator="lessThan" stopIfTrue="1">
      <formula>0</formula>
    </cfRule>
  </conditionalFormatting>
  <printOptions/>
  <pageMargins left="0.68" right="0.5" top="0.74" bottom="0.34" header="0.5" footer="0"/>
  <pageSetup blackAndWhite="1" horizontalDpi="120" verticalDpi="120" orientation="portrait" scale="81" r:id="rId1"/>
  <headerFooter alignWithMargins="0">
    <oddHeader>&amp;RState of Kansas
County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I125"/>
  <sheetViews>
    <sheetView zoomScalePageLayoutView="0" workbookViewId="0" topLeftCell="A7">
      <selection activeCell="E17" sqref="E17"/>
    </sheetView>
  </sheetViews>
  <sheetFormatPr defaultColWidth="8.796875" defaultRowHeight="15"/>
  <cols>
    <col min="1" max="1" width="15.796875" style="48" customWidth="1"/>
    <col min="2" max="2" width="20.796875" style="48" customWidth="1"/>
    <col min="3" max="3" width="8.796875" style="48" customWidth="1"/>
    <col min="4" max="5" width="13.296875" style="48" customWidth="1"/>
    <col min="6" max="6" width="10.796875" style="48" customWidth="1"/>
    <col min="7" max="7" width="1.796875" style="48" customWidth="1"/>
    <col min="8" max="8" width="18.69921875" style="48" customWidth="1"/>
    <col min="9" max="16384" width="8.8984375" style="48" customWidth="1"/>
  </cols>
  <sheetData>
    <row r="1" spans="1:9" ht="15.75">
      <c r="A1" s="747" t="s">
        <v>289</v>
      </c>
      <c r="B1" s="748"/>
      <c r="C1" s="748"/>
      <c r="D1" s="748"/>
      <c r="E1" s="748"/>
      <c r="F1" s="748"/>
      <c r="G1" s="60"/>
      <c r="H1" s="60"/>
      <c r="I1" s="60"/>
    </row>
    <row r="2" spans="1:9" ht="15.75">
      <c r="A2" s="59" t="s">
        <v>290</v>
      </c>
      <c r="B2" s="60"/>
      <c r="C2" s="655" t="s">
        <v>889</v>
      </c>
      <c r="D2" s="656"/>
      <c r="E2" s="657"/>
      <c r="F2" s="61"/>
      <c r="G2" s="60"/>
      <c r="H2" s="60"/>
      <c r="I2" s="60"/>
    </row>
    <row r="3" spans="1:9" ht="15.75">
      <c r="A3" s="59"/>
      <c r="B3" s="60"/>
      <c r="C3" s="60"/>
      <c r="D3" s="60"/>
      <c r="E3" s="62"/>
      <c r="F3" s="61"/>
      <c r="G3" s="60"/>
      <c r="H3" s="60"/>
      <c r="I3" s="60"/>
    </row>
    <row r="4" spans="1:9" ht="15.75">
      <c r="A4" s="59" t="s">
        <v>291</v>
      </c>
      <c r="B4" s="60"/>
      <c r="C4" s="63">
        <v>2015</v>
      </c>
      <c r="D4" s="64"/>
      <c r="E4" s="62"/>
      <c r="F4" s="61"/>
      <c r="G4" s="60"/>
      <c r="H4" s="60"/>
      <c r="I4" s="60"/>
    </row>
    <row r="5" spans="1:9" ht="15.75">
      <c r="A5" s="60"/>
      <c r="B5" s="60"/>
      <c r="C5" s="60"/>
      <c r="D5" s="60"/>
      <c r="E5" s="60"/>
      <c r="F5" s="60"/>
      <c r="G5" s="60"/>
      <c r="H5" s="60"/>
      <c r="I5" s="60"/>
    </row>
    <row r="6" spans="1:9" ht="18.75" customHeight="1">
      <c r="A6" s="65" t="s">
        <v>624</v>
      </c>
      <c r="B6" s="66"/>
      <c r="C6" s="66"/>
      <c r="D6" s="66"/>
      <c r="E6" s="66"/>
      <c r="F6" s="66"/>
      <c r="G6" s="60"/>
      <c r="H6" s="749" t="s">
        <v>784</v>
      </c>
      <c r="I6" s="749"/>
    </row>
    <row r="7" spans="1:9" ht="15.75">
      <c r="A7" s="65" t="s">
        <v>623</v>
      </c>
      <c r="B7" s="66"/>
      <c r="C7" s="66"/>
      <c r="D7" s="66"/>
      <c r="E7" s="66"/>
      <c r="F7" s="66"/>
      <c r="G7" s="60"/>
      <c r="H7" s="749"/>
      <c r="I7" s="749"/>
    </row>
    <row r="8" spans="1:9" ht="15.75">
      <c r="A8" s="65"/>
      <c r="B8" s="66"/>
      <c r="C8" s="66"/>
      <c r="D8" s="66"/>
      <c r="E8" s="66"/>
      <c r="F8" s="66"/>
      <c r="G8" s="60"/>
      <c r="H8" s="749"/>
      <c r="I8" s="749"/>
    </row>
    <row r="9" spans="1:9" ht="15.75">
      <c r="A9" s="745" t="s">
        <v>53</v>
      </c>
      <c r="B9" s="746"/>
      <c r="C9" s="746"/>
      <c r="D9" s="746"/>
      <c r="E9" s="746"/>
      <c r="F9" s="746"/>
      <c r="G9" s="60"/>
      <c r="H9" s="749"/>
      <c r="I9" s="749"/>
    </row>
    <row r="10" spans="1:9" ht="15.75">
      <c r="A10" s="60"/>
      <c r="B10" s="60"/>
      <c r="C10" s="60"/>
      <c r="D10" s="60"/>
      <c r="E10" s="60"/>
      <c r="F10" s="60"/>
      <c r="G10" s="60"/>
      <c r="H10" s="749"/>
      <c r="I10" s="749"/>
    </row>
    <row r="11" spans="1:9" ht="15.75">
      <c r="A11" s="67" t="str">
        <f>CONCATENATE("The input for the following comes directly from the ",C4-1," Budget:")</f>
        <v>The input for the following comes directly from the 2014 Budget:</v>
      </c>
      <c r="B11" s="68"/>
      <c r="C11" s="68"/>
      <c r="D11" s="68"/>
      <c r="E11" s="60"/>
      <c r="F11" s="60"/>
      <c r="G11" s="60"/>
      <c r="H11" s="749"/>
      <c r="I11" s="749"/>
    </row>
    <row r="12" spans="1:9" ht="15.75">
      <c r="A12" s="69" t="s">
        <v>292</v>
      </c>
      <c r="B12" s="68"/>
      <c r="C12" s="68"/>
      <c r="D12" s="68"/>
      <c r="E12" s="60"/>
      <c r="F12" s="60"/>
      <c r="G12" s="60"/>
      <c r="H12" s="61"/>
      <c r="I12" s="574"/>
    </row>
    <row r="13" spans="1:9" ht="15.75">
      <c r="A13" s="69" t="s">
        <v>314</v>
      </c>
      <c r="B13" s="68"/>
      <c r="C13" s="68"/>
      <c r="D13" s="68"/>
      <c r="E13" s="60"/>
      <c r="F13" s="60"/>
      <c r="G13" s="60"/>
      <c r="H13" s="60"/>
      <c r="I13" s="60"/>
    </row>
    <row r="14" spans="1:9" ht="15.75">
      <c r="A14" s="60"/>
      <c r="B14" s="60"/>
      <c r="C14" s="70"/>
      <c r="D14" s="71">
        <f>C4-1</f>
        <v>2014</v>
      </c>
      <c r="E14" s="72" t="str">
        <f>CONCATENATE("",C4-2,"")</f>
        <v>2013</v>
      </c>
      <c r="F14" s="73">
        <f>C4-2</f>
        <v>2013</v>
      </c>
      <c r="H14" s="222" t="s">
        <v>785</v>
      </c>
      <c r="I14" s="217" t="s">
        <v>165</v>
      </c>
    </row>
    <row r="15" spans="1:9" ht="15.75">
      <c r="A15" s="59" t="s">
        <v>293</v>
      </c>
      <c r="B15" s="60"/>
      <c r="C15" s="74" t="s">
        <v>121</v>
      </c>
      <c r="D15" s="75" t="s">
        <v>313</v>
      </c>
      <c r="E15" s="75" t="s">
        <v>90</v>
      </c>
      <c r="F15" s="75" t="s">
        <v>67</v>
      </c>
      <c r="H15" s="228" t="str">
        <f>CONCATENATE("",E14," Ad Valorem Tax")</f>
        <v>2013 Ad Valorem Tax</v>
      </c>
      <c r="I15" s="575">
        <v>0</v>
      </c>
    </row>
    <row r="16" spans="1:8" ht="15.75">
      <c r="A16" s="60"/>
      <c r="B16" s="76" t="s">
        <v>122</v>
      </c>
      <c r="C16" s="218" t="s">
        <v>263</v>
      </c>
      <c r="D16" s="78">
        <v>3603815</v>
      </c>
      <c r="E16" s="79">
        <v>2306372</v>
      </c>
      <c r="F16" s="80">
        <v>49.72</v>
      </c>
      <c r="H16" s="230">
        <f>IF($I$15&gt;0,ROUND(E16-(E16*$I$15),0),0)</f>
        <v>0</v>
      </c>
    </row>
    <row r="17" spans="1:8" ht="15.75">
      <c r="A17" s="60"/>
      <c r="B17" s="76"/>
      <c r="C17" s="218"/>
      <c r="D17" s="78"/>
      <c r="E17" s="79"/>
      <c r="F17" s="80"/>
      <c r="H17" s="230">
        <f aca="true" t="shared" si="0" ref="H17:H40">IF($I$15&gt;0,ROUND(E17-(E17*$I$15),0),0)</f>
        <v>0</v>
      </c>
    </row>
    <row r="18" spans="1:8" ht="15.75">
      <c r="A18" s="59"/>
      <c r="B18" s="81" t="s">
        <v>179</v>
      </c>
      <c r="C18" s="217" t="s">
        <v>263</v>
      </c>
      <c r="D18" s="78">
        <v>2884827</v>
      </c>
      <c r="E18" s="78">
        <v>1427913</v>
      </c>
      <c r="F18" s="82">
        <v>30.783</v>
      </c>
      <c r="H18" s="230">
        <f t="shared" si="0"/>
        <v>0</v>
      </c>
    </row>
    <row r="19" spans="1:8" ht="15.75">
      <c r="A19" s="60"/>
      <c r="B19" s="83" t="s">
        <v>890</v>
      </c>
      <c r="C19" s="405" t="s">
        <v>891</v>
      </c>
      <c r="D19" s="78">
        <v>205365</v>
      </c>
      <c r="E19" s="85">
        <v>126807</v>
      </c>
      <c r="F19" s="80">
        <v>2.734</v>
      </c>
      <c r="H19" s="230">
        <f t="shared" si="0"/>
        <v>0</v>
      </c>
    </row>
    <row r="20" spans="1:8" ht="15.75">
      <c r="A20" s="60"/>
      <c r="B20" s="83" t="s">
        <v>144</v>
      </c>
      <c r="C20" s="405" t="s">
        <v>897</v>
      </c>
      <c r="D20" s="78">
        <v>18211</v>
      </c>
      <c r="E20" s="85">
        <v>16573</v>
      </c>
      <c r="F20" s="80">
        <v>0.357</v>
      </c>
      <c r="H20" s="230">
        <f t="shared" si="0"/>
        <v>0</v>
      </c>
    </row>
    <row r="21" spans="1:8" ht="15.75">
      <c r="A21" s="60"/>
      <c r="B21" s="83" t="s">
        <v>892</v>
      </c>
      <c r="C21" s="405" t="s">
        <v>898</v>
      </c>
      <c r="D21" s="78">
        <v>131294</v>
      </c>
      <c r="E21" s="85">
        <v>23766</v>
      </c>
      <c r="F21" s="80">
        <v>0.512</v>
      </c>
      <c r="H21" s="230">
        <f t="shared" si="0"/>
        <v>0</v>
      </c>
    </row>
    <row r="22" spans="1:8" ht="15.75">
      <c r="A22" s="60"/>
      <c r="B22" s="83" t="s">
        <v>893</v>
      </c>
      <c r="C22" s="405" t="s">
        <v>898</v>
      </c>
      <c r="D22" s="78">
        <v>39422</v>
      </c>
      <c r="E22" s="85">
        <v>35651</v>
      </c>
      <c r="F22" s="80">
        <v>0.769</v>
      </c>
      <c r="H22" s="230">
        <f t="shared" si="0"/>
        <v>0</v>
      </c>
    </row>
    <row r="23" spans="1:8" ht="15.75">
      <c r="A23" s="60"/>
      <c r="B23" s="83" t="s">
        <v>894</v>
      </c>
      <c r="C23" s="405" t="s">
        <v>899</v>
      </c>
      <c r="D23" s="78">
        <v>17701</v>
      </c>
      <c r="E23" s="85">
        <v>15737</v>
      </c>
      <c r="F23" s="80">
        <v>0.339</v>
      </c>
      <c r="H23" s="230">
        <f t="shared" si="0"/>
        <v>0</v>
      </c>
    </row>
    <row r="24" spans="1:8" ht="15.75">
      <c r="A24" s="60"/>
      <c r="B24" s="83" t="s">
        <v>895</v>
      </c>
      <c r="C24" s="405" t="s">
        <v>900</v>
      </c>
      <c r="D24" s="78">
        <v>974605</v>
      </c>
      <c r="E24" s="85">
        <v>475337</v>
      </c>
      <c r="F24" s="80">
        <v>10.247</v>
      </c>
      <c r="H24" s="230">
        <f t="shared" si="0"/>
        <v>0</v>
      </c>
    </row>
    <row r="25" spans="1:8" ht="15.75">
      <c r="A25" s="60"/>
      <c r="B25" s="83" t="s">
        <v>178</v>
      </c>
      <c r="C25" s="405" t="s">
        <v>897</v>
      </c>
      <c r="D25" s="78">
        <v>48558</v>
      </c>
      <c r="E25" s="85">
        <v>43827</v>
      </c>
      <c r="F25" s="80">
        <v>0.945</v>
      </c>
      <c r="H25" s="230">
        <f t="shared" si="0"/>
        <v>0</v>
      </c>
    </row>
    <row r="26" spans="1:8" ht="15.75">
      <c r="A26" s="60"/>
      <c r="B26" s="83" t="s">
        <v>896</v>
      </c>
      <c r="C26" s="405" t="s">
        <v>901</v>
      </c>
      <c r="D26" s="78">
        <v>221596</v>
      </c>
      <c r="E26" s="85">
        <v>66684</v>
      </c>
      <c r="F26" s="80">
        <v>1.438</v>
      </c>
      <c r="H26" s="230">
        <f t="shared" si="0"/>
        <v>0</v>
      </c>
    </row>
    <row r="27" spans="1:8" ht="15.75">
      <c r="A27" s="60"/>
      <c r="B27" s="83"/>
      <c r="C27" s="405"/>
      <c r="D27" s="78"/>
      <c r="E27" s="85"/>
      <c r="F27" s="80"/>
      <c r="H27" s="230">
        <f t="shared" si="0"/>
        <v>0</v>
      </c>
    </row>
    <row r="28" spans="1:8" ht="15.75">
      <c r="A28" s="60"/>
      <c r="B28" s="83"/>
      <c r="C28" s="405"/>
      <c r="D28" s="78"/>
      <c r="E28" s="85"/>
      <c r="F28" s="80"/>
      <c r="H28" s="230">
        <f t="shared" si="0"/>
        <v>0</v>
      </c>
    </row>
    <row r="29" spans="1:8" ht="15.75">
      <c r="A29" s="60"/>
      <c r="B29" s="83"/>
      <c r="C29" s="405"/>
      <c r="D29" s="78"/>
      <c r="E29" s="85"/>
      <c r="F29" s="80"/>
      <c r="H29" s="230">
        <f t="shared" si="0"/>
        <v>0</v>
      </c>
    </row>
    <row r="30" spans="1:8" ht="15.75">
      <c r="A30" s="60"/>
      <c r="B30" s="83"/>
      <c r="C30" s="405"/>
      <c r="D30" s="78"/>
      <c r="E30" s="85"/>
      <c r="F30" s="80"/>
      <c r="H30" s="230">
        <f t="shared" si="0"/>
        <v>0</v>
      </c>
    </row>
    <row r="31" spans="1:8" ht="15.75">
      <c r="A31" s="60"/>
      <c r="B31" s="83"/>
      <c r="C31" s="405"/>
      <c r="D31" s="78"/>
      <c r="E31" s="85"/>
      <c r="F31" s="80"/>
      <c r="H31" s="230">
        <f t="shared" si="0"/>
        <v>0</v>
      </c>
    </row>
    <row r="32" spans="1:8" ht="15.75">
      <c r="A32" s="60"/>
      <c r="B32" s="83"/>
      <c r="C32" s="405"/>
      <c r="D32" s="78"/>
      <c r="E32" s="85"/>
      <c r="F32" s="80"/>
      <c r="H32" s="230">
        <f t="shared" si="0"/>
        <v>0</v>
      </c>
    </row>
    <row r="33" spans="1:8" ht="15.75">
      <c r="A33" s="60"/>
      <c r="B33" s="83"/>
      <c r="C33" s="405"/>
      <c r="D33" s="78"/>
      <c r="E33" s="85"/>
      <c r="F33" s="80"/>
      <c r="H33" s="230">
        <f t="shared" si="0"/>
        <v>0</v>
      </c>
    </row>
    <row r="34" spans="1:8" ht="15.75">
      <c r="A34" s="60"/>
      <c r="B34" s="83"/>
      <c r="C34" s="405"/>
      <c r="D34" s="78"/>
      <c r="E34" s="85"/>
      <c r="F34" s="80"/>
      <c r="H34" s="230">
        <f t="shared" si="0"/>
        <v>0</v>
      </c>
    </row>
    <row r="35" spans="1:8" ht="15.75">
      <c r="A35" s="60"/>
      <c r="B35" s="83"/>
      <c r="C35" s="405"/>
      <c r="D35" s="78"/>
      <c r="E35" s="85"/>
      <c r="F35" s="80"/>
      <c r="H35" s="230">
        <f t="shared" si="0"/>
        <v>0</v>
      </c>
    </row>
    <row r="36" spans="1:8" ht="15.75">
      <c r="A36" s="60"/>
      <c r="B36" s="83"/>
      <c r="C36" s="405"/>
      <c r="D36" s="78"/>
      <c r="E36" s="85"/>
      <c r="F36" s="80"/>
      <c r="H36" s="230">
        <f t="shared" si="0"/>
        <v>0</v>
      </c>
    </row>
    <row r="37" spans="1:8" ht="15.75">
      <c r="A37" s="60"/>
      <c r="B37" s="83"/>
      <c r="C37" s="405"/>
      <c r="D37" s="78"/>
      <c r="E37" s="85"/>
      <c r="F37" s="80"/>
      <c r="H37" s="230">
        <f t="shared" si="0"/>
        <v>0</v>
      </c>
    </row>
    <row r="38" spans="1:8" ht="15.75">
      <c r="A38" s="60"/>
      <c r="B38" s="83"/>
      <c r="C38" s="405"/>
      <c r="D38" s="78"/>
      <c r="E38" s="85"/>
      <c r="F38" s="80"/>
      <c r="H38" s="230">
        <f t="shared" si="0"/>
        <v>0</v>
      </c>
    </row>
    <row r="39" spans="1:8" ht="15.75">
      <c r="A39" s="60"/>
      <c r="B39" s="83"/>
      <c r="C39" s="405"/>
      <c r="D39" s="78"/>
      <c r="E39" s="85"/>
      <c r="F39" s="80"/>
      <c r="H39" s="230">
        <f t="shared" si="0"/>
        <v>0</v>
      </c>
    </row>
    <row r="40" spans="1:8" ht="15.75">
      <c r="A40" s="60"/>
      <c r="B40" s="83"/>
      <c r="C40" s="405"/>
      <c r="D40" s="78"/>
      <c r="E40" s="85"/>
      <c r="F40" s="80"/>
      <c r="H40" s="230">
        <f t="shared" si="0"/>
        <v>0</v>
      </c>
    </row>
    <row r="41" spans="1:6" ht="15.75">
      <c r="A41" s="86" t="str">
        <f>CONCATENATE("Total Tax Levy Funds Levy Amounts and Levy Rates for ",C4-1," Budget")</f>
        <v>Total Tax Levy Funds Levy Amounts and Levy Rates for 2014 Budget</v>
      </c>
      <c r="B41" s="87"/>
      <c r="C41" s="87"/>
      <c r="D41" s="88"/>
      <c r="E41" s="89">
        <f>SUM(E16:E40)</f>
        <v>4538667</v>
      </c>
      <c r="F41" s="90">
        <f>SUM(F16:F40)</f>
        <v>97.844</v>
      </c>
    </row>
    <row r="42" spans="1:6" ht="15.75">
      <c r="A42" s="59" t="s">
        <v>27</v>
      </c>
      <c r="B42" s="60"/>
      <c r="C42" s="60"/>
      <c r="D42" s="60"/>
      <c r="E42" s="60"/>
      <c r="F42" s="60"/>
    </row>
    <row r="43" spans="1:6" ht="15.75">
      <c r="A43" s="60"/>
      <c r="B43" s="80" t="s">
        <v>902</v>
      </c>
      <c r="C43" s="60"/>
      <c r="D43" s="78">
        <v>84231</v>
      </c>
      <c r="E43" s="60"/>
      <c r="F43" s="60"/>
    </row>
    <row r="44" spans="1:6" ht="15.75">
      <c r="A44" s="60"/>
      <c r="B44" s="80" t="s">
        <v>903</v>
      </c>
      <c r="C44" s="60"/>
      <c r="D44" s="78"/>
      <c r="E44" s="60"/>
      <c r="F44" s="60"/>
    </row>
    <row r="45" spans="1:6" ht="15.75">
      <c r="A45" s="60"/>
      <c r="B45" s="80" t="s">
        <v>904</v>
      </c>
      <c r="C45" s="60"/>
      <c r="D45" s="78">
        <v>5955</v>
      </c>
      <c r="E45" s="60"/>
      <c r="F45" s="60"/>
    </row>
    <row r="46" spans="1:6" ht="15.75">
      <c r="A46" s="60"/>
      <c r="B46" s="80" t="s">
        <v>905</v>
      </c>
      <c r="C46" s="60"/>
      <c r="D46" s="78">
        <v>192355</v>
      </c>
      <c r="E46" s="60"/>
      <c r="F46" s="60"/>
    </row>
    <row r="47" spans="1:6" ht="15.75">
      <c r="A47" s="60"/>
      <c r="B47" s="80" t="s">
        <v>906</v>
      </c>
      <c r="C47" s="60"/>
      <c r="D47" s="78">
        <v>39340</v>
      </c>
      <c r="E47" s="60"/>
      <c r="F47" s="60"/>
    </row>
    <row r="48" spans="1:6" ht="15.75">
      <c r="A48" s="60"/>
      <c r="B48" s="80" t="s">
        <v>907</v>
      </c>
      <c r="C48" s="60"/>
      <c r="D48" s="78">
        <v>365694</v>
      </c>
      <c r="E48" s="60"/>
      <c r="F48" s="60"/>
    </row>
    <row r="49" spans="1:6" ht="15.75">
      <c r="A49" s="60"/>
      <c r="B49" s="80" t="s">
        <v>908</v>
      </c>
      <c r="C49" s="60"/>
      <c r="D49" s="78">
        <v>180858</v>
      </c>
      <c r="E49" s="60"/>
      <c r="F49" s="60"/>
    </row>
    <row r="50" spans="1:6" ht="15.75">
      <c r="A50" s="60"/>
      <c r="B50" s="80"/>
      <c r="C50" s="60"/>
      <c r="D50" s="78"/>
      <c r="E50" s="60"/>
      <c r="F50" s="60"/>
    </row>
    <row r="51" spans="1:6" ht="15.75">
      <c r="A51" s="60"/>
      <c r="B51" s="80"/>
      <c r="C51" s="60"/>
      <c r="D51" s="78"/>
      <c r="E51" s="60"/>
      <c r="F51" s="60"/>
    </row>
    <row r="52" spans="1:6" ht="15.75">
      <c r="A52" s="60"/>
      <c r="B52" s="80"/>
      <c r="C52" s="60"/>
      <c r="D52" s="78"/>
      <c r="E52" s="60"/>
      <c r="F52" s="60"/>
    </row>
    <row r="53" spans="1:6" ht="15.75">
      <c r="A53" s="60"/>
      <c r="B53" s="80"/>
      <c r="C53" s="60"/>
      <c r="D53" s="78"/>
      <c r="E53" s="60"/>
      <c r="F53" s="60"/>
    </row>
    <row r="54" spans="1:6" ht="15.75">
      <c r="A54" s="60"/>
      <c r="B54" s="80"/>
      <c r="C54" s="60"/>
      <c r="D54" s="78"/>
      <c r="E54" s="60"/>
      <c r="F54" s="60"/>
    </row>
    <row r="55" spans="1:6" ht="15.75">
      <c r="A55" s="60"/>
      <c r="B55" s="80"/>
      <c r="C55" s="60"/>
      <c r="D55" s="78"/>
      <c r="E55" s="60"/>
      <c r="F55" s="60"/>
    </row>
    <row r="56" spans="1:6" ht="15.75">
      <c r="A56" s="60"/>
      <c r="B56" s="80"/>
      <c r="C56" s="60"/>
      <c r="D56" s="78"/>
      <c r="E56" s="60"/>
      <c r="F56" s="60"/>
    </row>
    <row r="57" spans="1:6" ht="15.75">
      <c r="A57" s="60"/>
      <c r="B57" s="80"/>
      <c r="C57" s="60"/>
      <c r="D57" s="78"/>
      <c r="E57" s="60"/>
      <c r="F57" s="60"/>
    </row>
    <row r="58" spans="1:6" ht="15.75">
      <c r="A58" s="60"/>
      <c r="B58" s="80"/>
      <c r="C58" s="60"/>
      <c r="D58" s="78"/>
      <c r="E58" s="60"/>
      <c r="F58" s="60"/>
    </row>
    <row r="59" spans="1:6" ht="15.75">
      <c r="A59" s="86" t="str">
        <f>CONCATENATE("Total Expenditures for ",C4-1," Budgeted Year")</f>
        <v>Total Expenditures for 2014 Budgeted Year</v>
      </c>
      <c r="B59" s="91"/>
      <c r="C59" s="92"/>
      <c r="D59" s="93">
        <f>SUM(D16:D40,D43:D58)</f>
        <v>9013827</v>
      </c>
      <c r="E59" s="60"/>
      <c r="F59" s="60"/>
    </row>
    <row r="60" spans="1:6" ht="15.75">
      <c r="A60" s="94"/>
      <c r="B60" s="95"/>
      <c r="C60" s="60"/>
      <c r="D60" s="96"/>
      <c r="E60" s="60"/>
      <c r="F60" s="60"/>
    </row>
    <row r="61" spans="1:6" ht="15.75">
      <c r="A61" s="60" t="s">
        <v>13</v>
      </c>
      <c r="B61" s="95"/>
      <c r="C61" s="60"/>
      <c r="D61" s="60"/>
      <c r="E61" s="60"/>
      <c r="F61" s="60"/>
    </row>
    <row r="62" spans="1:6" ht="15.75">
      <c r="A62" s="60">
        <v>1</v>
      </c>
      <c r="B62" s="80" t="s">
        <v>909</v>
      </c>
      <c r="C62" s="60"/>
      <c r="D62" s="60"/>
      <c r="E62" s="60"/>
      <c r="F62" s="60"/>
    </row>
    <row r="63" spans="1:6" ht="15.75">
      <c r="A63" s="60">
        <v>2</v>
      </c>
      <c r="B63" s="80" t="s">
        <v>910</v>
      </c>
      <c r="C63" s="60"/>
      <c r="D63" s="60"/>
      <c r="E63" s="60"/>
      <c r="F63" s="60"/>
    </row>
    <row r="64" spans="1:6" ht="15.75">
      <c r="A64" s="60">
        <v>3</v>
      </c>
      <c r="B64" s="80" t="s">
        <v>911</v>
      </c>
      <c r="C64" s="60"/>
      <c r="D64" s="60"/>
      <c r="E64" s="60"/>
      <c r="F64" s="60"/>
    </row>
    <row r="65" spans="1:6" ht="15.75">
      <c r="A65" s="60">
        <v>4</v>
      </c>
      <c r="B65" s="80" t="s">
        <v>912</v>
      </c>
      <c r="C65" s="60"/>
      <c r="D65" s="60"/>
      <c r="E65" s="60"/>
      <c r="F65" s="60"/>
    </row>
    <row r="66" spans="1:6" ht="15.75">
      <c r="A66" s="60">
        <v>5</v>
      </c>
      <c r="B66" s="80" t="s">
        <v>913</v>
      </c>
      <c r="C66" s="60"/>
      <c r="D66" s="60"/>
      <c r="E66" s="60"/>
      <c r="F66" s="60"/>
    </row>
    <row r="67" spans="1:6" ht="15.75">
      <c r="A67" s="60" t="s">
        <v>22</v>
      </c>
      <c r="B67" s="95"/>
      <c r="C67" s="60"/>
      <c r="D67" s="60"/>
      <c r="E67" s="60"/>
      <c r="F67" s="60"/>
    </row>
    <row r="68" spans="1:6" ht="15.75">
      <c r="A68" s="60">
        <v>1</v>
      </c>
      <c r="B68" s="80" t="s">
        <v>914</v>
      </c>
      <c r="C68" s="60"/>
      <c r="D68" s="60"/>
      <c r="E68" s="60"/>
      <c r="F68" s="60"/>
    </row>
    <row r="69" spans="1:6" ht="15.75">
      <c r="A69" s="60">
        <v>2</v>
      </c>
      <c r="B69" s="80" t="s">
        <v>915</v>
      </c>
      <c r="C69" s="60"/>
      <c r="D69" s="60"/>
      <c r="E69" s="60"/>
      <c r="F69" s="60"/>
    </row>
    <row r="70" spans="1:6" ht="15.75">
      <c r="A70" s="60">
        <v>3</v>
      </c>
      <c r="B70" s="80" t="s">
        <v>916</v>
      </c>
      <c r="C70" s="60"/>
      <c r="D70" s="60"/>
      <c r="E70" s="60"/>
      <c r="F70" s="60"/>
    </row>
    <row r="71" spans="1:6" ht="15.75">
      <c r="A71" s="60">
        <v>4</v>
      </c>
      <c r="B71" s="80" t="s">
        <v>917</v>
      </c>
      <c r="C71" s="60"/>
      <c r="D71" s="60"/>
      <c r="E71" s="60"/>
      <c r="F71" s="60"/>
    </row>
    <row r="72" spans="1:6" ht="15.75">
      <c r="A72" s="60">
        <v>5</v>
      </c>
      <c r="B72" s="80" t="s">
        <v>918</v>
      </c>
      <c r="C72" s="60"/>
      <c r="D72" s="60"/>
      <c r="E72" s="60"/>
      <c r="F72" s="60"/>
    </row>
    <row r="73" spans="1:6" ht="15.75">
      <c r="A73" s="60" t="s">
        <v>24</v>
      </c>
      <c r="B73" s="95"/>
      <c r="C73" s="60"/>
      <c r="D73" s="60"/>
      <c r="E73" s="60"/>
      <c r="F73" s="60"/>
    </row>
    <row r="74" spans="1:6" ht="15.75">
      <c r="A74" s="60">
        <v>1</v>
      </c>
      <c r="B74" s="80" t="s">
        <v>919</v>
      </c>
      <c r="C74" s="60"/>
      <c r="D74" s="60"/>
      <c r="E74" s="60"/>
      <c r="F74" s="60"/>
    </row>
    <row r="75" spans="1:6" ht="15.75">
      <c r="A75" s="60">
        <v>2</v>
      </c>
      <c r="B75" s="80" t="s">
        <v>920</v>
      </c>
      <c r="C75" s="60"/>
      <c r="D75" s="60"/>
      <c r="E75" s="60"/>
      <c r="F75" s="60"/>
    </row>
    <row r="76" spans="1:6" ht="15.75">
      <c r="A76" s="60">
        <v>3</v>
      </c>
      <c r="B76" s="80" t="s">
        <v>921</v>
      </c>
      <c r="C76" s="60"/>
      <c r="D76" s="60"/>
      <c r="E76" s="60"/>
      <c r="F76" s="60"/>
    </row>
    <row r="77" spans="1:6" ht="15.75">
      <c r="A77" s="60">
        <v>4</v>
      </c>
      <c r="B77" s="80" t="s">
        <v>922</v>
      </c>
      <c r="C77" s="60"/>
      <c r="D77" s="60"/>
      <c r="E77" s="60"/>
      <c r="F77" s="60"/>
    </row>
    <row r="78" spans="1:6" ht="15.75">
      <c r="A78" s="60">
        <v>5</v>
      </c>
      <c r="B78" s="80" t="s">
        <v>923</v>
      </c>
      <c r="C78" s="60"/>
      <c r="D78" s="60"/>
      <c r="E78" s="60"/>
      <c r="F78" s="60"/>
    </row>
    <row r="79" spans="1:6" ht="15.75">
      <c r="A79" s="60" t="s">
        <v>26</v>
      </c>
      <c r="B79" s="95"/>
      <c r="C79" s="60"/>
      <c r="D79" s="60"/>
      <c r="E79" s="60"/>
      <c r="F79" s="60"/>
    </row>
    <row r="80" spans="1:6" ht="15.75">
      <c r="A80" s="60">
        <v>1</v>
      </c>
      <c r="B80" s="80" t="s">
        <v>924</v>
      </c>
      <c r="C80" s="60"/>
      <c r="D80" s="60"/>
      <c r="E80" s="60"/>
      <c r="F80" s="60"/>
    </row>
    <row r="81" spans="1:6" ht="15.75">
      <c r="A81" s="60">
        <v>2</v>
      </c>
      <c r="B81" s="80"/>
      <c r="C81" s="60"/>
      <c r="D81" s="60"/>
      <c r="E81" s="60"/>
      <c r="F81" s="60"/>
    </row>
    <row r="82" spans="1:6" ht="15.75">
      <c r="A82" s="60">
        <v>3</v>
      </c>
      <c r="B82" s="80"/>
      <c r="C82" s="60"/>
      <c r="D82" s="60"/>
      <c r="E82" s="60"/>
      <c r="F82" s="60"/>
    </row>
    <row r="83" spans="1:6" ht="15.75">
      <c r="A83" s="60">
        <v>4</v>
      </c>
      <c r="B83" s="80"/>
      <c r="C83" s="60"/>
      <c r="D83" s="60"/>
      <c r="E83" s="60"/>
      <c r="F83" s="60"/>
    </row>
    <row r="84" spans="1:6" ht="15.75">
      <c r="A84" s="60">
        <v>5</v>
      </c>
      <c r="B84" s="80"/>
      <c r="C84" s="60"/>
      <c r="D84" s="60"/>
      <c r="E84" s="60"/>
      <c r="F84" s="60"/>
    </row>
    <row r="85" spans="1:6" ht="15.75">
      <c r="A85" s="86" t="str">
        <f>CONCATENATE("County's Final Assessed Valuation for ",C4-1," (November 1,",C4-2," Abstract):")</f>
        <v>County's Final Assessed Valuation for 2014 (November 1,2013 Abstract):</v>
      </c>
      <c r="B85" s="87"/>
      <c r="C85" s="87"/>
      <c r="D85" s="87"/>
      <c r="E85" s="92"/>
      <c r="F85" s="85">
        <v>46386801</v>
      </c>
    </row>
    <row r="86" spans="1:6" ht="15.75">
      <c r="A86" s="59"/>
      <c r="B86" s="60"/>
      <c r="C86" s="60"/>
      <c r="D86" s="60"/>
      <c r="E86" s="60"/>
      <c r="F86" s="60"/>
    </row>
    <row r="87" spans="1:6" ht="15.75">
      <c r="A87" s="60"/>
      <c r="B87" s="60"/>
      <c r="C87" s="60"/>
      <c r="D87" s="60"/>
      <c r="E87" s="60"/>
      <c r="F87" s="60"/>
    </row>
    <row r="88" spans="1:6" ht="15.75">
      <c r="A88" s="97" t="str">
        <f>CONCATENATE("From the ",C4-1," Budget:")</f>
        <v>From the 2014 Budget:</v>
      </c>
      <c r="B88" s="68"/>
      <c r="C88" s="60"/>
      <c r="D88" s="743" t="str">
        <f>CONCATENATE("",C4-3," Tax Rate (",C4-2," Column)")</f>
        <v>2012 Tax Rate (2013 Column)</v>
      </c>
      <c r="E88" s="98"/>
      <c r="F88" s="60"/>
    </row>
    <row r="89" spans="1:6" ht="15.75">
      <c r="A89" s="97" t="s">
        <v>113</v>
      </c>
      <c r="B89" s="99"/>
      <c r="C89" s="60"/>
      <c r="D89" s="744"/>
      <c r="E89" s="98"/>
      <c r="F89" s="60"/>
    </row>
    <row r="90" spans="1:6" ht="15.75">
      <c r="A90" s="60"/>
      <c r="B90" s="100" t="str">
        <f>B16</f>
        <v>General</v>
      </c>
      <c r="C90" s="60"/>
      <c r="D90" s="80">
        <v>42.155</v>
      </c>
      <c r="E90" s="98"/>
      <c r="F90" s="60"/>
    </row>
    <row r="91" spans="1:6" ht="15.75">
      <c r="A91" s="60"/>
      <c r="B91" s="100">
        <f>B17</f>
        <v>0</v>
      </c>
      <c r="C91" s="60"/>
      <c r="D91" s="80"/>
      <c r="E91" s="98"/>
      <c r="F91" s="60"/>
    </row>
    <row r="92" spans="1:6" ht="15.75">
      <c r="A92" s="60"/>
      <c r="B92" s="100" t="str">
        <f>B18</f>
        <v>Road &amp; Bridge</v>
      </c>
      <c r="C92" s="60"/>
      <c r="D92" s="80">
        <v>32.575</v>
      </c>
      <c r="E92" s="98"/>
      <c r="F92" s="60"/>
    </row>
    <row r="93" spans="1:6" ht="15.75">
      <c r="A93" s="60"/>
      <c r="B93" s="100" t="str">
        <f aca="true" t="shared" si="1" ref="B93:B114">B19</f>
        <v>Noxious Weed</v>
      </c>
      <c r="C93" s="60"/>
      <c r="D93" s="80">
        <v>2.782</v>
      </c>
      <c r="E93" s="98"/>
      <c r="F93" s="60"/>
    </row>
    <row r="94" spans="1:6" ht="15.75">
      <c r="A94" s="60"/>
      <c r="B94" s="100" t="str">
        <f t="shared" si="1"/>
        <v>Mental Health</v>
      </c>
      <c r="C94" s="60"/>
      <c r="D94" s="80">
        <v>0.347</v>
      </c>
      <c r="E94" s="98"/>
      <c r="F94" s="60"/>
    </row>
    <row r="95" spans="1:6" ht="15.75">
      <c r="A95" s="60"/>
      <c r="B95" s="100" t="str">
        <f t="shared" si="1"/>
        <v>Public Health</v>
      </c>
      <c r="C95" s="60"/>
      <c r="D95" s="80">
        <v>0.502</v>
      </c>
      <c r="E95" s="98"/>
      <c r="F95" s="60"/>
    </row>
    <row r="96" spans="1:6" ht="15.75">
      <c r="A96" s="60"/>
      <c r="B96" s="100" t="str">
        <f t="shared" si="1"/>
        <v>Council on Aging</v>
      </c>
      <c r="C96" s="60"/>
      <c r="D96" s="80">
        <v>0.76</v>
      </c>
      <c r="E96" s="98"/>
      <c r="F96" s="60"/>
    </row>
    <row r="97" spans="1:6" ht="15.75">
      <c r="A97" s="60"/>
      <c r="B97" s="100" t="str">
        <f t="shared" si="1"/>
        <v>Library Service Contract</v>
      </c>
      <c r="C97" s="60"/>
      <c r="D97" s="80">
        <v>0.367</v>
      </c>
      <c r="E97" s="98"/>
      <c r="F97" s="60"/>
    </row>
    <row r="98" spans="1:6" ht="15.75">
      <c r="A98" s="60"/>
      <c r="B98" s="100" t="str">
        <f t="shared" si="1"/>
        <v>Hospital Maintenance</v>
      </c>
      <c r="C98" s="60"/>
      <c r="D98" s="80">
        <v>10.24</v>
      </c>
      <c r="E98" s="98"/>
      <c r="F98" s="60"/>
    </row>
    <row r="99" spans="1:6" ht="15.75">
      <c r="A99" s="60"/>
      <c r="B99" s="100" t="str">
        <f t="shared" si="1"/>
        <v>Mental Retardation</v>
      </c>
      <c r="C99" s="60"/>
      <c r="D99" s="80">
        <v>0.978</v>
      </c>
      <c r="E99" s="98"/>
      <c r="F99" s="60"/>
    </row>
    <row r="100" spans="1:6" ht="15.75">
      <c r="A100" s="60"/>
      <c r="B100" s="100" t="str">
        <f t="shared" si="1"/>
        <v>Pool Lease-Purchase</v>
      </c>
      <c r="C100" s="60"/>
      <c r="D100" s="80">
        <v>3.221</v>
      </c>
      <c r="E100" s="98"/>
      <c r="F100" s="60"/>
    </row>
    <row r="101" spans="1:6" ht="15.75">
      <c r="A101" s="60"/>
      <c r="B101" s="100">
        <f t="shared" si="1"/>
        <v>0</v>
      </c>
      <c r="C101" s="60"/>
      <c r="D101" s="80"/>
      <c r="E101" s="98"/>
      <c r="F101" s="60"/>
    </row>
    <row r="102" spans="1:6" ht="15.75">
      <c r="A102" s="60"/>
      <c r="B102" s="100">
        <f t="shared" si="1"/>
        <v>0</v>
      </c>
      <c r="C102" s="60"/>
      <c r="D102" s="80"/>
      <c r="E102" s="98"/>
      <c r="F102" s="60"/>
    </row>
    <row r="103" spans="1:6" ht="15.75">
      <c r="A103" s="60"/>
      <c r="B103" s="100">
        <f t="shared" si="1"/>
        <v>0</v>
      </c>
      <c r="C103" s="60"/>
      <c r="D103" s="80"/>
      <c r="E103" s="98"/>
      <c r="F103" s="60"/>
    </row>
    <row r="104" spans="1:6" ht="15.75">
      <c r="A104" s="60"/>
      <c r="B104" s="100">
        <f t="shared" si="1"/>
        <v>0</v>
      </c>
      <c r="C104" s="60"/>
      <c r="D104" s="80"/>
      <c r="E104" s="98"/>
      <c r="F104" s="60"/>
    </row>
    <row r="105" spans="1:6" ht="15.75">
      <c r="A105" s="60"/>
      <c r="B105" s="100">
        <f t="shared" si="1"/>
        <v>0</v>
      </c>
      <c r="C105" s="60"/>
      <c r="D105" s="80"/>
      <c r="E105" s="98"/>
      <c r="F105" s="60"/>
    </row>
    <row r="106" spans="1:6" ht="15.75">
      <c r="A106" s="60"/>
      <c r="B106" s="100">
        <f t="shared" si="1"/>
        <v>0</v>
      </c>
      <c r="C106" s="60"/>
      <c r="D106" s="80"/>
      <c r="E106" s="98"/>
      <c r="F106" s="60"/>
    </row>
    <row r="107" spans="1:6" ht="15.75">
      <c r="A107" s="60"/>
      <c r="B107" s="100">
        <f t="shared" si="1"/>
        <v>0</v>
      </c>
      <c r="C107" s="60"/>
      <c r="D107" s="80"/>
      <c r="E107" s="98"/>
      <c r="F107" s="60"/>
    </row>
    <row r="108" spans="1:6" ht="15.75">
      <c r="A108" s="60"/>
      <c r="B108" s="100">
        <f t="shared" si="1"/>
        <v>0</v>
      </c>
      <c r="C108" s="60"/>
      <c r="D108" s="80"/>
      <c r="E108" s="98"/>
      <c r="F108" s="60"/>
    </row>
    <row r="109" spans="1:6" ht="15.75">
      <c r="A109" s="60"/>
      <c r="B109" s="100">
        <f t="shared" si="1"/>
        <v>0</v>
      </c>
      <c r="C109" s="60"/>
      <c r="D109" s="80"/>
      <c r="E109" s="98"/>
      <c r="F109" s="60"/>
    </row>
    <row r="110" spans="1:6" ht="15.75">
      <c r="A110" s="60"/>
      <c r="B110" s="100">
        <f t="shared" si="1"/>
        <v>0</v>
      </c>
      <c r="C110" s="60"/>
      <c r="D110" s="80"/>
      <c r="E110" s="98"/>
      <c r="F110" s="60"/>
    </row>
    <row r="111" spans="1:6" ht="15.75">
      <c r="A111" s="60"/>
      <c r="B111" s="100">
        <f t="shared" si="1"/>
        <v>0</v>
      </c>
      <c r="C111" s="60"/>
      <c r="D111" s="80"/>
      <c r="E111" s="98"/>
      <c r="F111" s="60"/>
    </row>
    <row r="112" spans="1:6" ht="15.75">
      <c r="A112" s="60"/>
      <c r="B112" s="100">
        <f t="shared" si="1"/>
        <v>0</v>
      </c>
      <c r="C112" s="60"/>
      <c r="D112" s="80"/>
      <c r="E112" s="98"/>
      <c r="F112" s="60"/>
    </row>
    <row r="113" spans="1:6" ht="15.75">
      <c r="A113" s="60"/>
      <c r="B113" s="100">
        <f t="shared" si="1"/>
        <v>0</v>
      </c>
      <c r="C113" s="60"/>
      <c r="D113" s="80"/>
      <c r="E113" s="98"/>
      <c r="F113" s="60"/>
    </row>
    <row r="114" spans="1:6" ht="15.75">
      <c r="A114" s="60"/>
      <c r="B114" s="100">
        <f t="shared" si="1"/>
        <v>0</v>
      </c>
      <c r="C114" s="60"/>
      <c r="D114" s="80"/>
      <c r="E114" s="98"/>
      <c r="F114" s="60"/>
    </row>
    <row r="115" spans="1:6" ht="15.75">
      <c r="A115" s="87" t="s">
        <v>123</v>
      </c>
      <c r="B115" s="87"/>
      <c r="C115" s="92"/>
      <c r="D115" s="90">
        <f>SUM(D90:D114)</f>
        <v>93.92699999999999</v>
      </c>
      <c r="E115" s="98"/>
      <c r="F115" s="60"/>
    </row>
    <row r="116" spans="1:6" ht="15.75">
      <c r="A116" s="60"/>
      <c r="B116" s="60"/>
      <c r="C116" s="60"/>
      <c r="D116" s="60"/>
      <c r="E116" s="60"/>
      <c r="F116" s="60"/>
    </row>
    <row r="117" spans="1:6" ht="15.75">
      <c r="A117" s="101" t="str">
        <f>CONCATENATE("Total Tax Levied (",C4-2," budget column)")</f>
        <v>Total Tax Levied (2013 budget column)</v>
      </c>
      <c r="B117" s="102"/>
      <c r="C117" s="87"/>
      <c r="D117" s="87"/>
      <c r="E117" s="92"/>
      <c r="F117" s="85">
        <v>4064290</v>
      </c>
    </row>
    <row r="118" spans="1:6" ht="15.75">
      <c r="A118" s="103" t="str">
        <f>CONCATENATE("Assessed Valuation  (",C4-2," budget column)")</f>
        <v>Assessed Valuation  (2013 budget column)</v>
      </c>
      <c r="B118" s="104"/>
      <c r="C118" s="105"/>
      <c r="D118" s="105"/>
      <c r="E118" s="88"/>
      <c r="F118" s="85">
        <v>43270173</v>
      </c>
    </row>
    <row r="119" spans="1:6" ht="15.75">
      <c r="A119" s="94"/>
      <c r="B119" s="61"/>
      <c r="C119" s="61"/>
      <c r="D119" s="61"/>
      <c r="E119" s="61"/>
      <c r="F119" s="106"/>
    </row>
    <row r="120" spans="1:6" ht="15.75">
      <c r="A120" s="107" t="str">
        <f>CONCATENATE("From the ",C4-1," Budget, Budget Summary Page:")</f>
        <v>From the 2014 Budget, Budget Summary Page:</v>
      </c>
      <c r="B120" s="108"/>
      <c r="C120" s="98"/>
      <c r="D120" s="98"/>
      <c r="E120" s="98"/>
      <c r="F120" s="98"/>
    </row>
    <row r="121" spans="1:6" ht="15.75">
      <c r="A121" s="109" t="s">
        <v>0</v>
      </c>
      <c r="B121" s="109"/>
      <c r="C121" s="110"/>
      <c r="D121" s="111">
        <f>C4-3</f>
        <v>2012</v>
      </c>
      <c r="E121" s="112">
        <f>C4-2</f>
        <v>2013</v>
      </c>
      <c r="F121" s="98"/>
    </row>
    <row r="122" spans="1:6" ht="15.75">
      <c r="A122" s="113" t="s">
        <v>1</v>
      </c>
      <c r="B122" s="113"/>
      <c r="C122" s="114"/>
      <c r="D122" s="78">
        <v>0</v>
      </c>
      <c r="E122" s="78">
        <v>0</v>
      </c>
      <c r="F122" s="98"/>
    </row>
    <row r="123" spans="1:6" s="116" customFormat="1" ht="15.75">
      <c r="A123" s="115" t="s">
        <v>2</v>
      </c>
      <c r="B123" s="115"/>
      <c r="C123" s="114"/>
      <c r="D123" s="78">
        <v>0</v>
      </c>
      <c r="E123" s="78">
        <v>0</v>
      </c>
      <c r="F123" s="110"/>
    </row>
    <row r="124" spans="1:6" s="116" customFormat="1" ht="15.75">
      <c r="A124" s="115" t="s">
        <v>3</v>
      </c>
      <c r="B124" s="115"/>
      <c r="C124" s="114"/>
      <c r="D124" s="78">
        <v>0</v>
      </c>
      <c r="E124" s="78">
        <v>0</v>
      </c>
      <c r="F124" s="110"/>
    </row>
    <row r="125" spans="1:6" s="116" customFormat="1" ht="15.75">
      <c r="A125" s="115" t="s">
        <v>4</v>
      </c>
      <c r="B125" s="115"/>
      <c r="C125" s="114"/>
      <c r="D125" s="78">
        <v>0</v>
      </c>
      <c r="E125" s="78">
        <v>0</v>
      </c>
      <c r="F125" s="110"/>
    </row>
    <row r="126" s="116" customFormat="1" ht="15.75"/>
  </sheetData>
  <sheetProtection/>
  <mergeCells count="4">
    <mergeCell ref="D88:D89"/>
    <mergeCell ref="A9:F9"/>
    <mergeCell ref="A1:F1"/>
    <mergeCell ref="H6:I11"/>
  </mergeCells>
  <printOptions/>
  <pageMargins left="0.5" right="0.5" top="1" bottom="0.5" header="0.5" footer="0.25"/>
  <pageSetup blackAndWhite="1" fitToHeight="3" fitToWidth="1" horizontalDpi="120" verticalDpi="120" orientation="portrait" scale="90" r:id="rId1"/>
</worksheet>
</file>

<file path=xl/worksheets/sheet20.xml><?xml version="1.0" encoding="utf-8"?>
<worksheet xmlns="http://schemas.openxmlformats.org/spreadsheetml/2006/main" xmlns:r="http://schemas.openxmlformats.org/officeDocument/2006/relationships">
  <dimension ref="B1:E60"/>
  <sheetViews>
    <sheetView zoomScalePageLayoutView="0" workbookViewId="0" topLeftCell="A22">
      <selection activeCell="E117" sqref="E117"/>
    </sheetView>
  </sheetViews>
  <sheetFormatPr defaultColWidth="8.796875" defaultRowHeight="15"/>
  <cols>
    <col min="1" max="1" width="2.3984375" style="48" customWidth="1"/>
    <col min="2" max="2" width="31.09765625" style="48" customWidth="1"/>
    <col min="3" max="4" width="15.796875" style="48" customWidth="1"/>
    <col min="5" max="5" width="16.09765625" style="48" customWidth="1"/>
    <col min="6" max="16384" width="8.8984375" style="48" customWidth="1"/>
  </cols>
  <sheetData>
    <row r="1" spans="2:5" ht="15.75">
      <c r="B1" s="198" t="str">
        <f>(inputPrYr!C2)</f>
        <v>Sheridan County</v>
      </c>
      <c r="C1" s="60"/>
      <c r="D1" s="60"/>
      <c r="E1" s="251">
        <f>inputPrYr!C4</f>
        <v>2015</v>
      </c>
    </row>
    <row r="2" spans="2:5" ht="15.75">
      <c r="B2" s="60"/>
      <c r="C2" s="60"/>
      <c r="D2" s="60"/>
      <c r="E2" s="205"/>
    </row>
    <row r="3" spans="2:5" ht="15.75">
      <c r="B3" s="125" t="s">
        <v>228</v>
      </c>
      <c r="C3" s="297"/>
      <c r="D3" s="297"/>
      <c r="E3" s="298"/>
    </row>
    <row r="4" spans="2:5" ht="15.75">
      <c r="B4" s="60"/>
      <c r="C4" s="291"/>
      <c r="D4" s="291"/>
      <c r="E4" s="291"/>
    </row>
    <row r="5" spans="2:5" ht="15.75">
      <c r="B5" s="59" t="s">
        <v>152</v>
      </c>
      <c r="C5" s="287" t="str">
        <f>general!C4</f>
        <v>Prior Year </v>
      </c>
      <c r="D5" s="185" t="str">
        <f>general!D4</f>
        <v>Current Year </v>
      </c>
      <c r="E5" s="185" t="str">
        <f>general!E4</f>
        <v>Proposed Budget </v>
      </c>
    </row>
    <row r="6" spans="2:5" ht="15.75">
      <c r="B6" s="417" t="str">
        <f>inputPrYr!B43</f>
        <v>Noxious Weed Capital Outlay</v>
      </c>
      <c r="C6" s="280" t="str">
        <f>general!C5</f>
        <v>Actual for 2013</v>
      </c>
      <c r="D6" s="280" t="str">
        <f>general!D5</f>
        <v>Estimate for 2014</v>
      </c>
      <c r="E6" s="267" t="str">
        <f>general!E5</f>
        <v>Year for 2015</v>
      </c>
    </row>
    <row r="7" spans="2:5" ht="15.75">
      <c r="B7" s="121" t="s">
        <v>259</v>
      </c>
      <c r="C7" s="85">
        <v>65231</v>
      </c>
      <c r="D7" s="230">
        <f>C24</f>
        <v>75231</v>
      </c>
      <c r="E7" s="230">
        <f>D24</f>
        <v>76496</v>
      </c>
    </row>
    <row r="8" spans="2:5" ht="15.75">
      <c r="B8" s="299" t="s">
        <v>261</v>
      </c>
      <c r="C8" s="81"/>
      <c r="D8" s="81"/>
      <c r="E8" s="81"/>
    </row>
    <row r="9" spans="2:5" ht="15.75">
      <c r="B9" s="282" t="s">
        <v>1027</v>
      </c>
      <c r="C9" s="85">
        <v>10000</v>
      </c>
      <c r="D9" s="85">
        <v>10000</v>
      </c>
      <c r="E9" s="85">
        <v>10000</v>
      </c>
    </row>
    <row r="10" spans="2:5" ht="15.75">
      <c r="B10" s="282"/>
      <c r="C10" s="85"/>
      <c r="D10" s="85"/>
      <c r="E10" s="85"/>
    </row>
    <row r="11" spans="2:5" ht="15.75">
      <c r="B11" s="274" t="s">
        <v>68</v>
      </c>
      <c r="C11" s="85"/>
      <c r="D11" s="269"/>
      <c r="E11" s="269"/>
    </row>
    <row r="12" spans="2:5" ht="15.75">
      <c r="B12" s="274" t="s">
        <v>634</v>
      </c>
      <c r="C12" s="414">
        <f>IF(C13*0.1&lt;C11,"Exceed 10% Rule","")</f>
      </c>
      <c r="D12" s="275">
        <f>IF(D13*0.1&lt;D11,"Exceed 10% Rule","")</f>
      </c>
      <c r="E12" s="275">
        <f>IF(E13*0.1&lt;E11,"Exceed 10% Rule","")</f>
      </c>
    </row>
    <row r="13" spans="2:5" ht="15.75">
      <c r="B13" s="276" t="s">
        <v>159</v>
      </c>
      <c r="C13" s="306">
        <f>SUM(C9:C11)</f>
        <v>10000</v>
      </c>
      <c r="D13" s="306">
        <f>SUM(D9:D11)</f>
        <v>10000</v>
      </c>
      <c r="E13" s="306">
        <f>SUM(E9:E11)</f>
        <v>10000</v>
      </c>
    </row>
    <row r="14" spans="2:5" ht="15.75">
      <c r="B14" s="276" t="s">
        <v>160</v>
      </c>
      <c r="C14" s="306">
        <f>C13+C7</f>
        <v>75231</v>
      </c>
      <c r="D14" s="306">
        <f>D13+D7</f>
        <v>85231</v>
      </c>
      <c r="E14" s="306">
        <f>E13+E7</f>
        <v>86496</v>
      </c>
    </row>
    <row r="15" spans="2:5" ht="15.75">
      <c r="B15" s="121" t="s">
        <v>162</v>
      </c>
      <c r="C15" s="230"/>
      <c r="D15" s="230"/>
      <c r="E15" s="230"/>
    </row>
    <row r="16" spans="2:5" ht="15.75">
      <c r="B16" s="282" t="s">
        <v>1023</v>
      </c>
      <c r="C16" s="85"/>
      <c r="D16" s="85">
        <v>8735</v>
      </c>
      <c r="E16" s="85">
        <v>86496</v>
      </c>
    </row>
    <row r="17" spans="2:5" ht="15.75">
      <c r="B17" s="282"/>
      <c r="C17" s="85"/>
      <c r="D17" s="85"/>
      <c r="E17" s="85"/>
    </row>
    <row r="18" spans="2:5" ht="15.75">
      <c r="B18" s="282"/>
      <c r="C18" s="85"/>
      <c r="D18" s="85"/>
      <c r="E18" s="85"/>
    </row>
    <row r="19" spans="2:5" ht="15.75">
      <c r="B19" s="282"/>
      <c r="C19" s="85"/>
      <c r="D19" s="85"/>
      <c r="E19" s="85"/>
    </row>
    <row r="20" spans="2:5" ht="15.75">
      <c r="B20" s="282"/>
      <c r="C20" s="85"/>
      <c r="D20" s="85"/>
      <c r="E20" s="85"/>
    </row>
    <row r="21" spans="2:5" ht="15.75">
      <c r="B21" s="274" t="s">
        <v>68</v>
      </c>
      <c r="C21" s="85"/>
      <c r="D21" s="269"/>
      <c r="E21" s="269"/>
    </row>
    <row r="22" spans="2:5" ht="15.75">
      <c r="B22" s="274" t="s">
        <v>633</v>
      </c>
      <c r="C22" s="414">
        <f>IF(C23*0.1&lt;C21,"Exceed 10% Rule","")</f>
      </c>
      <c r="D22" s="275">
        <f>IF(D23*0.1&lt;D21,"Exceed 10% Rule","")</f>
      </c>
      <c r="E22" s="275">
        <f>IF(E23*0.1&lt;E21,"Exceed 10% Rule","")</f>
      </c>
    </row>
    <row r="23" spans="2:5" ht="15.75">
      <c r="B23" s="276" t="s">
        <v>163</v>
      </c>
      <c r="C23" s="306">
        <f>SUM(C16:C21)</f>
        <v>0</v>
      </c>
      <c r="D23" s="306">
        <f>SUM(D16:D21)</f>
        <v>8735</v>
      </c>
      <c r="E23" s="306">
        <f>SUM(E16:E21)</f>
        <v>86496</v>
      </c>
    </row>
    <row r="24" spans="2:5" ht="15.75">
      <c r="B24" s="121" t="s">
        <v>260</v>
      </c>
      <c r="C24" s="93">
        <f>C14-C23</f>
        <v>75231</v>
      </c>
      <c r="D24" s="93">
        <f>D14-D23</f>
        <v>76496</v>
      </c>
      <c r="E24" s="93">
        <f>E14-E23</f>
        <v>0</v>
      </c>
    </row>
    <row r="25" spans="2:5" ht="15.75">
      <c r="B25" s="266" t="str">
        <f>CONCATENATE("",E1-2,"/",E1-1,"/",E1," Budget Authority Amount:")</f>
        <v>2013/2014/2015 Budget Authority Amount:</v>
      </c>
      <c r="C25" s="301">
        <f>inputOth!B55</f>
        <v>75231</v>
      </c>
      <c r="D25" s="301">
        <f>inputPrYr!D43</f>
        <v>84231</v>
      </c>
      <c r="E25" s="658">
        <f>E23</f>
        <v>86496</v>
      </c>
    </row>
    <row r="26" spans="2:5" ht="15.75">
      <c r="B26" s="252"/>
      <c r="C26" s="285">
        <f>IF(C23&gt;C25,"See Tab A","")</f>
      </c>
      <c r="D26" s="285">
        <f>IF(D23&gt;D25,"See Tab C","")</f>
      </c>
      <c r="E26" s="659">
        <f>IF(E24&lt;0,"See Tab E","")</f>
      </c>
    </row>
    <row r="27" spans="2:5" ht="15.75">
      <c r="B27" s="252"/>
      <c r="C27" s="285">
        <f>IF(C24&lt;0,"See Tab B","")</f>
      </c>
      <c r="D27" s="285">
        <f>IF(D24&lt;0,"See Tab D","")</f>
      </c>
      <c r="E27" s="118"/>
    </row>
    <row r="28" spans="2:5" ht="15.75">
      <c r="B28" s="60"/>
      <c r="C28" s="118"/>
      <c r="D28" s="118"/>
      <c r="E28" s="118"/>
    </row>
    <row r="29" spans="2:5" ht="15.75">
      <c r="B29" s="59" t="s">
        <v>152</v>
      </c>
      <c r="C29" s="291"/>
      <c r="D29" s="291"/>
      <c r="E29" s="291"/>
    </row>
    <row r="30" spans="2:5" ht="15.75">
      <c r="B30" s="60"/>
      <c r="C30" s="287" t="str">
        <f aca="true" t="shared" si="0" ref="C30:E31">C5</f>
        <v>Prior Year </v>
      </c>
      <c r="D30" s="185" t="str">
        <f t="shared" si="0"/>
        <v>Current Year </v>
      </c>
      <c r="E30" s="185" t="str">
        <f t="shared" si="0"/>
        <v>Proposed Budget </v>
      </c>
    </row>
    <row r="31" spans="2:5" ht="15.75">
      <c r="B31" s="416" t="str">
        <f>inputPrYr!B44</f>
        <v>911 Emergency Tax</v>
      </c>
      <c r="C31" s="280" t="str">
        <f t="shared" si="0"/>
        <v>Actual for 2013</v>
      </c>
      <c r="D31" s="280" t="str">
        <f t="shared" si="0"/>
        <v>Estimate for 2014</v>
      </c>
      <c r="E31" s="267" t="str">
        <f t="shared" si="0"/>
        <v>Year for 2015</v>
      </c>
    </row>
    <row r="32" spans="2:5" ht="15.75">
      <c r="B32" s="121" t="s">
        <v>259</v>
      </c>
      <c r="C32" s="85">
        <v>7295</v>
      </c>
      <c r="D32" s="230">
        <f>C51</f>
        <v>395</v>
      </c>
      <c r="E32" s="230">
        <f>D51</f>
        <v>0</v>
      </c>
    </row>
    <row r="33" spans="2:5" ht="15.75">
      <c r="B33" s="121" t="s">
        <v>261</v>
      </c>
      <c r="C33" s="81"/>
      <c r="D33" s="81"/>
      <c r="E33" s="81"/>
    </row>
    <row r="34" spans="2:5" ht="15.75">
      <c r="B34" s="282" t="s">
        <v>1028</v>
      </c>
      <c r="C34" s="85"/>
      <c r="D34" s="85"/>
      <c r="E34" s="85"/>
    </row>
    <row r="35" spans="2:5" ht="15.75">
      <c r="B35" s="282" t="s">
        <v>1019</v>
      </c>
      <c r="C35" s="85"/>
      <c r="D35" s="85"/>
      <c r="E35" s="85"/>
    </row>
    <row r="36" spans="2:5" ht="15.75">
      <c r="B36" s="282"/>
      <c r="C36" s="85"/>
      <c r="D36" s="85"/>
      <c r="E36" s="85"/>
    </row>
    <row r="37" spans="2:5" ht="15.75">
      <c r="B37" s="273"/>
      <c r="C37" s="85"/>
      <c r="D37" s="85"/>
      <c r="E37" s="85"/>
    </row>
    <row r="38" spans="2:5" ht="15.75">
      <c r="B38" s="274" t="s">
        <v>68</v>
      </c>
      <c r="C38" s="85"/>
      <c r="D38" s="269"/>
      <c r="E38" s="269"/>
    </row>
    <row r="39" spans="2:5" ht="15.75">
      <c r="B39" s="274" t="s">
        <v>634</v>
      </c>
      <c r="C39" s="414">
        <f>IF(C40*0.1&lt;C38,"Exceed 10% Rule","")</f>
      </c>
      <c r="D39" s="275">
        <f>IF(D40*0.1&lt;D38,"Exceed 10% Rule","")</f>
      </c>
      <c r="E39" s="275">
        <f>IF(E40*0.1&lt;E38,"Exceed 10% Rule","")</f>
      </c>
    </row>
    <row r="40" spans="2:5" ht="15.75">
      <c r="B40" s="276" t="s">
        <v>159</v>
      </c>
      <c r="C40" s="306">
        <f>SUM(C34:C38)</f>
        <v>0</v>
      </c>
      <c r="D40" s="306">
        <f>SUM(D34:D38)</f>
        <v>0</v>
      </c>
      <c r="E40" s="306">
        <f>SUM(E34:E38)</f>
        <v>0</v>
      </c>
    </row>
    <row r="41" spans="2:5" ht="15.75">
      <c r="B41" s="276" t="s">
        <v>160</v>
      </c>
      <c r="C41" s="306">
        <f>C32+C40</f>
        <v>7295</v>
      </c>
      <c r="D41" s="306">
        <f>D32+D40</f>
        <v>395</v>
      </c>
      <c r="E41" s="306">
        <f>E32+E40</f>
        <v>0</v>
      </c>
    </row>
    <row r="42" spans="2:5" ht="15.75">
      <c r="B42" s="121" t="s">
        <v>162</v>
      </c>
      <c r="C42" s="230"/>
      <c r="D42" s="230"/>
      <c r="E42" s="230"/>
    </row>
    <row r="43" spans="2:5" ht="15.75">
      <c r="B43" s="282" t="s">
        <v>1029</v>
      </c>
      <c r="C43" s="85">
        <v>6900</v>
      </c>
      <c r="D43" s="85">
        <v>395</v>
      </c>
      <c r="E43" s="85"/>
    </row>
    <row r="44" spans="2:5" ht="15.75">
      <c r="B44" s="282"/>
      <c r="C44" s="85"/>
      <c r="D44" s="85"/>
      <c r="E44" s="85"/>
    </row>
    <row r="45" spans="2:5" ht="15.75">
      <c r="B45" s="282"/>
      <c r="C45" s="85"/>
      <c r="D45" s="85"/>
      <c r="E45" s="85"/>
    </row>
    <row r="46" spans="2:5" ht="15.75">
      <c r="B46" s="282"/>
      <c r="C46" s="85"/>
      <c r="D46" s="85"/>
      <c r="E46" s="85"/>
    </row>
    <row r="47" spans="2:5" ht="15.75">
      <c r="B47" s="282"/>
      <c r="C47" s="85"/>
      <c r="D47" s="85"/>
      <c r="E47" s="85"/>
    </row>
    <row r="48" spans="2:5" ht="15.75">
      <c r="B48" s="274" t="s">
        <v>68</v>
      </c>
      <c r="C48" s="85"/>
      <c r="D48" s="269"/>
      <c r="E48" s="269"/>
    </row>
    <row r="49" spans="2:5" ht="15.75">
      <c r="B49" s="274" t="s">
        <v>633</v>
      </c>
      <c r="C49" s="414">
        <f>IF(C50*0.1&lt;C48,"Exceed 10% Rule","")</f>
      </c>
      <c r="D49" s="275">
        <f>IF(D50*0.1&lt;D48,"Exceed 10% Rule","")</f>
      </c>
      <c r="E49" s="275">
        <f>IF(E50*0.1&lt;E48,"Exceed 10% Rule","")</f>
      </c>
    </row>
    <row r="50" spans="2:5" ht="15.75">
      <c r="B50" s="276" t="s">
        <v>163</v>
      </c>
      <c r="C50" s="306">
        <f>SUM(C43:C48)</f>
        <v>6900</v>
      </c>
      <c r="D50" s="306">
        <f>SUM(D43:D48)</f>
        <v>395</v>
      </c>
      <c r="E50" s="306">
        <f>SUM(E43:E48)</f>
        <v>0</v>
      </c>
    </row>
    <row r="51" spans="2:5" ht="15.75">
      <c r="B51" s="121" t="s">
        <v>260</v>
      </c>
      <c r="C51" s="93">
        <f>C41-C50</f>
        <v>395</v>
      </c>
      <c r="D51" s="93">
        <f>D41-D50</f>
        <v>0</v>
      </c>
      <c r="E51" s="93">
        <f>E41-E50</f>
        <v>0</v>
      </c>
    </row>
    <row r="52" spans="2:5" ht="15.75">
      <c r="B52" s="266" t="str">
        <f>CONCATENATE("",E1-2,"/",E1-1,"/",E1," Budget Authority Amount:")</f>
        <v>2013/2014/2015 Budget Authority Amount:</v>
      </c>
      <c r="C52" s="301">
        <f>inputOth!B56</f>
        <v>39779</v>
      </c>
      <c r="D52" s="301">
        <f>inputPrYr!D44</f>
        <v>0</v>
      </c>
      <c r="E52" s="658">
        <f>E50</f>
        <v>0</v>
      </c>
    </row>
    <row r="53" spans="2:5" ht="15.75">
      <c r="B53" s="252"/>
      <c r="C53" s="285">
        <f>IF(C50&gt;C52,"See Tab A","")</f>
      </c>
      <c r="D53" s="285" t="str">
        <f>IF(D50&gt;D52,"See Tab C","")</f>
        <v>See Tab C</v>
      </c>
      <c r="E53" s="660">
        <f>IF(E51&lt;0,"See Tab E","")</f>
      </c>
    </row>
    <row r="54" spans="2:5" ht="15.75">
      <c r="B54" s="252"/>
      <c r="C54" s="285">
        <f>IF(C51&lt;0,"See Tab B","")</f>
      </c>
      <c r="D54" s="285">
        <f>IF(D51&lt;0,"See Tab D","")</f>
      </c>
      <c r="E54" s="60"/>
    </row>
    <row r="55" spans="2:5" ht="15.75">
      <c r="B55" s="60"/>
      <c r="C55" s="60"/>
      <c r="D55" s="60"/>
      <c r="E55" s="60"/>
    </row>
    <row r="56" spans="2:5" ht="15.75">
      <c r="B56" s="60"/>
      <c r="C56" s="60"/>
      <c r="D56" s="60"/>
      <c r="E56" s="60"/>
    </row>
    <row r="57" spans="2:5" ht="15.75">
      <c r="B57" s="60"/>
      <c r="C57" s="60"/>
      <c r="D57" s="60"/>
      <c r="E57" s="60"/>
    </row>
    <row r="58" spans="2:5" ht="15.75">
      <c r="B58" s="60"/>
      <c r="C58" s="60"/>
      <c r="D58" s="60"/>
      <c r="E58" s="60"/>
    </row>
    <row r="59" spans="2:5" ht="15.75">
      <c r="B59" s="60"/>
      <c r="C59" s="60"/>
      <c r="D59" s="60"/>
      <c r="E59" s="60"/>
    </row>
    <row r="60" spans="2:5" ht="15.75">
      <c r="B60" s="252"/>
      <c r="C60" s="720" t="s">
        <v>1030</v>
      </c>
      <c r="D60" s="60"/>
      <c r="E60" s="60"/>
    </row>
  </sheetData>
  <sheetProtection/>
  <conditionalFormatting sqref="C21">
    <cfRule type="cellIs" priority="7" dxfId="181" operator="greaterThan" stopIfTrue="1">
      <formula>$C$23*0.1</formula>
    </cfRule>
  </conditionalFormatting>
  <conditionalFormatting sqref="D21">
    <cfRule type="cellIs" priority="8" dxfId="181" operator="greaterThan" stopIfTrue="1">
      <formula>$D$23*0.1</formula>
    </cfRule>
  </conditionalFormatting>
  <conditionalFormatting sqref="E21">
    <cfRule type="cellIs" priority="9" dxfId="181" operator="greaterThan" stopIfTrue="1">
      <formula>$E$23*0.1</formula>
    </cfRule>
  </conditionalFormatting>
  <conditionalFormatting sqref="C11">
    <cfRule type="cellIs" priority="10" dxfId="181" operator="greaterThan" stopIfTrue="1">
      <formula>$C$13*0.1</formula>
    </cfRule>
  </conditionalFormatting>
  <conditionalFormatting sqref="D11">
    <cfRule type="cellIs" priority="11" dxfId="181" operator="greaterThan" stopIfTrue="1">
      <formula>$D$13*0.1</formula>
    </cfRule>
  </conditionalFormatting>
  <conditionalFormatting sqref="E11">
    <cfRule type="cellIs" priority="12" dxfId="181" operator="greaterThan" stopIfTrue="1">
      <formula>$E$13*0.1</formula>
    </cfRule>
  </conditionalFormatting>
  <conditionalFormatting sqref="C38">
    <cfRule type="cellIs" priority="13" dxfId="181" operator="greaterThan" stopIfTrue="1">
      <formula>$C$40*0.1</formula>
    </cfRule>
  </conditionalFormatting>
  <conditionalFormatting sqref="D38">
    <cfRule type="cellIs" priority="14" dxfId="181" operator="greaterThan" stopIfTrue="1">
      <formula>$D$40*0.1</formula>
    </cfRule>
  </conditionalFormatting>
  <conditionalFormatting sqref="E38">
    <cfRule type="cellIs" priority="15" dxfId="181" operator="greaterThan" stopIfTrue="1">
      <formula>$E$40*0.1</formula>
    </cfRule>
  </conditionalFormatting>
  <conditionalFormatting sqref="C48">
    <cfRule type="cellIs" priority="16" dxfId="181" operator="greaterThan" stopIfTrue="1">
      <formula>$C$50*0.1</formula>
    </cfRule>
  </conditionalFormatting>
  <conditionalFormatting sqref="D48">
    <cfRule type="cellIs" priority="17" dxfId="181" operator="greaterThan" stopIfTrue="1">
      <formula>$D$50*0.1</formula>
    </cfRule>
  </conditionalFormatting>
  <conditionalFormatting sqref="E48">
    <cfRule type="cellIs" priority="18" dxfId="181" operator="greaterThan" stopIfTrue="1">
      <formula>$E$50*0.1</formula>
    </cfRule>
  </conditionalFormatting>
  <conditionalFormatting sqref="E51 C51 E24">
    <cfRule type="cellIs" priority="19" dxfId="1" operator="lessThan" stopIfTrue="1">
      <formula>0</formula>
    </cfRule>
  </conditionalFormatting>
  <conditionalFormatting sqref="D50">
    <cfRule type="cellIs" priority="20" dxfId="1" operator="greaterThan" stopIfTrue="1">
      <formula>$D$52</formula>
    </cfRule>
  </conditionalFormatting>
  <conditionalFormatting sqref="C50">
    <cfRule type="cellIs" priority="21" dxfId="1" operator="greaterThan" stopIfTrue="1">
      <formula>$C$52</formula>
    </cfRule>
  </conditionalFormatting>
  <conditionalFormatting sqref="C23">
    <cfRule type="cellIs" priority="6" dxfId="0" operator="greaterThan" stopIfTrue="1">
      <formula>$C$25</formula>
    </cfRule>
  </conditionalFormatting>
  <conditionalFormatting sqref="D23">
    <cfRule type="cellIs" priority="5" dxfId="0" operator="greaterThan" stopIfTrue="1">
      <formula>$D$25</formula>
    </cfRule>
  </conditionalFormatting>
  <conditionalFormatting sqref="C24">
    <cfRule type="cellIs" priority="4" dxfId="0" operator="lessThan" stopIfTrue="1">
      <formula>0</formula>
    </cfRule>
  </conditionalFormatting>
  <conditionalFormatting sqref="D24">
    <cfRule type="cellIs" priority="2" dxfId="0" operator="lessThan" stopIfTrue="1">
      <formula>0</formula>
    </cfRule>
    <cfRule type="cellIs" priority="3" dxfId="0" operator="lessThan" stopIfTrue="1">
      <formula>0</formula>
    </cfRule>
  </conditionalFormatting>
  <conditionalFormatting sqref="D51">
    <cfRule type="cellIs" priority="1" dxfId="0" operator="lessThan" stopIfTrue="1">
      <formula>0</formula>
    </cfRule>
  </conditionalFormatting>
  <printOptions/>
  <pageMargins left="0.68" right="0.5" top="0.74" bottom="0.34" header="0.5" footer="0"/>
  <pageSetup blackAndWhite="1" horizontalDpi="120" verticalDpi="120" orientation="portrait" scale="85" r:id="rId1"/>
  <headerFooter alignWithMargins="0">
    <oddHeader>&amp;RState of Kansas
County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8"/>
  <sheetViews>
    <sheetView zoomScalePageLayoutView="0" workbookViewId="0" topLeftCell="A28">
      <selection activeCell="E117" sqref="E117"/>
    </sheetView>
  </sheetViews>
  <sheetFormatPr defaultColWidth="8.796875" defaultRowHeight="15"/>
  <cols>
    <col min="1" max="1" width="2.3984375" style="48" customWidth="1"/>
    <col min="2" max="2" width="31.09765625" style="48" customWidth="1"/>
    <col min="3" max="4" width="15.796875" style="48" customWidth="1"/>
    <col min="5" max="5" width="16.09765625" style="48" customWidth="1"/>
    <col min="6" max="16384" width="8.8984375" style="48" customWidth="1"/>
  </cols>
  <sheetData>
    <row r="1" spans="2:5" ht="15.75">
      <c r="B1" s="198" t="str">
        <f>(inputPrYr!C2)</f>
        <v>Sheridan County</v>
      </c>
      <c r="C1" s="60"/>
      <c r="D1" s="60"/>
      <c r="E1" s="251">
        <f>inputPrYr!C4</f>
        <v>2015</v>
      </c>
    </row>
    <row r="2" spans="2:5" ht="15.75">
      <c r="B2" s="60"/>
      <c r="C2" s="60"/>
      <c r="D2" s="60"/>
      <c r="E2" s="205"/>
    </row>
    <row r="3" spans="2:5" ht="15.75">
      <c r="B3" s="125" t="s">
        <v>228</v>
      </c>
      <c r="C3" s="297"/>
      <c r="D3" s="297"/>
      <c r="E3" s="298"/>
    </row>
    <row r="4" spans="2:5" ht="15.75">
      <c r="B4" s="60"/>
      <c r="C4" s="291"/>
      <c r="D4" s="291"/>
      <c r="E4" s="291"/>
    </row>
    <row r="5" spans="2:5" ht="15.75">
      <c r="B5" s="59" t="s">
        <v>152</v>
      </c>
      <c r="C5" s="287" t="str">
        <f>general!C4</f>
        <v>Prior Year </v>
      </c>
      <c r="D5" s="185" t="str">
        <f>general!D4</f>
        <v>Current Year </v>
      </c>
      <c r="E5" s="185" t="str">
        <f>general!E4</f>
        <v>Proposed Budget </v>
      </c>
    </row>
    <row r="6" spans="2:5" ht="15.75">
      <c r="B6" s="417" t="str">
        <f>inputPrYr!B45</f>
        <v>Parks &amp; Recreation</v>
      </c>
      <c r="C6" s="280" t="str">
        <f>general!C5</f>
        <v>Actual for 2013</v>
      </c>
      <c r="D6" s="280" t="str">
        <f>general!D5</f>
        <v>Estimate for 2014</v>
      </c>
      <c r="E6" s="267" t="str">
        <f>general!E5</f>
        <v>Year for 2015</v>
      </c>
    </row>
    <row r="7" spans="2:5" ht="15.75">
      <c r="B7" s="121" t="s">
        <v>259</v>
      </c>
      <c r="C7" s="85">
        <v>2026</v>
      </c>
      <c r="D7" s="230">
        <f>C25</f>
        <v>2209</v>
      </c>
      <c r="E7" s="230">
        <f>D25</f>
        <v>2559</v>
      </c>
    </row>
    <row r="8" spans="2:5" ht="15.75">
      <c r="B8" s="299" t="s">
        <v>261</v>
      </c>
      <c r="C8" s="81"/>
      <c r="D8" s="81"/>
      <c r="E8" s="81"/>
    </row>
    <row r="9" spans="2:5" ht="15.75">
      <c r="B9" s="282" t="s">
        <v>1032</v>
      </c>
      <c r="C9" s="85">
        <v>1328</v>
      </c>
      <c r="D9" s="85">
        <v>1200</v>
      </c>
      <c r="E9" s="85">
        <v>2000</v>
      </c>
    </row>
    <row r="10" spans="2:5" ht="15.75">
      <c r="B10" s="282"/>
      <c r="C10" s="85"/>
      <c r="D10" s="85"/>
      <c r="E10" s="85"/>
    </row>
    <row r="11" spans="2:5" ht="15.75">
      <c r="B11" s="282"/>
      <c r="C11" s="85"/>
      <c r="D11" s="85"/>
      <c r="E11" s="85"/>
    </row>
    <row r="12" spans="2:5" ht="15.75">
      <c r="B12" s="274" t="s">
        <v>68</v>
      </c>
      <c r="C12" s="85"/>
      <c r="D12" s="269"/>
      <c r="E12" s="269"/>
    </row>
    <row r="13" spans="2:5" ht="15.75">
      <c r="B13" s="274" t="s">
        <v>634</v>
      </c>
      <c r="C13" s="414">
        <f>IF(C14*0.1&lt;C12,"Exceed 10% Rule","")</f>
      </c>
      <c r="D13" s="275">
        <f>IF(D14*0.1&lt;D12,"Exceed 10% Rule","")</f>
      </c>
      <c r="E13" s="275">
        <f>IF(E14*0.1&lt;E12,"Exceed 10% Rule","")</f>
      </c>
    </row>
    <row r="14" spans="2:5" ht="15.75">
      <c r="B14" s="276" t="s">
        <v>159</v>
      </c>
      <c r="C14" s="306">
        <f>SUM(C9:C12)</f>
        <v>1328</v>
      </c>
      <c r="D14" s="306">
        <f>SUM(D9:D12)</f>
        <v>1200</v>
      </c>
      <c r="E14" s="306">
        <f>SUM(E9:E12)</f>
        <v>2000</v>
      </c>
    </row>
    <row r="15" spans="2:5" ht="15.75">
      <c r="B15" s="276" t="s">
        <v>160</v>
      </c>
      <c r="C15" s="306">
        <f>C14+C7</f>
        <v>3354</v>
      </c>
      <c r="D15" s="306">
        <f>D14+D7</f>
        <v>3409</v>
      </c>
      <c r="E15" s="306">
        <f>E14+E7</f>
        <v>4559</v>
      </c>
    </row>
    <row r="16" spans="2:5" ht="15.75">
      <c r="B16" s="121" t="s">
        <v>162</v>
      </c>
      <c r="C16" s="230"/>
      <c r="D16" s="230"/>
      <c r="E16" s="230"/>
    </row>
    <row r="17" spans="2:5" ht="15.75">
      <c r="B17" s="282" t="s">
        <v>904</v>
      </c>
      <c r="C17" s="85">
        <v>1145</v>
      </c>
      <c r="D17" s="85">
        <v>850</v>
      </c>
      <c r="E17" s="85">
        <v>2279</v>
      </c>
    </row>
    <row r="18" spans="2:5" ht="15.75">
      <c r="B18" s="282" t="s">
        <v>177</v>
      </c>
      <c r="C18" s="85"/>
      <c r="D18" s="85"/>
      <c r="E18" s="85">
        <v>2280</v>
      </c>
    </row>
    <row r="19" spans="2:5" ht="15.75">
      <c r="B19" s="282"/>
      <c r="C19" s="85"/>
      <c r="D19" s="85"/>
      <c r="E19" s="85"/>
    </row>
    <row r="20" spans="2:5" ht="15.75">
      <c r="B20" s="282"/>
      <c r="C20" s="85"/>
      <c r="D20" s="85"/>
      <c r="E20" s="85"/>
    </row>
    <row r="21" spans="2:5" ht="15.75">
      <c r="B21" s="282"/>
      <c r="C21" s="85"/>
      <c r="D21" s="85"/>
      <c r="E21" s="85"/>
    </row>
    <row r="22" spans="2:5" ht="15.75">
      <c r="B22" s="274" t="s">
        <v>68</v>
      </c>
      <c r="C22" s="85"/>
      <c r="D22" s="269"/>
      <c r="E22" s="269"/>
    </row>
    <row r="23" spans="2:5" ht="15.75">
      <c r="B23" s="274" t="s">
        <v>633</v>
      </c>
      <c r="C23" s="414">
        <f>IF(C24*0.1&lt;C22,"Exceed 10% Rule","")</f>
      </c>
      <c r="D23" s="275">
        <f>IF(D24*0.1&lt;D22,"Exceed 10% Rule","")</f>
      </c>
      <c r="E23" s="275">
        <f>IF(E24*0.1&lt;E22,"Exceed 10% Rule","")</f>
      </c>
    </row>
    <row r="24" spans="2:5" ht="15.75">
      <c r="B24" s="276" t="s">
        <v>163</v>
      </c>
      <c r="C24" s="306">
        <f>SUM(C17:C22)</f>
        <v>1145</v>
      </c>
      <c r="D24" s="306">
        <f>SUM(D17:D22)</f>
        <v>850</v>
      </c>
      <c r="E24" s="306">
        <f>SUM(E17:E22)</f>
        <v>4559</v>
      </c>
    </row>
    <row r="25" spans="2:5" ht="15.75">
      <c r="B25" s="121" t="s">
        <v>260</v>
      </c>
      <c r="C25" s="93">
        <f>C15-C24</f>
        <v>2209</v>
      </c>
      <c r="D25" s="93">
        <f>D15-D24</f>
        <v>2559</v>
      </c>
      <c r="E25" s="93">
        <f>E15-E24</f>
        <v>0</v>
      </c>
    </row>
    <row r="26" spans="2:5" ht="15.75">
      <c r="B26" s="266" t="str">
        <f>CONCATENATE("",E1-2,"/",E1-1,"/",E1," Budget Authority Amount:")</f>
        <v>2013/2014/2015 Budget Authority Amount:</v>
      </c>
      <c r="C26" s="301">
        <f>inputOth!B57</f>
        <v>2632</v>
      </c>
      <c r="D26" s="301">
        <f>inputPrYr!D45</f>
        <v>5955</v>
      </c>
      <c r="E26" s="658">
        <f>E24</f>
        <v>4559</v>
      </c>
    </row>
    <row r="27" spans="2:5" ht="15.75">
      <c r="B27" s="252"/>
      <c r="C27" s="285">
        <f>IF(C24&gt;C26,"See Tab A","")</f>
      </c>
      <c r="D27" s="285">
        <f>IF(D24&gt;D26,"See Tab C","")</f>
      </c>
      <c r="E27" s="659">
        <f>IF(E25&lt;0,"See Tab E","")</f>
      </c>
    </row>
    <row r="28" spans="2:5" ht="15.75">
      <c r="B28" s="252"/>
      <c r="C28" s="285">
        <f>IF(C25&lt;0,"See Tab B","")</f>
      </c>
      <c r="D28" s="285">
        <f>IF(D25&lt;0,"See Tab D","")</f>
      </c>
      <c r="E28" s="118"/>
    </row>
    <row r="29" spans="2:5" ht="15.75">
      <c r="B29" s="60"/>
      <c r="C29" s="118"/>
      <c r="D29" s="118"/>
      <c r="E29" s="118"/>
    </row>
    <row r="30" spans="2:5" ht="15.75">
      <c r="B30" s="59" t="s">
        <v>152</v>
      </c>
      <c r="C30" s="291"/>
      <c r="D30" s="291"/>
      <c r="E30" s="291"/>
    </row>
    <row r="31" spans="2:5" ht="15.75">
      <c r="B31" s="60"/>
      <c r="C31" s="287" t="str">
        <f aca="true" t="shared" si="0" ref="C31:E32">C5</f>
        <v>Prior Year </v>
      </c>
      <c r="D31" s="185" t="str">
        <f t="shared" si="0"/>
        <v>Current Year </v>
      </c>
      <c r="E31" s="185" t="str">
        <f t="shared" si="0"/>
        <v>Proposed Budget </v>
      </c>
    </row>
    <row r="32" spans="2:5" ht="15.75">
      <c r="B32" s="416" t="str">
        <f>inputPrYr!B46</f>
        <v>Solid Waste Disposal</v>
      </c>
      <c r="C32" s="280" t="str">
        <f t="shared" si="0"/>
        <v>Actual for 2013</v>
      </c>
      <c r="D32" s="280" t="str">
        <f t="shared" si="0"/>
        <v>Estimate for 2014</v>
      </c>
      <c r="E32" s="280" t="str">
        <f t="shared" si="0"/>
        <v>Year for 2015</v>
      </c>
    </row>
    <row r="33" spans="2:5" ht="15.75">
      <c r="B33" s="121" t="s">
        <v>259</v>
      </c>
      <c r="C33" s="85">
        <v>75755</v>
      </c>
      <c r="D33" s="230">
        <f>C52</f>
        <v>91750</v>
      </c>
      <c r="E33" s="230">
        <f>D52</f>
        <v>106718</v>
      </c>
    </row>
    <row r="34" spans="2:5" ht="15.75">
      <c r="B34" s="121" t="s">
        <v>261</v>
      </c>
      <c r="C34" s="81"/>
      <c r="D34" s="81"/>
      <c r="E34" s="81"/>
    </row>
    <row r="35" spans="2:5" ht="15.75">
      <c r="B35" s="282" t="s">
        <v>1033</v>
      </c>
      <c r="C35" s="85">
        <v>16854</v>
      </c>
      <c r="D35" s="85">
        <v>19200</v>
      </c>
      <c r="E35" s="85">
        <v>25000</v>
      </c>
    </row>
    <row r="36" spans="2:5" ht="15.75">
      <c r="B36" s="282" t="s">
        <v>1034</v>
      </c>
      <c r="C36" s="85">
        <v>56700</v>
      </c>
      <c r="D36" s="85">
        <v>57600</v>
      </c>
      <c r="E36" s="85">
        <v>70000</v>
      </c>
    </row>
    <row r="37" spans="2:5" ht="15.75">
      <c r="B37" s="282" t="s">
        <v>1035</v>
      </c>
      <c r="C37" s="85">
        <v>2930</v>
      </c>
      <c r="D37" s="85">
        <v>3000</v>
      </c>
      <c r="E37" s="85">
        <v>6000</v>
      </c>
    </row>
    <row r="38" spans="2:5" ht="15.75">
      <c r="B38" s="273"/>
      <c r="C38" s="85"/>
      <c r="D38" s="85"/>
      <c r="E38" s="85"/>
    </row>
    <row r="39" spans="2:5" ht="15.75">
      <c r="B39" s="274" t="s">
        <v>68</v>
      </c>
      <c r="C39" s="85">
        <v>1299</v>
      </c>
      <c r="D39" s="269"/>
      <c r="E39" s="269"/>
    </row>
    <row r="40" spans="2:5" ht="15.75">
      <c r="B40" s="274" t="s">
        <v>634</v>
      </c>
      <c r="C40" s="414">
        <f>IF(C41*0.1&lt;C39,"Exceed 10% Rule","")</f>
      </c>
      <c r="D40" s="275">
        <f>IF(D41*0.1&lt;D39,"Exceed 10% Rule","")</f>
      </c>
      <c r="E40" s="275">
        <f>IF(E41*0.1&lt;E39,"Exceed 10% Rule","")</f>
      </c>
    </row>
    <row r="41" spans="2:5" ht="15.75">
      <c r="B41" s="276" t="s">
        <v>159</v>
      </c>
      <c r="C41" s="306">
        <f>SUM(C35:C39)</f>
        <v>77783</v>
      </c>
      <c r="D41" s="306">
        <f>SUM(D35:D39)</f>
        <v>79800</v>
      </c>
      <c r="E41" s="306">
        <f>SUM(E35:E39)</f>
        <v>101000</v>
      </c>
    </row>
    <row r="42" spans="2:5" ht="15.75">
      <c r="B42" s="276" t="s">
        <v>160</v>
      </c>
      <c r="C42" s="306">
        <f>C33+C41</f>
        <v>153538</v>
      </c>
      <c r="D42" s="306">
        <f>D33+D41</f>
        <v>171550</v>
      </c>
      <c r="E42" s="306">
        <f>E33+E41</f>
        <v>207718</v>
      </c>
    </row>
    <row r="43" spans="2:5" ht="15.75">
      <c r="B43" s="121" t="s">
        <v>162</v>
      </c>
      <c r="C43" s="230"/>
      <c r="D43" s="230"/>
      <c r="E43" s="230"/>
    </row>
    <row r="44" spans="2:5" ht="15.75">
      <c r="B44" s="282" t="s">
        <v>1009</v>
      </c>
      <c r="C44" s="85">
        <v>40644</v>
      </c>
      <c r="D44" s="85">
        <v>40832</v>
      </c>
      <c r="E44" s="85">
        <v>42000</v>
      </c>
    </row>
    <row r="45" spans="2:5" ht="15.75">
      <c r="B45" s="282" t="s">
        <v>1010</v>
      </c>
      <c r="C45" s="85">
        <v>21144</v>
      </c>
      <c r="D45" s="85">
        <v>24000</v>
      </c>
      <c r="E45" s="85">
        <v>165718</v>
      </c>
    </row>
    <row r="46" spans="2:5" ht="15.75">
      <c r="B46" s="282"/>
      <c r="C46" s="85"/>
      <c r="D46" s="85"/>
      <c r="E46" s="85"/>
    </row>
    <row r="47" spans="2:5" ht="15.75">
      <c r="B47" s="282"/>
      <c r="C47" s="85"/>
      <c r="D47" s="85"/>
      <c r="E47" s="85"/>
    </row>
    <row r="48" spans="2:5" ht="15.75">
      <c r="B48" s="282"/>
      <c r="C48" s="85"/>
      <c r="D48" s="85"/>
      <c r="E48" s="85"/>
    </row>
    <row r="49" spans="2:5" ht="15.75">
      <c r="B49" s="274" t="s">
        <v>68</v>
      </c>
      <c r="C49" s="85"/>
      <c r="D49" s="269"/>
      <c r="E49" s="269"/>
    </row>
    <row r="50" spans="2:5" ht="15.75">
      <c r="B50" s="274" t="s">
        <v>633</v>
      </c>
      <c r="C50" s="414">
        <f>IF(C51*0.1&lt;C49,"Exceed 10% Rule","")</f>
      </c>
      <c r="D50" s="275">
        <f>IF(D51*0.1&lt;D49,"Exceed 10% Rule","")</f>
      </c>
      <c r="E50" s="275">
        <f>IF(E51*0.1&lt;E49,"Exceed 10% Rule","")</f>
      </c>
    </row>
    <row r="51" spans="2:5" ht="15.75">
      <c r="B51" s="276" t="s">
        <v>163</v>
      </c>
      <c r="C51" s="306">
        <f>SUM(C44:C49)</f>
        <v>61788</v>
      </c>
      <c r="D51" s="306">
        <f>SUM(D44:D49)</f>
        <v>64832</v>
      </c>
      <c r="E51" s="306">
        <f>SUM(E44:E49)</f>
        <v>207718</v>
      </c>
    </row>
    <row r="52" spans="2:5" ht="15.75">
      <c r="B52" s="121" t="s">
        <v>260</v>
      </c>
      <c r="C52" s="93">
        <f>C42-C51</f>
        <v>91750</v>
      </c>
      <c r="D52" s="93">
        <f>D42-D51</f>
        <v>106718</v>
      </c>
      <c r="E52" s="93">
        <f>E42-E51</f>
        <v>0</v>
      </c>
    </row>
    <row r="53" spans="2:5" ht="15.75">
      <c r="B53" s="266" t="str">
        <f>CONCATENATE("",E1-2,"/",E1-1,"/",E1," Budget Authority Amount:")</f>
        <v>2013/2014/2015 Budget Authority Amount:</v>
      </c>
      <c r="C53" s="301">
        <f>inputOth!B58</f>
        <v>152045</v>
      </c>
      <c r="D53" s="301">
        <f>inputPrYr!D46</f>
        <v>192355</v>
      </c>
      <c r="E53" s="658">
        <f>E51</f>
        <v>207718</v>
      </c>
    </row>
    <row r="54" spans="2:5" ht="15.75">
      <c r="B54" s="252"/>
      <c r="C54" s="285">
        <f>IF(C51&gt;C53,"See Tab A","")</f>
      </c>
      <c r="D54" s="285">
        <f>IF(D51&gt;D53,"See Tab C","")</f>
      </c>
      <c r="E54" s="660">
        <f>IF(E52&lt;0,"See Tab E","")</f>
      </c>
    </row>
    <row r="55" spans="2:5" ht="15.75">
      <c r="B55" s="252"/>
      <c r="C55" s="285">
        <f>IF(C52&lt;0,"See Tab B","")</f>
      </c>
      <c r="D55" s="285">
        <f>IF(D52&lt;0,"See Tab D","")</f>
      </c>
      <c r="E55" s="60"/>
    </row>
    <row r="56" spans="2:5" ht="15.75">
      <c r="B56" s="60"/>
      <c r="C56" s="60"/>
      <c r="D56" s="60"/>
      <c r="E56" s="60"/>
    </row>
    <row r="57" spans="2:5" ht="15.75">
      <c r="B57" s="60"/>
      <c r="C57" s="60"/>
      <c r="D57" s="60"/>
      <c r="E57" s="60"/>
    </row>
    <row r="58" spans="2:5" ht="15.75">
      <c r="B58" s="252"/>
      <c r="C58" s="720" t="s">
        <v>1031</v>
      </c>
      <c r="D58" s="60"/>
      <c r="E58" s="60"/>
    </row>
  </sheetData>
  <sheetProtection/>
  <conditionalFormatting sqref="C22">
    <cfRule type="cellIs" priority="3" dxfId="181" operator="greaterThan" stopIfTrue="1">
      <formula>$C$24*0.1</formula>
    </cfRule>
  </conditionalFormatting>
  <conditionalFormatting sqref="D22">
    <cfRule type="cellIs" priority="4" dxfId="181" operator="greaterThan" stopIfTrue="1">
      <formula>$D$24*0.1</formula>
    </cfRule>
  </conditionalFormatting>
  <conditionalFormatting sqref="E22">
    <cfRule type="cellIs" priority="5" dxfId="181" operator="greaterThan" stopIfTrue="1">
      <formula>$E$24*0.1</formula>
    </cfRule>
  </conditionalFormatting>
  <conditionalFormatting sqref="C12">
    <cfRule type="cellIs" priority="6" dxfId="181" operator="greaterThan" stopIfTrue="1">
      <formula>$C$14*0.1</formula>
    </cfRule>
  </conditionalFormatting>
  <conditionalFormatting sqref="D12">
    <cfRule type="cellIs" priority="7" dxfId="181" operator="greaterThan" stopIfTrue="1">
      <formula>$D$14*0.1</formula>
    </cfRule>
  </conditionalFormatting>
  <conditionalFormatting sqref="E12">
    <cfRule type="cellIs" priority="8" dxfId="181" operator="greaterThan" stopIfTrue="1">
      <formula>$E$14*0.1</formula>
    </cfRule>
  </conditionalFormatting>
  <conditionalFormatting sqref="C39">
    <cfRule type="cellIs" priority="9" dxfId="181" operator="greaterThan" stopIfTrue="1">
      <formula>$C$41*0.1</formula>
    </cfRule>
  </conditionalFormatting>
  <conditionalFormatting sqref="D39">
    <cfRule type="cellIs" priority="10" dxfId="181" operator="greaterThan" stopIfTrue="1">
      <formula>$D$41*0.1</formula>
    </cfRule>
  </conditionalFormatting>
  <conditionalFormatting sqref="E39">
    <cfRule type="cellIs" priority="11" dxfId="181" operator="greaterThan" stopIfTrue="1">
      <formula>$E$41*0.1</formula>
    </cfRule>
  </conditionalFormatting>
  <conditionalFormatting sqref="C49">
    <cfRule type="cellIs" priority="12" dxfId="181" operator="greaterThan" stopIfTrue="1">
      <formula>$C$51*0.1</formula>
    </cfRule>
  </conditionalFormatting>
  <conditionalFormatting sqref="D49">
    <cfRule type="cellIs" priority="13" dxfId="181" operator="greaterThan" stopIfTrue="1">
      <formula>$D$51*0.1</formula>
    </cfRule>
  </conditionalFormatting>
  <conditionalFormatting sqref="E49">
    <cfRule type="cellIs" priority="14" dxfId="181" operator="greaterThan" stopIfTrue="1">
      <formula>$E$51*0.1</formula>
    </cfRule>
  </conditionalFormatting>
  <conditionalFormatting sqref="E52 C52 E25 C25">
    <cfRule type="cellIs" priority="15" dxfId="1" operator="lessThan" stopIfTrue="1">
      <formula>0</formula>
    </cfRule>
  </conditionalFormatting>
  <conditionalFormatting sqref="D24">
    <cfRule type="cellIs" priority="16" dxfId="1" operator="greaterThan" stopIfTrue="1">
      <formula>$D$26</formula>
    </cfRule>
  </conditionalFormatting>
  <conditionalFormatting sqref="C24">
    <cfRule type="cellIs" priority="17" dxfId="1" operator="greaterThan" stopIfTrue="1">
      <formula>$C$26</formula>
    </cfRule>
  </conditionalFormatting>
  <conditionalFormatting sqref="D51">
    <cfRule type="cellIs" priority="18" dxfId="1" operator="greaterThan" stopIfTrue="1">
      <formula>$D$53</formula>
    </cfRule>
  </conditionalFormatting>
  <conditionalFormatting sqref="C51">
    <cfRule type="cellIs" priority="19" dxfId="1" operator="greaterThan" stopIfTrue="1">
      <formula>$C$53</formula>
    </cfRule>
  </conditionalFormatting>
  <conditionalFormatting sqref="D25">
    <cfRule type="cellIs" priority="2" dxfId="0" operator="lessThan" stopIfTrue="1">
      <formula>0</formula>
    </cfRule>
  </conditionalFormatting>
  <conditionalFormatting sqref="D52">
    <cfRule type="cellIs" priority="1" dxfId="0" operator="lessThan" stopIfTrue="1">
      <formula>0</formula>
    </cfRule>
  </conditionalFormatting>
  <printOptions/>
  <pageMargins left="0.7" right="0.5" top="0.74" bottom="0.34" header="0.5" footer="0"/>
  <pageSetup blackAndWhite="1" fitToHeight="1" fitToWidth="1" horizontalDpi="120" verticalDpi="120" orientation="portrait" scale="84" r:id="rId1"/>
  <headerFooter alignWithMargins="0">
    <oddHeader>&amp;RState of Kansas
County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58"/>
  <sheetViews>
    <sheetView zoomScalePageLayoutView="0" workbookViewId="0" topLeftCell="A31">
      <selection activeCell="E117" sqref="E117"/>
    </sheetView>
  </sheetViews>
  <sheetFormatPr defaultColWidth="8.796875" defaultRowHeight="15"/>
  <cols>
    <col min="1" max="1" width="2.3984375" style="48" customWidth="1"/>
    <col min="2" max="2" width="31.09765625" style="48" customWidth="1"/>
    <col min="3" max="4" width="15.796875" style="48" customWidth="1"/>
    <col min="5" max="5" width="16.19921875" style="48" customWidth="1"/>
    <col min="6" max="16384" width="8.8984375" style="48" customWidth="1"/>
  </cols>
  <sheetData>
    <row r="1" spans="2:5" ht="15.75">
      <c r="B1" s="198" t="str">
        <f>(inputPrYr!C2)</f>
        <v>Sheridan County</v>
      </c>
      <c r="C1" s="60"/>
      <c r="D1" s="60"/>
      <c r="E1" s="251">
        <f>inputPrYr!C4</f>
        <v>2015</v>
      </c>
    </row>
    <row r="2" spans="2:5" ht="15.75">
      <c r="B2" s="60"/>
      <c r="C2" s="60"/>
      <c r="D2" s="60"/>
      <c r="E2" s="205"/>
    </row>
    <row r="3" spans="2:5" ht="15.75">
      <c r="B3" s="125" t="s">
        <v>228</v>
      </c>
      <c r="C3" s="297"/>
      <c r="D3" s="297"/>
      <c r="E3" s="298"/>
    </row>
    <row r="4" spans="2:5" ht="15.75">
      <c r="B4" s="60"/>
      <c r="C4" s="291"/>
      <c r="D4" s="291"/>
      <c r="E4" s="291"/>
    </row>
    <row r="5" spans="2:5" ht="15.75">
      <c r="B5" s="59" t="s">
        <v>152</v>
      </c>
      <c r="C5" s="287" t="str">
        <f>general!C4</f>
        <v>Prior Year </v>
      </c>
      <c r="D5" s="185" t="str">
        <f>general!D4</f>
        <v>Current Year </v>
      </c>
      <c r="E5" s="185" t="str">
        <f>general!E4</f>
        <v>Proposed Budget </v>
      </c>
    </row>
    <row r="6" spans="2:5" ht="15.75">
      <c r="B6" s="417" t="str">
        <f>inputPrYr!B47</f>
        <v>Alcohol Program</v>
      </c>
      <c r="C6" s="280" t="str">
        <f>general!C5</f>
        <v>Actual for 2013</v>
      </c>
      <c r="D6" s="280" t="str">
        <f>general!D5</f>
        <v>Estimate for 2014</v>
      </c>
      <c r="E6" s="267" t="str">
        <f>general!E5</f>
        <v>Year for 2015</v>
      </c>
    </row>
    <row r="7" spans="2:5" ht="15.75">
      <c r="B7" s="121" t="s">
        <v>259</v>
      </c>
      <c r="C7" s="85">
        <v>33986</v>
      </c>
      <c r="D7" s="230">
        <f>C25</f>
        <v>35457</v>
      </c>
      <c r="E7" s="230">
        <f>D25</f>
        <v>32257</v>
      </c>
    </row>
    <row r="8" spans="2:5" ht="15.75">
      <c r="B8" s="299" t="s">
        <v>261</v>
      </c>
      <c r="C8" s="81"/>
      <c r="D8" s="81"/>
      <c r="E8" s="81"/>
    </row>
    <row r="9" spans="2:5" ht="15.75">
      <c r="B9" s="282" t="s">
        <v>1032</v>
      </c>
      <c r="C9" s="85">
        <v>1471</v>
      </c>
      <c r="D9" s="85">
        <v>1800</v>
      </c>
      <c r="E9" s="85">
        <v>2875</v>
      </c>
    </row>
    <row r="10" spans="2:5" ht="15.75">
      <c r="B10" s="282" t="s">
        <v>1016</v>
      </c>
      <c r="C10" s="85"/>
      <c r="D10" s="85"/>
      <c r="E10" s="85"/>
    </row>
    <row r="11" spans="2:5" ht="15.75">
      <c r="B11" s="282"/>
      <c r="C11" s="85"/>
      <c r="D11" s="85"/>
      <c r="E11" s="85"/>
    </row>
    <row r="12" spans="2:5" ht="15.75">
      <c r="B12" s="274" t="s">
        <v>68</v>
      </c>
      <c r="C12" s="85"/>
      <c r="D12" s="269"/>
      <c r="E12" s="269"/>
    </row>
    <row r="13" spans="2:5" ht="15.75">
      <c r="B13" s="274" t="s">
        <v>634</v>
      </c>
      <c r="C13" s="414">
        <f>IF(C14*0.1&lt;C12,"Exceed 10% Rule","")</f>
      </c>
      <c r="D13" s="275">
        <f>IF(D14*0.1&lt;D12,"Exceed 10% Rule","")</f>
      </c>
      <c r="E13" s="275">
        <f>IF(E14*0.1&lt;E12,"Exceed 10% Rule","")</f>
      </c>
    </row>
    <row r="14" spans="2:5" ht="15.75">
      <c r="B14" s="276" t="s">
        <v>159</v>
      </c>
      <c r="C14" s="306">
        <f>SUM(C9:C12)</f>
        <v>1471</v>
      </c>
      <c r="D14" s="306">
        <f>SUM(D9:D12)</f>
        <v>1800</v>
      </c>
      <c r="E14" s="306">
        <f>SUM(E9:E12)</f>
        <v>2875</v>
      </c>
    </row>
    <row r="15" spans="2:5" ht="15.75">
      <c r="B15" s="276" t="s">
        <v>160</v>
      </c>
      <c r="C15" s="306">
        <f>C14+C7</f>
        <v>35457</v>
      </c>
      <c r="D15" s="306">
        <f>D14+D7</f>
        <v>37257</v>
      </c>
      <c r="E15" s="306">
        <f>E14+E7</f>
        <v>35132</v>
      </c>
    </row>
    <row r="16" spans="2:5" ht="15.75">
      <c r="B16" s="121" t="s">
        <v>162</v>
      </c>
      <c r="C16" s="230"/>
      <c r="D16" s="230"/>
      <c r="E16" s="230"/>
    </row>
    <row r="17" spans="2:5" ht="15.75">
      <c r="B17" s="282" t="s">
        <v>906</v>
      </c>
      <c r="C17" s="85"/>
      <c r="D17" s="85">
        <v>5000</v>
      </c>
      <c r="E17" s="85">
        <v>35132</v>
      </c>
    </row>
    <row r="18" spans="2:5" ht="15.75">
      <c r="B18" s="282"/>
      <c r="C18" s="85"/>
      <c r="D18" s="85"/>
      <c r="E18" s="85"/>
    </row>
    <row r="19" spans="2:5" ht="15.75">
      <c r="B19" s="282"/>
      <c r="C19" s="85"/>
      <c r="D19" s="85"/>
      <c r="E19" s="85"/>
    </row>
    <row r="20" spans="2:5" ht="15.75">
      <c r="B20" s="282"/>
      <c r="C20" s="85"/>
      <c r="D20" s="85"/>
      <c r="E20" s="85"/>
    </row>
    <row r="21" spans="2:5" ht="15.75">
      <c r="B21" s="282"/>
      <c r="C21" s="85"/>
      <c r="D21" s="85"/>
      <c r="E21" s="85"/>
    </row>
    <row r="22" spans="2:5" ht="15.75">
      <c r="B22" s="274" t="s">
        <v>68</v>
      </c>
      <c r="C22" s="85"/>
      <c r="D22" s="269"/>
      <c r="E22" s="269"/>
    </row>
    <row r="23" spans="2:5" ht="15.75">
      <c r="B23" s="274" t="s">
        <v>633</v>
      </c>
      <c r="C23" s="414">
        <f>IF(C24*0.1&lt;C22,"Exceed 10% Rule","")</f>
      </c>
      <c r="D23" s="275">
        <f>IF(D24*0.1&lt;D22,"Exceed 10% Rule","")</f>
      </c>
      <c r="E23" s="275">
        <f>IF(E24*0.1&lt;E22,"Exceed 10% Rule","")</f>
      </c>
    </row>
    <row r="24" spans="2:5" ht="15.75">
      <c r="B24" s="276" t="s">
        <v>163</v>
      </c>
      <c r="C24" s="306">
        <f>SUM(C17:C22)</f>
        <v>0</v>
      </c>
      <c r="D24" s="306">
        <f>SUM(D17:D22)</f>
        <v>5000</v>
      </c>
      <c r="E24" s="306">
        <f>SUM(E17:E22)</f>
        <v>35132</v>
      </c>
    </row>
    <row r="25" spans="2:5" ht="15.75">
      <c r="B25" s="121" t="s">
        <v>260</v>
      </c>
      <c r="C25" s="93">
        <f>C15-C24</f>
        <v>35457</v>
      </c>
      <c r="D25" s="93">
        <f>D15-D24</f>
        <v>32257</v>
      </c>
      <c r="E25" s="93">
        <f>E15-E24</f>
        <v>0</v>
      </c>
    </row>
    <row r="26" spans="2:5" ht="15.75">
      <c r="B26" s="266" t="str">
        <f>CONCATENATE("",E1-2,"/",E1-1,"/",E1," Budget Authority Amount:")</f>
        <v>2013/2014/2015 Budget Authority Amount:</v>
      </c>
      <c r="C26" s="301">
        <f>inputOth!B59</f>
        <v>36611</v>
      </c>
      <c r="D26" s="301">
        <f>inputPrYr!D47</f>
        <v>39340</v>
      </c>
      <c r="E26" s="658">
        <f>E24</f>
        <v>35132</v>
      </c>
    </row>
    <row r="27" spans="2:5" ht="15.75">
      <c r="B27" s="252"/>
      <c r="C27" s="285">
        <f>IF(C24&gt;C26,"See Tab A","")</f>
      </c>
      <c r="D27" s="285">
        <f>IF(D24&gt;D26,"See Tab C","")</f>
      </c>
      <c r="E27" s="659">
        <f>IF(E25&lt;0,"See Tab E","")</f>
      </c>
    </row>
    <row r="28" spans="2:5" ht="15.75">
      <c r="B28" s="252"/>
      <c r="C28" s="285">
        <f>IF(C25&lt;0,"See Tab B","")</f>
      </c>
      <c r="D28" s="285">
        <f>IF(D25&lt;0,"See Tab D","")</f>
      </c>
      <c r="E28" s="118"/>
    </row>
    <row r="29" spans="2:5" ht="15.75">
      <c r="B29" s="60"/>
      <c r="C29" s="118"/>
      <c r="D29" s="118"/>
      <c r="E29" s="118"/>
    </row>
    <row r="30" spans="2:5" ht="15.75">
      <c r="B30" s="59" t="s">
        <v>152</v>
      </c>
      <c r="C30" s="291"/>
      <c r="D30" s="291"/>
      <c r="E30" s="291"/>
    </row>
    <row r="31" spans="2:5" ht="15.75">
      <c r="B31" s="60"/>
      <c r="C31" s="287" t="str">
        <f aca="true" t="shared" si="0" ref="C31:E32">C5</f>
        <v>Prior Year </v>
      </c>
      <c r="D31" s="185" t="str">
        <f t="shared" si="0"/>
        <v>Current Year </v>
      </c>
      <c r="E31" s="185" t="str">
        <f t="shared" si="0"/>
        <v>Proposed Budget </v>
      </c>
    </row>
    <row r="32" spans="2:5" ht="15.75">
      <c r="B32" s="416" t="str">
        <f>inputPrYr!B48</f>
        <v>Special Ambulance</v>
      </c>
      <c r="C32" s="280" t="str">
        <f t="shared" si="0"/>
        <v>Actual for 2013</v>
      </c>
      <c r="D32" s="280" t="str">
        <f t="shared" si="0"/>
        <v>Estimate for 2014</v>
      </c>
      <c r="E32" s="280" t="str">
        <f t="shared" si="0"/>
        <v>Year for 2015</v>
      </c>
    </row>
    <row r="33" spans="2:5" ht="15.75">
      <c r="B33" s="121" t="s">
        <v>259</v>
      </c>
      <c r="C33" s="85">
        <v>265694</v>
      </c>
      <c r="D33" s="230">
        <f>C52</f>
        <v>314449</v>
      </c>
      <c r="E33" s="230">
        <f>D52</f>
        <v>364449</v>
      </c>
    </row>
    <row r="34" spans="2:5" ht="15.75">
      <c r="B34" s="121" t="s">
        <v>261</v>
      </c>
      <c r="C34" s="81"/>
      <c r="D34" s="81"/>
      <c r="E34" s="81"/>
    </row>
    <row r="35" spans="2:5" ht="15.75">
      <c r="B35" s="282" t="s">
        <v>1037</v>
      </c>
      <c r="C35" s="85"/>
      <c r="D35" s="85"/>
      <c r="E35" s="85"/>
    </row>
    <row r="36" spans="2:5" ht="15.75">
      <c r="B36" s="282" t="s">
        <v>1038</v>
      </c>
      <c r="C36" s="85">
        <v>70000</v>
      </c>
      <c r="D36" s="85">
        <v>50000</v>
      </c>
      <c r="E36" s="85">
        <v>50000</v>
      </c>
    </row>
    <row r="37" spans="2:5" ht="15.75">
      <c r="B37" s="282"/>
      <c r="C37" s="85"/>
      <c r="D37" s="85"/>
      <c r="E37" s="85"/>
    </row>
    <row r="38" spans="2:5" ht="15.75">
      <c r="B38" s="273"/>
      <c r="C38" s="85"/>
      <c r="D38" s="85"/>
      <c r="E38" s="85"/>
    </row>
    <row r="39" spans="2:5" ht="15.75">
      <c r="B39" s="274" t="s">
        <v>68</v>
      </c>
      <c r="C39" s="85"/>
      <c r="D39" s="269"/>
      <c r="E39" s="269"/>
    </row>
    <row r="40" spans="2:5" ht="15.75">
      <c r="B40" s="274" t="s">
        <v>634</v>
      </c>
      <c r="C40" s="414">
        <f>IF(C41*0.1&lt;C39,"Exceed 10% Rule","")</f>
      </c>
      <c r="D40" s="275">
        <f>IF(D41*0.1&lt;D39,"Exceed 10% Rule","")</f>
      </c>
      <c r="E40" s="275">
        <f>IF(E41*0.1&lt;E39,"Exceed 10% Rule","")</f>
      </c>
    </row>
    <row r="41" spans="2:5" ht="15.75">
      <c r="B41" s="276" t="s">
        <v>159</v>
      </c>
      <c r="C41" s="306">
        <f>SUM(C35:C39)</f>
        <v>70000</v>
      </c>
      <c r="D41" s="306">
        <f>SUM(D35:D39)</f>
        <v>50000</v>
      </c>
      <c r="E41" s="306">
        <f>SUM(E35:E39)</f>
        <v>50000</v>
      </c>
    </row>
    <row r="42" spans="2:5" ht="15.75">
      <c r="B42" s="276" t="s">
        <v>160</v>
      </c>
      <c r="C42" s="306">
        <f>C33+C41</f>
        <v>335694</v>
      </c>
      <c r="D42" s="306">
        <f>D33+D41</f>
        <v>364449</v>
      </c>
      <c r="E42" s="306">
        <f>E33+E41</f>
        <v>414449</v>
      </c>
    </row>
    <row r="43" spans="2:5" ht="15.75">
      <c r="B43" s="121" t="s">
        <v>162</v>
      </c>
      <c r="C43" s="230"/>
      <c r="D43" s="230"/>
      <c r="E43" s="230"/>
    </row>
    <row r="44" spans="2:5" ht="15.75">
      <c r="B44" s="282" t="s">
        <v>1023</v>
      </c>
      <c r="C44" s="85">
        <v>21245</v>
      </c>
      <c r="D44" s="85"/>
      <c r="E44" s="85">
        <v>414449</v>
      </c>
    </row>
    <row r="45" spans="2:5" ht="15.75">
      <c r="B45" s="282"/>
      <c r="C45" s="85"/>
      <c r="D45" s="85"/>
      <c r="E45" s="85"/>
    </row>
    <row r="46" spans="2:5" ht="15.75">
      <c r="B46" s="282"/>
      <c r="C46" s="85"/>
      <c r="D46" s="85"/>
      <c r="E46" s="85"/>
    </row>
    <row r="47" spans="2:5" ht="15.75">
      <c r="B47" s="282"/>
      <c r="C47" s="85"/>
      <c r="D47" s="85"/>
      <c r="E47" s="85"/>
    </row>
    <row r="48" spans="2:5" ht="15.75">
      <c r="B48" s="282"/>
      <c r="C48" s="85"/>
      <c r="D48" s="85"/>
      <c r="E48" s="85"/>
    </row>
    <row r="49" spans="2:5" ht="15.75">
      <c r="B49" s="274" t="s">
        <v>68</v>
      </c>
      <c r="C49" s="85"/>
      <c r="D49" s="269"/>
      <c r="E49" s="269"/>
    </row>
    <row r="50" spans="2:5" ht="15.75">
      <c r="B50" s="274" t="s">
        <v>633</v>
      </c>
      <c r="C50" s="414">
        <f>IF(C51*0.1&lt;C49,"Exceed 10% Rule","")</f>
      </c>
      <c r="D50" s="275">
        <f>IF(D51*0.1&lt;D49,"Exceed 10% Rule","")</f>
      </c>
      <c r="E50" s="275">
        <f>IF(E51*0.1&lt;E49,"Exceed 10% Rule","")</f>
      </c>
    </row>
    <row r="51" spans="2:5" ht="15.75">
      <c r="B51" s="276" t="s">
        <v>163</v>
      </c>
      <c r="C51" s="306">
        <f>SUM(C44:C49)</f>
        <v>21245</v>
      </c>
      <c r="D51" s="306">
        <f>SUM(D44:D49)</f>
        <v>0</v>
      </c>
      <c r="E51" s="306">
        <f>SUM(E44:E49)</f>
        <v>414449</v>
      </c>
    </row>
    <row r="52" spans="2:5" ht="15.75">
      <c r="B52" s="121" t="s">
        <v>260</v>
      </c>
      <c r="C52" s="93">
        <f>C42-C51</f>
        <v>314449</v>
      </c>
      <c r="D52" s="93">
        <f>D42-D51</f>
        <v>364449</v>
      </c>
      <c r="E52" s="93">
        <f>E42-E51</f>
        <v>0</v>
      </c>
    </row>
    <row r="53" spans="2:5" ht="15.75">
      <c r="B53" s="266" t="str">
        <f>CONCATENATE("",E1-2,"/",E1-1,"/",E1," Budget Authority Amount:")</f>
        <v>2013/2014/2015 Budget Authority Amount:</v>
      </c>
      <c r="C53" s="301">
        <f>inputOth!B60</f>
        <v>280094</v>
      </c>
      <c r="D53" s="301">
        <f>inputPrYr!D48</f>
        <v>365694</v>
      </c>
      <c r="E53" s="658">
        <f>E51</f>
        <v>414449</v>
      </c>
    </row>
    <row r="54" spans="2:5" ht="15.75">
      <c r="B54" s="252"/>
      <c r="C54" s="285">
        <f>IF(C51&gt;C53,"See Tab A","")</f>
      </c>
      <c r="D54" s="285">
        <f>IF(D51&gt;D53,"See Tab C","")</f>
      </c>
      <c r="E54" s="660">
        <f>IF(E52&lt;0,"See Tab E","")</f>
      </c>
    </row>
    <row r="55" spans="2:5" ht="15.75">
      <c r="B55" s="252"/>
      <c r="C55" s="285">
        <f>IF(C52&lt;0,"See Tab B","")</f>
      </c>
      <c r="D55" s="285">
        <f>IF(D52&lt;0,"See Tab D","")</f>
      </c>
      <c r="E55" s="60"/>
    </row>
    <row r="56" spans="2:5" ht="15.75">
      <c r="B56" s="60"/>
      <c r="C56" s="60"/>
      <c r="D56" s="60"/>
      <c r="E56" s="60"/>
    </row>
    <row r="57" spans="2:5" ht="15.75">
      <c r="B57" s="60"/>
      <c r="C57" s="60"/>
      <c r="D57" s="60"/>
      <c r="E57" s="60"/>
    </row>
    <row r="58" spans="2:5" ht="15.75">
      <c r="B58" s="252"/>
      <c r="C58" s="720" t="s">
        <v>1036</v>
      </c>
      <c r="D58" s="60"/>
      <c r="E58" s="60"/>
    </row>
  </sheetData>
  <sheetProtection/>
  <conditionalFormatting sqref="C22">
    <cfRule type="cellIs" priority="3" dxfId="181" operator="greaterThan" stopIfTrue="1">
      <formula>$C$24*0.1</formula>
    </cfRule>
  </conditionalFormatting>
  <conditionalFormatting sqref="D22">
    <cfRule type="cellIs" priority="4" dxfId="181" operator="greaterThan" stopIfTrue="1">
      <formula>$D$24*0.1</formula>
    </cfRule>
  </conditionalFormatting>
  <conditionalFormatting sqref="E22">
    <cfRule type="cellIs" priority="5" dxfId="181" operator="greaterThan" stopIfTrue="1">
      <formula>$E$24*0.1</formula>
    </cfRule>
  </conditionalFormatting>
  <conditionalFormatting sqref="C12">
    <cfRule type="cellIs" priority="6" dxfId="181" operator="greaterThan" stopIfTrue="1">
      <formula>$C$14*0.1</formula>
    </cfRule>
  </conditionalFormatting>
  <conditionalFormatting sqref="D12">
    <cfRule type="cellIs" priority="7" dxfId="181" operator="greaterThan" stopIfTrue="1">
      <formula>$D$14*0.1</formula>
    </cfRule>
  </conditionalFormatting>
  <conditionalFormatting sqref="E12">
    <cfRule type="cellIs" priority="8" dxfId="181" operator="greaterThan" stopIfTrue="1">
      <formula>$E$14*0.1</formula>
    </cfRule>
  </conditionalFormatting>
  <conditionalFormatting sqref="C39">
    <cfRule type="cellIs" priority="9" dxfId="181" operator="greaterThan" stopIfTrue="1">
      <formula>$C$41*0.1</formula>
    </cfRule>
  </conditionalFormatting>
  <conditionalFormatting sqref="D39">
    <cfRule type="cellIs" priority="10" dxfId="181" operator="greaterThan" stopIfTrue="1">
      <formula>$D$41*0.1</formula>
    </cfRule>
  </conditionalFormatting>
  <conditionalFormatting sqref="E39">
    <cfRule type="cellIs" priority="11" dxfId="181" operator="greaterThan" stopIfTrue="1">
      <formula>$E$41*0.1</formula>
    </cfRule>
  </conditionalFormatting>
  <conditionalFormatting sqref="C49">
    <cfRule type="cellIs" priority="12" dxfId="181" operator="greaterThan" stopIfTrue="1">
      <formula>$C$51*0.1</formula>
    </cfRule>
  </conditionalFormatting>
  <conditionalFormatting sqref="D49">
    <cfRule type="cellIs" priority="13" dxfId="181" operator="greaterThan" stopIfTrue="1">
      <formula>$D$51*0.1</formula>
    </cfRule>
  </conditionalFormatting>
  <conditionalFormatting sqref="E49">
    <cfRule type="cellIs" priority="14" dxfId="181" operator="greaterThan" stopIfTrue="1">
      <formula>$E$51*0.1</formula>
    </cfRule>
  </conditionalFormatting>
  <conditionalFormatting sqref="E52 C52 E25 C25">
    <cfRule type="cellIs" priority="15" dxfId="1" operator="lessThan" stopIfTrue="1">
      <formula>0</formula>
    </cfRule>
  </conditionalFormatting>
  <conditionalFormatting sqref="D24">
    <cfRule type="cellIs" priority="16" dxfId="1" operator="greaterThan" stopIfTrue="1">
      <formula>$D$26</formula>
    </cfRule>
  </conditionalFormatting>
  <conditionalFormatting sqref="C24">
    <cfRule type="cellIs" priority="17" dxfId="1" operator="greaterThan" stopIfTrue="1">
      <formula>$C$26</formula>
    </cfRule>
  </conditionalFormatting>
  <conditionalFormatting sqref="D51">
    <cfRule type="cellIs" priority="18" dxfId="1" operator="greaterThan" stopIfTrue="1">
      <formula>$D$53</formula>
    </cfRule>
  </conditionalFormatting>
  <conditionalFormatting sqref="C51">
    <cfRule type="cellIs" priority="19" dxfId="1" operator="greaterThan" stopIfTrue="1">
      <formula>$C$53</formula>
    </cfRule>
  </conditionalFormatting>
  <conditionalFormatting sqref="D25">
    <cfRule type="cellIs" priority="2" dxfId="0" operator="lessThan" stopIfTrue="1">
      <formula>0</formula>
    </cfRule>
  </conditionalFormatting>
  <conditionalFormatting sqref="D52">
    <cfRule type="cellIs" priority="1" dxfId="0" operator="lessThan" stopIfTrue="1">
      <formula>0</formula>
    </cfRule>
  </conditionalFormatting>
  <printOptions/>
  <pageMargins left="0.7" right="0.5" top="0.74" bottom="0.34" header="0.5" footer="0"/>
  <pageSetup blackAndWhite="1" fitToHeight="1" fitToWidth="1" horizontalDpi="120" verticalDpi="120" orientation="portrait" scale="84" r:id="rId1"/>
  <headerFooter alignWithMargins="0">
    <oddHeader>&amp;RState of Kansas
County
</oddHeader>
  </headerFooter>
</worksheet>
</file>

<file path=xl/worksheets/sheet23.xml><?xml version="1.0" encoding="utf-8"?>
<worksheet xmlns="http://schemas.openxmlformats.org/spreadsheetml/2006/main" xmlns:r="http://schemas.openxmlformats.org/officeDocument/2006/relationships">
  <dimension ref="B1:E60"/>
  <sheetViews>
    <sheetView zoomScalePageLayoutView="0" workbookViewId="0" topLeftCell="A4">
      <selection activeCell="E117" sqref="E117"/>
    </sheetView>
  </sheetViews>
  <sheetFormatPr defaultColWidth="8.796875" defaultRowHeight="15"/>
  <cols>
    <col min="1" max="1" width="2.3984375" style="48" customWidth="1"/>
    <col min="2" max="2" width="31.09765625" style="48" customWidth="1"/>
    <col min="3" max="4" width="15.796875" style="48" customWidth="1"/>
    <col min="5" max="5" width="16.09765625" style="48" customWidth="1"/>
    <col min="6" max="16384" width="8.8984375" style="48" customWidth="1"/>
  </cols>
  <sheetData>
    <row r="1" spans="2:5" ht="15.75">
      <c r="B1" s="198" t="str">
        <f>(inputPrYr!C2)</f>
        <v>Sheridan County</v>
      </c>
      <c r="C1" s="60"/>
      <c r="D1" s="60"/>
      <c r="E1" s="251">
        <f>inputPrYr!C4</f>
        <v>2015</v>
      </c>
    </row>
    <row r="2" spans="2:5" ht="15.75">
      <c r="B2" s="60"/>
      <c r="C2" s="60"/>
      <c r="D2" s="60"/>
      <c r="E2" s="205"/>
    </row>
    <row r="3" spans="2:5" ht="15.75">
      <c r="B3" s="125" t="s">
        <v>228</v>
      </c>
      <c r="C3" s="297"/>
      <c r="D3" s="297"/>
      <c r="E3" s="298"/>
    </row>
    <row r="4" spans="2:5" ht="15.75">
      <c r="B4" s="60"/>
      <c r="C4" s="291"/>
      <c r="D4" s="291"/>
      <c r="E4" s="291"/>
    </row>
    <row r="5" spans="2:5" ht="15.75">
      <c r="B5" s="59" t="s">
        <v>152</v>
      </c>
      <c r="C5" s="287" t="str">
        <f>general!C4</f>
        <v>Prior Year </v>
      </c>
      <c r="D5" s="185" t="str">
        <f>general!D4</f>
        <v>Current Year </v>
      </c>
      <c r="E5" s="185" t="str">
        <f>general!E4</f>
        <v>Proposed Budget </v>
      </c>
    </row>
    <row r="6" spans="2:5" ht="15.75">
      <c r="B6" s="417" t="str">
        <f>inputPrYr!B49</f>
        <v>911 Wireless</v>
      </c>
      <c r="C6" s="280" t="str">
        <f>general!C5</f>
        <v>Actual for 2013</v>
      </c>
      <c r="D6" s="280" t="str">
        <f>general!D5</f>
        <v>Estimate for 2014</v>
      </c>
      <c r="E6" s="267" t="str">
        <f>general!E5</f>
        <v>Year for 2015</v>
      </c>
    </row>
    <row r="7" spans="2:5" ht="15.75">
      <c r="B7" s="121" t="s">
        <v>259</v>
      </c>
      <c r="C7" s="85">
        <v>75858</v>
      </c>
      <c r="D7" s="230">
        <f>C26</f>
        <v>120282</v>
      </c>
      <c r="E7" s="230">
        <f>D26</f>
        <v>165709</v>
      </c>
    </row>
    <row r="8" spans="2:5" ht="15.75">
      <c r="B8" s="299" t="s">
        <v>261</v>
      </c>
      <c r="C8" s="81"/>
      <c r="D8" s="81"/>
      <c r="E8" s="81"/>
    </row>
    <row r="9" spans="2:5" ht="15.75">
      <c r="B9" s="282" t="s">
        <v>1039</v>
      </c>
      <c r="C9" s="85">
        <v>49642</v>
      </c>
      <c r="D9" s="85">
        <v>55000</v>
      </c>
      <c r="E9" s="85">
        <v>60000</v>
      </c>
    </row>
    <row r="10" spans="2:5" ht="15.75">
      <c r="B10" s="282" t="s">
        <v>158</v>
      </c>
      <c r="C10" s="85">
        <v>36</v>
      </c>
      <c r="D10" s="85">
        <v>27</v>
      </c>
      <c r="E10" s="85">
        <v>25</v>
      </c>
    </row>
    <row r="11" spans="2:5" ht="15.75">
      <c r="B11" s="282" t="s">
        <v>1040</v>
      </c>
      <c r="C11" s="85"/>
      <c r="D11" s="85"/>
      <c r="E11" s="85"/>
    </row>
    <row r="12" spans="2:5" ht="15.75">
      <c r="B12" s="273"/>
      <c r="C12" s="85"/>
      <c r="D12" s="85"/>
      <c r="E12" s="85"/>
    </row>
    <row r="13" spans="2:5" ht="15.75">
      <c r="B13" s="274" t="s">
        <v>68</v>
      </c>
      <c r="C13" s="85"/>
      <c r="D13" s="269"/>
      <c r="E13" s="269"/>
    </row>
    <row r="14" spans="2:5" ht="15.75">
      <c r="B14" s="274" t="s">
        <v>634</v>
      </c>
      <c r="C14" s="414">
        <f>IF(C15*0.1&lt;C13,"Exceed 10% Rule","")</f>
      </c>
      <c r="D14" s="275">
        <f>IF(D15*0.1&lt;D13,"Exceed 10% Rule","")</f>
      </c>
      <c r="E14" s="275">
        <f>IF(E15*0.1&lt;E13,"Exceed 10% Rule","")</f>
      </c>
    </row>
    <row r="15" spans="2:5" ht="15.75">
      <c r="B15" s="276" t="s">
        <v>159</v>
      </c>
      <c r="C15" s="306">
        <f>SUM(C9:C13)</f>
        <v>49678</v>
      </c>
      <c r="D15" s="306">
        <f>SUM(D9:D13)</f>
        <v>55027</v>
      </c>
      <c r="E15" s="306">
        <f>SUM(E9:E13)</f>
        <v>60025</v>
      </c>
    </row>
    <row r="16" spans="2:5" ht="15.75">
      <c r="B16" s="276" t="s">
        <v>160</v>
      </c>
      <c r="C16" s="306">
        <f>C15+C7</f>
        <v>125536</v>
      </c>
      <c r="D16" s="306">
        <f>D15+D7</f>
        <v>175309</v>
      </c>
      <c r="E16" s="306">
        <f>E15+E7</f>
        <v>225734</v>
      </c>
    </row>
    <row r="17" spans="2:5" ht="15.75">
      <c r="B17" s="121" t="s">
        <v>162</v>
      </c>
      <c r="C17" s="230"/>
      <c r="D17" s="230"/>
      <c r="E17" s="230"/>
    </row>
    <row r="18" spans="2:5" ht="15.75">
      <c r="B18" s="282" t="s">
        <v>1010</v>
      </c>
      <c r="C18" s="85">
        <v>5254</v>
      </c>
      <c r="D18" s="85">
        <v>9600</v>
      </c>
      <c r="E18" s="85">
        <v>225734</v>
      </c>
    </row>
    <row r="19" spans="2:5" ht="15.75">
      <c r="B19" s="282"/>
      <c r="C19" s="85"/>
      <c r="D19" s="85"/>
      <c r="E19" s="85"/>
    </row>
    <row r="20" spans="2:5" ht="15.75">
      <c r="B20" s="282"/>
      <c r="C20" s="85"/>
      <c r="D20" s="85"/>
      <c r="E20" s="85"/>
    </row>
    <row r="21" spans="2:5" ht="15.75">
      <c r="B21" s="282"/>
      <c r="C21" s="85"/>
      <c r="D21" s="85"/>
      <c r="E21" s="85"/>
    </row>
    <row r="22" spans="2:5" ht="15.75">
      <c r="B22" s="282"/>
      <c r="C22" s="85"/>
      <c r="D22" s="85"/>
      <c r="E22" s="85"/>
    </row>
    <row r="23" spans="2:5" ht="15.75">
      <c r="B23" s="274" t="s">
        <v>68</v>
      </c>
      <c r="C23" s="85"/>
      <c r="D23" s="269"/>
      <c r="E23" s="269"/>
    </row>
    <row r="24" spans="2:5" ht="15.75">
      <c r="B24" s="274" t="s">
        <v>633</v>
      </c>
      <c r="C24" s="414">
        <f>IF(C25*0.1&lt;C23,"Exceed 10% Rule","")</f>
      </c>
      <c r="D24" s="275">
        <f>IF(D25*0.1&lt;D23,"Exceed 10% Rule","")</f>
      </c>
      <c r="E24" s="275">
        <f>IF(E25*0.1&lt;E23,"Exceed 10% Rule","")</f>
      </c>
    </row>
    <row r="25" spans="2:5" ht="15.75">
      <c r="B25" s="276" t="s">
        <v>163</v>
      </c>
      <c r="C25" s="306">
        <f>SUM(C18:C23)</f>
        <v>5254</v>
      </c>
      <c r="D25" s="306">
        <f>SUM(D18:D23)</f>
        <v>9600</v>
      </c>
      <c r="E25" s="306">
        <f>SUM(E18:E23)</f>
        <v>225734</v>
      </c>
    </row>
    <row r="26" spans="2:5" ht="15.75">
      <c r="B26" s="121" t="s">
        <v>260</v>
      </c>
      <c r="C26" s="93">
        <f>C16-C25</f>
        <v>120282</v>
      </c>
      <c r="D26" s="93">
        <f>D16-D25</f>
        <v>165709</v>
      </c>
      <c r="E26" s="93">
        <f>E16-E25</f>
        <v>0</v>
      </c>
    </row>
    <row r="27" spans="2:5" ht="15.75">
      <c r="B27" s="266" t="str">
        <f>CONCATENATE("",E1-2,"/",E1-1,"/",E1," Budget Authority Amount:")</f>
        <v>2013/2014/2015 Budget Authority Amount:</v>
      </c>
      <c r="C27" s="301">
        <f>inputOth!B61</f>
        <v>91357</v>
      </c>
      <c r="D27" s="301">
        <f>inputPrYr!D49</f>
        <v>180858</v>
      </c>
      <c r="E27" s="658">
        <f>E25</f>
        <v>225734</v>
      </c>
    </row>
    <row r="28" spans="2:5" ht="15.75">
      <c r="B28" s="252"/>
      <c r="C28" s="285">
        <f>IF(C25&gt;C27,"See Tab A","")</f>
      </c>
      <c r="D28" s="285">
        <f>IF(D25&gt;D27,"See Tab C","")</f>
      </c>
      <c r="E28" s="659">
        <f>IF(E26&lt;0,"See Tab E","")</f>
      </c>
    </row>
    <row r="29" spans="2:5" ht="15.75">
      <c r="B29" s="252"/>
      <c r="C29" s="285">
        <f>IF(C26&lt;0,"See Tab B","")</f>
      </c>
      <c r="D29" s="285">
        <f>IF(D26&lt;0,"See Tab D","")</f>
      </c>
      <c r="E29" s="118"/>
    </row>
    <row r="30" spans="2:5" ht="15.75">
      <c r="B30" s="60"/>
      <c r="C30" s="118"/>
      <c r="D30" s="118"/>
      <c r="E30" s="118"/>
    </row>
    <row r="31" spans="2:5" ht="15.75">
      <c r="B31" s="94"/>
      <c r="C31" s="721"/>
      <c r="D31" s="721"/>
      <c r="E31" s="721"/>
    </row>
    <row r="32" spans="2:5" ht="15.75">
      <c r="B32" s="61"/>
      <c r="C32" s="722"/>
      <c r="D32" s="723"/>
      <c r="E32" s="723"/>
    </row>
    <row r="33" spans="2:5" ht="15.75">
      <c r="B33" s="417"/>
      <c r="C33" s="724"/>
      <c r="D33" s="724"/>
      <c r="E33" s="724"/>
    </row>
    <row r="34" spans="2:5" ht="15.75">
      <c r="B34" s="94"/>
      <c r="C34" s="725"/>
      <c r="D34" s="96"/>
      <c r="E34" s="96"/>
    </row>
    <row r="35" spans="2:5" ht="15.75">
      <c r="B35" s="94"/>
      <c r="C35" s="61"/>
      <c r="D35" s="61"/>
      <c r="E35" s="61"/>
    </row>
    <row r="36" spans="2:5" ht="15.75">
      <c r="B36" s="726"/>
      <c r="C36" s="725"/>
      <c r="D36" s="725"/>
      <c r="E36" s="725"/>
    </row>
    <row r="37" spans="2:5" ht="15.75">
      <c r="B37" s="726"/>
      <c r="C37" s="725"/>
      <c r="D37" s="725"/>
      <c r="E37" s="725"/>
    </row>
    <row r="38" spans="2:5" ht="15.75">
      <c r="B38" s="726"/>
      <c r="C38" s="725"/>
      <c r="D38" s="725"/>
      <c r="E38" s="725"/>
    </row>
    <row r="39" spans="2:5" ht="15.75">
      <c r="B39" s="727"/>
      <c r="C39" s="725"/>
      <c r="D39" s="725"/>
      <c r="E39" s="725"/>
    </row>
    <row r="40" spans="2:5" ht="15.75">
      <c r="B40" s="61"/>
      <c r="C40" s="725"/>
      <c r="D40" s="725"/>
      <c r="E40" s="725"/>
    </row>
    <row r="41" spans="2:5" ht="15.75">
      <c r="B41" s="61"/>
      <c r="C41" s="728"/>
      <c r="D41" s="728"/>
      <c r="E41" s="728"/>
    </row>
    <row r="42" spans="2:5" ht="15.75">
      <c r="B42" s="729"/>
      <c r="C42" s="730"/>
      <c r="D42" s="730"/>
      <c r="E42" s="730"/>
    </row>
    <row r="43" spans="2:5" ht="15.75">
      <c r="B43" s="729"/>
      <c r="C43" s="730"/>
      <c r="D43" s="730"/>
      <c r="E43" s="730"/>
    </row>
    <row r="44" spans="2:5" ht="15.75">
      <c r="B44" s="94"/>
      <c r="C44" s="96"/>
      <c r="D44" s="96"/>
      <c r="E44" s="96"/>
    </row>
    <row r="45" spans="2:5" ht="15.75">
      <c r="B45" s="726"/>
      <c r="C45" s="725"/>
      <c r="D45" s="725"/>
      <c r="E45" s="725"/>
    </row>
    <row r="46" spans="2:5" ht="15.75">
      <c r="B46" s="726"/>
      <c r="C46" s="725"/>
      <c r="D46" s="725"/>
      <c r="E46" s="725"/>
    </row>
    <row r="47" spans="2:5" ht="15.75">
      <c r="B47" s="726"/>
      <c r="C47" s="725"/>
      <c r="D47" s="725"/>
      <c r="E47" s="725"/>
    </row>
    <row r="48" spans="2:5" ht="15.75">
      <c r="B48" s="726"/>
      <c r="C48" s="725"/>
      <c r="D48" s="725"/>
      <c r="E48" s="725"/>
    </row>
    <row r="49" spans="2:5" ht="15.75">
      <c r="B49" s="726"/>
      <c r="C49" s="725"/>
      <c r="D49" s="725"/>
      <c r="E49" s="725"/>
    </row>
    <row r="50" spans="2:5" ht="15.75">
      <c r="B50" s="726"/>
      <c r="C50" s="725"/>
      <c r="D50" s="725"/>
      <c r="E50" s="725"/>
    </row>
    <row r="51" spans="2:5" ht="15.75">
      <c r="B51" s="726"/>
      <c r="C51" s="725"/>
      <c r="D51" s="725"/>
      <c r="E51" s="725"/>
    </row>
    <row r="52" spans="2:5" ht="15.75">
      <c r="B52" s="726"/>
      <c r="C52" s="725"/>
      <c r="D52" s="725"/>
      <c r="E52" s="725"/>
    </row>
    <row r="53" spans="2:5" ht="15.75">
      <c r="B53" s="726"/>
      <c r="C53" s="725"/>
      <c r="D53" s="725"/>
      <c r="E53" s="725"/>
    </row>
    <row r="54" spans="2:5" ht="15.75">
      <c r="B54" s="61"/>
      <c r="C54" s="725"/>
      <c r="D54" s="725"/>
      <c r="E54" s="725"/>
    </row>
    <row r="55" spans="2:5" ht="15.75">
      <c r="B55" s="61"/>
      <c r="C55" s="728"/>
      <c r="D55" s="728"/>
      <c r="E55" s="728"/>
    </row>
    <row r="56" spans="2:5" ht="15.75">
      <c r="B56" s="729"/>
      <c r="C56" s="730"/>
      <c r="D56" s="730"/>
      <c r="E56" s="730"/>
    </row>
    <row r="57" spans="2:5" ht="15.75">
      <c r="B57" s="94"/>
      <c r="C57" s="731"/>
      <c r="D57" s="731"/>
      <c r="E57" s="731"/>
    </row>
    <row r="58" spans="2:5" ht="15.75">
      <c r="B58" s="566"/>
      <c r="C58" s="732"/>
      <c r="D58" s="732"/>
      <c r="E58" s="96"/>
    </row>
    <row r="59" spans="2:5" ht="15.75">
      <c r="B59" s="60"/>
      <c r="C59" s="60"/>
      <c r="D59" s="60"/>
      <c r="E59" s="60"/>
    </row>
    <row r="60" spans="2:5" ht="15.75">
      <c r="B60" s="252"/>
      <c r="C60" s="720" t="s">
        <v>1041</v>
      </c>
      <c r="D60" s="60"/>
      <c r="E60" s="60"/>
    </row>
  </sheetData>
  <sheetProtection/>
  <conditionalFormatting sqref="C23">
    <cfRule type="cellIs" priority="3" dxfId="181" operator="greaterThan" stopIfTrue="1">
      <formula>$C$25*0.1</formula>
    </cfRule>
  </conditionalFormatting>
  <conditionalFormatting sqref="D23">
    <cfRule type="cellIs" priority="4" dxfId="181" operator="greaterThan" stopIfTrue="1">
      <formula>$D$25*0.1</formula>
    </cfRule>
  </conditionalFormatting>
  <conditionalFormatting sqref="E23">
    <cfRule type="cellIs" priority="5" dxfId="181" operator="greaterThan" stopIfTrue="1">
      <formula>$E$25*0.1</formula>
    </cfRule>
  </conditionalFormatting>
  <conditionalFormatting sqref="C13">
    <cfRule type="cellIs" priority="6" dxfId="181" operator="greaterThan" stopIfTrue="1">
      <formula>$C$15*0.1</formula>
    </cfRule>
  </conditionalFormatting>
  <conditionalFormatting sqref="D13">
    <cfRule type="cellIs" priority="7" dxfId="181" operator="greaterThan" stopIfTrue="1">
      <formula>$D$15*0.1</formula>
    </cfRule>
  </conditionalFormatting>
  <conditionalFormatting sqref="E13">
    <cfRule type="cellIs" priority="8" dxfId="181" operator="greaterThan" stopIfTrue="1">
      <formula>$E$15*0.1</formula>
    </cfRule>
  </conditionalFormatting>
  <conditionalFormatting sqref="C40">
    <cfRule type="cellIs" priority="9" dxfId="181" operator="greaterThan" stopIfTrue="1">
      <formula>$C$42*0.1</formula>
    </cfRule>
  </conditionalFormatting>
  <conditionalFormatting sqref="D40">
    <cfRule type="cellIs" priority="10" dxfId="181" operator="greaterThan" stopIfTrue="1">
      <formula>$D$42*0.1</formula>
    </cfRule>
  </conditionalFormatting>
  <conditionalFormatting sqref="E40">
    <cfRule type="cellIs" priority="11" dxfId="181" operator="greaterThan" stopIfTrue="1">
      <formula>$E$42*0.1</formula>
    </cfRule>
  </conditionalFormatting>
  <conditionalFormatting sqref="C54">
    <cfRule type="cellIs" priority="12" dxfId="181" operator="greaterThan" stopIfTrue="1">
      <formula>$C$56*0.1</formula>
    </cfRule>
  </conditionalFormatting>
  <conditionalFormatting sqref="D54">
    <cfRule type="cellIs" priority="13" dxfId="181" operator="greaterThan" stopIfTrue="1">
      <formula>$D$56*0.1</formula>
    </cfRule>
  </conditionalFormatting>
  <conditionalFormatting sqref="E54">
    <cfRule type="cellIs" priority="14" dxfId="181" operator="greaterThan" stopIfTrue="1">
      <formula>$E$56*0.1</formula>
    </cfRule>
  </conditionalFormatting>
  <conditionalFormatting sqref="E26 C26 E57 C57">
    <cfRule type="cellIs" priority="15" dxfId="1" operator="lessThan" stopIfTrue="1">
      <formula>0</formula>
    </cfRule>
  </conditionalFormatting>
  <conditionalFormatting sqref="D25">
    <cfRule type="cellIs" priority="16" dxfId="1" operator="greaterThan" stopIfTrue="1">
      <formula>$D$27</formula>
    </cfRule>
  </conditionalFormatting>
  <conditionalFormatting sqref="C25">
    <cfRule type="cellIs" priority="17" dxfId="1" operator="greaterThan" stopIfTrue="1">
      <formula>$C$27</formula>
    </cfRule>
  </conditionalFormatting>
  <conditionalFormatting sqref="D56">
    <cfRule type="cellIs" priority="18" dxfId="1" operator="greaterThan" stopIfTrue="1">
      <formula>$D$58</formula>
    </cfRule>
  </conditionalFormatting>
  <conditionalFormatting sqref="C56">
    <cfRule type="cellIs" priority="19" dxfId="1" operator="greaterThan" stopIfTrue="1">
      <formula>$C$58</formula>
    </cfRule>
  </conditionalFormatting>
  <conditionalFormatting sqref="D26 D57">
    <cfRule type="cellIs" priority="2" dxfId="0" operator="lessThan" stopIfTrue="1">
      <formula>0</formula>
    </cfRule>
  </conditionalFormatting>
  <printOptions/>
  <pageMargins left="0.7" right="0.5" top="0.74" bottom="0.34" header="0.5" footer="0"/>
  <pageSetup blackAndWhite="1" horizontalDpi="120" verticalDpi="120" orientation="portrait" scale="85" r:id="rId1"/>
  <headerFooter alignWithMargins="0">
    <oddHeader>&amp;RState of Kansas
County
</oddHeader>
  </headerFooter>
</worksheet>
</file>

<file path=xl/worksheets/sheet24.xml><?xml version="1.0" encoding="utf-8"?>
<worksheet xmlns="http://schemas.openxmlformats.org/spreadsheetml/2006/main" xmlns:r="http://schemas.openxmlformats.org/officeDocument/2006/relationships">
  <dimension ref="A1:L47"/>
  <sheetViews>
    <sheetView zoomScalePageLayoutView="0" workbookViewId="0" topLeftCell="A1">
      <selection activeCell="H20" sqref="H20"/>
    </sheetView>
  </sheetViews>
  <sheetFormatPr defaultColWidth="8.796875" defaultRowHeight="15"/>
  <cols>
    <col min="1" max="1" width="11.59765625" style="48" customWidth="1"/>
    <col min="2" max="2" width="7.3984375" style="48" customWidth="1"/>
    <col min="3" max="3" width="11.59765625" style="48" customWidth="1"/>
    <col min="4" max="4" width="7.3984375" style="48" customWidth="1"/>
    <col min="5" max="5" width="11.59765625" style="48" customWidth="1"/>
    <col min="6" max="6" width="7.3984375" style="48" customWidth="1"/>
    <col min="7" max="7" width="11.59765625" style="48" customWidth="1"/>
    <col min="8" max="8" width="7.3984375" style="48" customWidth="1"/>
    <col min="9" max="9" width="11.59765625" style="48" customWidth="1"/>
    <col min="10" max="16384" width="8.8984375" style="48" customWidth="1"/>
  </cols>
  <sheetData>
    <row r="1" spans="1:11" ht="15.75">
      <c r="A1" s="117" t="str">
        <f>inputPrYr!$C$2</f>
        <v>Sheridan County</v>
      </c>
      <c r="B1" s="309"/>
      <c r="C1" s="98"/>
      <c r="D1" s="98"/>
      <c r="E1" s="98"/>
      <c r="F1" s="310" t="s">
        <v>12</v>
      </c>
      <c r="G1" s="98"/>
      <c r="H1" s="98"/>
      <c r="I1" s="98"/>
      <c r="J1" s="98"/>
      <c r="K1" s="98">
        <f>inputPrYr!$C$4</f>
        <v>2015</v>
      </c>
    </row>
    <row r="2" spans="1:11" ht="15.75">
      <c r="A2" s="98"/>
      <c r="B2" s="98"/>
      <c r="C2" s="98"/>
      <c r="D2" s="98"/>
      <c r="E2" s="98"/>
      <c r="F2" s="311" t="str">
        <f>CONCATENATE("(Only the actual budget year for ",K1-2," is to be shown)")</f>
        <v>(Only the actual budget year for 2013 is to be shown)</v>
      </c>
      <c r="G2" s="98"/>
      <c r="H2" s="98"/>
      <c r="I2" s="98"/>
      <c r="J2" s="98"/>
      <c r="K2" s="98"/>
    </row>
    <row r="3" spans="1:11" ht="15.75">
      <c r="A3" s="98" t="s">
        <v>13</v>
      </c>
      <c r="B3" s="98"/>
      <c r="C3" s="98"/>
      <c r="D3" s="98"/>
      <c r="E3" s="98"/>
      <c r="F3" s="309"/>
      <c r="G3" s="98"/>
      <c r="H3" s="98"/>
      <c r="I3" s="98"/>
      <c r="J3" s="98"/>
      <c r="K3" s="98"/>
    </row>
    <row r="4" spans="1:11" ht="15.75">
      <c r="A4" s="98" t="s">
        <v>14</v>
      </c>
      <c r="B4" s="98"/>
      <c r="C4" s="98" t="s">
        <v>15</v>
      </c>
      <c r="D4" s="98"/>
      <c r="E4" s="98" t="s">
        <v>16</v>
      </c>
      <c r="F4" s="309"/>
      <c r="G4" s="98" t="s">
        <v>17</v>
      </c>
      <c r="H4" s="98"/>
      <c r="I4" s="98" t="s">
        <v>18</v>
      </c>
      <c r="J4" s="98"/>
      <c r="K4" s="98"/>
    </row>
    <row r="5" spans="1:11" ht="15.75">
      <c r="A5" s="807" t="str">
        <f>IF(inputPrYr!B62&gt;" ",(inputPrYr!B62)," ")</f>
        <v>Special Hwy Improvement</v>
      </c>
      <c r="B5" s="808"/>
      <c r="C5" s="807" t="str">
        <f>IF(inputPrYr!B63&gt;" ",(inputPrYr!B63)," ")</f>
        <v>Special Machinery</v>
      </c>
      <c r="D5" s="808"/>
      <c r="E5" s="807" t="str">
        <f>IF(inputPrYr!B64&gt;" ",(inputPrYr!B64)," ")</f>
        <v>Public Transportation Van</v>
      </c>
      <c r="F5" s="808"/>
      <c r="G5" s="807" t="str">
        <f>IF(inputPrYr!B65&gt;" ",(inputPrYr!B65)," ")</f>
        <v>Capital Project</v>
      </c>
      <c r="H5" s="808"/>
      <c r="I5" s="807" t="str">
        <f>IF(inputPrYr!B66&gt;" ",(inputPrYr!B66)," ")</f>
        <v>Special Motor Vehicle</v>
      </c>
      <c r="J5" s="808"/>
      <c r="K5" s="313"/>
    </row>
    <row r="6" spans="1:11" ht="15.75">
      <c r="A6" s="314" t="s">
        <v>19</v>
      </c>
      <c r="B6" s="315"/>
      <c r="C6" s="316" t="s">
        <v>19</v>
      </c>
      <c r="D6" s="317"/>
      <c r="E6" s="316" t="s">
        <v>19</v>
      </c>
      <c r="F6" s="312"/>
      <c r="G6" s="316" t="s">
        <v>19</v>
      </c>
      <c r="H6" s="318"/>
      <c r="I6" s="316" t="s">
        <v>19</v>
      </c>
      <c r="J6" s="98"/>
      <c r="K6" s="319" t="s">
        <v>123</v>
      </c>
    </row>
    <row r="7" spans="1:11" ht="15.75">
      <c r="A7" s="320" t="s">
        <v>77</v>
      </c>
      <c r="B7" s="321">
        <v>294108</v>
      </c>
      <c r="C7" s="322" t="s">
        <v>77</v>
      </c>
      <c r="D7" s="321">
        <v>541578</v>
      </c>
      <c r="E7" s="322" t="s">
        <v>77</v>
      </c>
      <c r="F7" s="321">
        <v>3890</v>
      </c>
      <c r="G7" s="322" t="s">
        <v>77</v>
      </c>
      <c r="H7" s="321">
        <v>2971</v>
      </c>
      <c r="I7" s="322" t="s">
        <v>77</v>
      </c>
      <c r="J7" s="321">
        <v>0</v>
      </c>
      <c r="K7" s="323">
        <f>SUM(B7+D7+F7+H7+J7)</f>
        <v>842547</v>
      </c>
    </row>
    <row r="8" spans="1:11" ht="15.75">
      <c r="A8" s="324" t="s">
        <v>261</v>
      </c>
      <c r="B8" s="325"/>
      <c r="C8" s="324" t="s">
        <v>261</v>
      </c>
      <c r="D8" s="326"/>
      <c r="E8" s="324" t="s">
        <v>261</v>
      </c>
      <c r="F8" s="309"/>
      <c r="G8" s="324" t="s">
        <v>261</v>
      </c>
      <c r="H8" s="98"/>
      <c r="I8" s="324" t="s">
        <v>261</v>
      </c>
      <c r="J8" s="98"/>
      <c r="K8" s="309"/>
    </row>
    <row r="9" spans="1:11" ht="15.75">
      <c r="A9" s="327" t="s">
        <v>1042</v>
      </c>
      <c r="B9" s="321">
        <v>175000</v>
      </c>
      <c r="C9" s="327" t="s">
        <v>1042</v>
      </c>
      <c r="D9" s="321">
        <v>410000</v>
      </c>
      <c r="E9" s="327" t="s">
        <v>1043</v>
      </c>
      <c r="F9" s="321"/>
      <c r="G9" s="327"/>
      <c r="H9" s="321"/>
      <c r="I9" s="327" t="s">
        <v>1045</v>
      </c>
      <c r="J9" s="321">
        <v>0</v>
      </c>
      <c r="K9" s="309"/>
    </row>
    <row r="10" spans="1:11" ht="15.75">
      <c r="A10" s="327"/>
      <c r="B10" s="321"/>
      <c r="C10" s="327"/>
      <c r="D10" s="321"/>
      <c r="E10" s="327" t="s">
        <v>1044</v>
      </c>
      <c r="F10" s="321">
        <v>11727</v>
      </c>
      <c r="G10" s="327"/>
      <c r="H10" s="321"/>
      <c r="I10" s="327" t="s">
        <v>68</v>
      </c>
      <c r="J10" s="321">
        <v>23</v>
      </c>
      <c r="K10" s="309"/>
    </row>
    <row r="11" spans="1:11" ht="15.75">
      <c r="A11" s="327"/>
      <c r="B11" s="321"/>
      <c r="C11" s="328"/>
      <c r="D11" s="321"/>
      <c r="E11" s="328"/>
      <c r="F11" s="321"/>
      <c r="G11" s="328"/>
      <c r="H11" s="321"/>
      <c r="I11" s="329" t="s">
        <v>1046</v>
      </c>
      <c r="J11" s="321">
        <v>54</v>
      </c>
      <c r="K11" s="309"/>
    </row>
    <row r="12" spans="1:11" ht="15.75">
      <c r="A12" s="327"/>
      <c r="B12" s="321"/>
      <c r="C12" s="327"/>
      <c r="D12" s="321"/>
      <c r="E12" s="330"/>
      <c r="F12" s="321"/>
      <c r="G12" s="330"/>
      <c r="H12" s="321"/>
      <c r="I12" s="330" t="s">
        <v>1047</v>
      </c>
      <c r="J12" s="321">
        <v>37050</v>
      </c>
      <c r="K12" s="309"/>
    </row>
    <row r="13" spans="1:11" ht="15.75">
      <c r="A13" s="331"/>
      <c r="B13" s="321"/>
      <c r="C13" s="332"/>
      <c r="D13" s="321"/>
      <c r="E13" s="332"/>
      <c r="F13" s="321"/>
      <c r="G13" s="332"/>
      <c r="H13" s="321"/>
      <c r="I13" s="329" t="s">
        <v>1019</v>
      </c>
      <c r="J13" s="321">
        <v>525</v>
      </c>
      <c r="K13" s="309"/>
    </row>
    <row r="14" spans="1:11" ht="15.75">
      <c r="A14" s="327"/>
      <c r="B14" s="321"/>
      <c r="C14" s="330"/>
      <c r="D14" s="321"/>
      <c r="E14" s="330"/>
      <c r="F14" s="321"/>
      <c r="G14" s="330"/>
      <c r="H14" s="321"/>
      <c r="I14" s="330" t="s">
        <v>1048</v>
      </c>
      <c r="J14" s="321"/>
      <c r="K14" s="309"/>
    </row>
    <row r="15" spans="1:11" ht="15.75">
      <c r="A15" s="327"/>
      <c r="B15" s="321"/>
      <c r="C15" s="330"/>
      <c r="D15" s="321"/>
      <c r="E15" s="330"/>
      <c r="F15" s="321"/>
      <c r="G15" s="330"/>
      <c r="H15" s="321"/>
      <c r="I15" s="330"/>
      <c r="J15" s="321"/>
      <c r="K15" s="309"/>
    </row>
    <row r="16" spans="1:11" ht="15.75">
      <c r="A16" s="327"/>
      <c r="B16" s="321"/>
      <c r="C16" s="327"/>
      <c r="D16" s="321"/>
      <c r="E16" s="327"/>
      <c r="F16" s="321"/>
      <c r="G16" s="330"/>
      <c r="H16" s="321"/>
      <c r="I16" s="327"/>
      <c r="J16" s="321"/>
      <c r="K16" s="309"/>
    </row>
    <row r="17" spans="1:11" ht="15.75">
      <c r="A17" s="324" t="s">
        <v>159</v>
      </c>
      <c r="B17" s="333">
        <f>SUM(B9:B16)</f>
        <v>175000</v>
      </c>
      <c r="C17" s="324" t="s">
        <v>159</v>
      </c>
      <c r="D17" s="323">
        <f>SUM(D9:D16)</f>
        <v>410000</v>
      </c>
      <c r="E17" s="324" t="s">
        <v>159</v>
      </c>
      <c r="F17" s="396">
        <f>SUM(F9:F16)</f>
        <v>11727</v>
      </c>
      <c r="G17" s="324" t="s">
        <v>159</v>
      </c>
      <c r="H17" s="323">
        <f>SUM(H9:H16)</f>
        <v>0</v>
      </c>
      <c r="I17" s="324" t="s">
        <v>159</v>
      </c>
      <c r="J17" s="323">
        <f>SUM(J9:J16)</f>
        <v>37652</v>
      </c>
      <c r="K17" s="323">
        <f>SUM(B17+D17+F17+H17+J17)</f>
        <v>634379</v>
      </c>
    </row>
    <row r="18" spans="1:11" ht="15.75">
      <c r="A18" s="324" t="s">
        <v>160</v>
      </c>
      <c r="B18" s="333">
        <f>SUM(B7+B17)</f>
        <v>469108</v>
      </c>
      <c r="C18" s="324" t="s">
        <v>160</v>
      </c>
      <c r="D18" s="323">
        <f>SUM(D7+D17)</f>
        <v>951578</v>
      </c>
      <c r="E18" s="324" t="s">
        <v>160</v>
      </c>
      <c r="F18" s="323">
        <f>SUM(F7+F17)</f>
        <v>15617</v>
      </c>
      <c r="G18" s="324" t="s">
        <v>160</v>
      </c>
      <c r="H18" s="323">
        <f>SUM(H7+H17)</f>
        <v>2971</v>
      </c>
      <c r="I18" s="324" t="s">
        <v>160</v>
      </c>
      <c r="J18" s="323">
        <f>SUM(J7+J17)</f>
        <v>37652</v>
      </c>
      <c r="K18" s="323">
        <f>SUM(B18+D18+F18+H18+J18)</f>
        <v>1476926</v>
      </c>
    </row>
    <row r="19" spans="1:11" ht="15.75">
      <c r="A19" s="324" t="s">
        <v>162</v>
      </c>
      <c r="B19" s="325"/>
      <c r="C19" s="324" t="s">
        <v>162</v>
      </c>
      <c r="D19" s="326"/>
      <c r="E19" s="324" t="s">
        <v>162</v>
      </c>
      <c r="F19" s="309"/>
      <c r="G19" s="324" t="s">
        <v>162</v>
      </c>
      <c r="H19" s="98"/>
      <c r="I19" s="324" t="s">
        <v>162</v>
      </c>
      <c r="J19" s="98"/>
      <c r="K19" s="309"/>
    </row>
    <row r="20" spans="1:11" ht="15.75">
      <c r="A20" s="327" t="s">
        <v>1049</v>
      </c>
      <c r="B20" s="321"/>
      <c r="C20" s="330" t="s">
        <v>1023</v>
      </c>
      <c r="D20" s="321">
        <v>235445</v>
      </c>
      <c r="E20" s="330" t="s">
        <v>1009</v>
      </c>
      <c r="F20" s="321">
        <v>4842</v>
      </c>
      <c r="G20" s="330" t="s">
        <v>1064</v>
      </c>
      <c r="H20" s="321">
        <v>2971</v>
      </c>
      <c r="I20" s="330" t="s">
        <v>1009</v>
      </c>
      <c r="J20" s="321">
        <v>18489</v>
      </c>
      <c r="K20" s="309"/>
    </row>
    <row r="21" spans="1:11" ht="15.75">
      <c r="A21" s="327" t="s">
        <v>1050</v>
      </c>
      <c r="B21" s="321"/>
      <c r="C21" s="330"/>
      <c r="D21" s="321"/>
      <c r="E21" s="330" t="s">
        <v>1010</v>
      </c>
      <c r="F21" s="321">
        <v>5983</v>
      </c>
      <c r="G21" s="330"/>
      <c r="H21" s="321"/>
      <c r="I21" s="330" t="s">
        <v>1010</v>
      </c>
      <c r="J21" s="321">
        <v>4624</v>
      </c>
      <c r="K21" s="309"/>
    </row>
    <row r="22" spans="1:11" ht="15.75">
      <c r="A22" s="327" t="s">
        <v>1023</v>
      </c>
      <c r="B22" s="321">
        <v>122340</v>
      </c>
      <c r="C22" s="332"/>
      <c r="D22" s="321"/>
      <c r="E22" s="332"/>
      <c r="F22" s="321"/>
      <c r="G22" s="332"/>
      <c r="H22" s="321"/>
      <c r="I22" s="329" t="s">
        <v>1051</v>
      </c>
      <c r="J22" s="321">
        <v>14682</v>
      </c>
      <c r="K22" s="309"/>
    </row>
    <row r="23" spans="1:11" ht="15.75">
      <c r="A23" s="327"/>
      <c r="B23" s="321"/>
      <c r="C23" s="330"/>
      <c r="D23" s="321"/>
      <c r="E23" s="330"/>
      <c r="F23" s="321"/>
      <c r="G23" s="330"/>
      <c r="H23" s="321"/>
      <c r="I23" s="330"/>
      <c r="J23" s="321"/>
      <c r="K23" s="309"/>
    </row>
    <row r="24" spans="1:11" ht="15.75">
      <c r="A24" s="327"/>
      <c r="B24" s="321"/>
      <c r="C24" s="332"/>
      <c r="D24" s="321"/>
      <c r="E24" s="332"/>
      <c r="F24" s="321"/>
      <c r="G24" s="332"/>
      <c r="H24" s="321"/>
      <c r="I24" s="329"/>
      <c r="J24" s="321"/>
      <c r="K24" s="309"/>
    </row>
    <row r="25" spans="1:11" ht="15.75">
      <c r="A25" s="327"/>
      <c r="B25" s="321"/>
      <c r="C25" s="330"/>
      <c r="D25" s="321"/>
      <c r="E25" s="330"/>
      <c r="F25" s="321"/>
      <c r="G25" s="330"/>
      <c r="H25" s="321"/>
      <c r="I25" s="330"/>
      <c r="J25" s="321"/>
      <c r="K25" s="309"/>
    </row>
    <row r="26" spans="1:11" ht="15.75">
      <c r="A26" s="327"/>
      <c r="B26" s="321"/>
      <c r="C26" s="330"/>
      <c r="D26" s="321"/>
      <c r="E26" s="330"/>
      <c r="F26" s="321"/>
      <c r="G26" s="330"/>
      <c r="H26" s="321"/>
      <c r="I26" s="330"/>
      <c r="J26" s="321"/>
      <c r="K26" s="309"/>
    </row>
    <row r="27" spans="1:11" ht="15.75">
      <c r="A27" s="327"/>
      <c r="B27" s="321"/>
      <c r="C27" s="327"/>
      <c r="D27" s="321"/>
      <c r="E27" s="327"/>
      <c r="F27" s="321"/>
      <c r="G27" s="330"/>
      <c r="H27" s="321"/>
      <c r="I27" s="330"/>
      <c r="J27" s="321"/>
      <c r="K27" s="309"/>
    </row>
    <row r="28" spans="1:11" ht="15.75">
      <c r="A28" s="324" t="s">
        <v>163</v>
      </c>
      <c r="B28" s="323">
        <f>SUM(B20:B27)</f>
        <v>122340</v>
      </c>
      <c r="C28" s="324" t="s">
        <v>163</v>
      </c>
      <c r="D28" s="323">
        <f>SUM(D20:D27)</f>
        <v>235445</v>
      </c>
      <c r="E28" s="324" t="s">
        <v>163</v>
      </c>
      <c r="F28" s="396">
        <f>SUM(F20:F27)</f>
        <v>10825</v>
      </c>
      <c r="G28" s="324" t="s">
        <v>163</v>
      </c>
      <c r="H28" s="396">
        <f>SUM(H20:H27)</f>
        <v>2971</v>
      </c>
      <c r="I28" s="324" t="s">
        <v>163</v>
      </c>
      <c r="J28" s="323">
        <f>SUM(J20:J27)</f>
        <v>37795</v>
      </c>
      <c r="K28" s="323">
        <f>SUM(B28+D28+F28+H28+J28)</f>
        <v>409376</v>
      </c>
    </row>
    <row r="29" spans="1:12" ht="15.75">
      <c r="A29" s="324" t="s">
        <v>20</v>
      </c>
      <c r="B29" s="323">
        <f>B18-B28</f>
        <v>346768</v>
      </c>
      <c r="C29" s="324" t="s">
        <v>20</v>
      </c>
      <c r="D29" s="323">
        <f>D18-D28</f>
        <v>716133</v>
      </c>
      <c r="E29" s="324" t="s">
        <v>20</v>
      </c>
      <c r="F29" s="323">
        <f>F18-F28</f>
        <v>4792</v>
      </c>
      <c r="G29" s="324" t="s">
        <v>20</v>
      </c>
      <c r="H29" s="323">
        <f>H18-H28</f>
        <v>0</v>
      </c>
      <c r="I29" s="324" t="s">
        <v>20</v>
      </c>
      <c r="J29" s="323">
        <f>J18-J28</f>
        <v>-143</v>
      </c>
      <c r="K29" s="334">
        <f>SUM(B29+D29+F29+H29+J29)</f>
        <v>1067550</v>
      </c>
      <c r="L29" s="48" t="s">
        <v>56</v>
      </c>
    </row>
    <row r="30" spans="1:12" ht="15.75">
      <c r="A30" s="324"/>
      <c r="B30" s="365">
        <f>IF(B29&lt;0,"See Tab B","")</f>
      </c>
      <c r="C30" s="324"/>
      <c r="D30" s="365">
        <f>IF(D29&lt;0,"See Tab B","")</f>
      </c>
      <c r="E30" s="324"/>
      <c r="F30" s="365">
        <f>IF(F29&lt;0,"See Tab B","")</f>
      </c>
      <c r="G30" s="98"/>
      <c r="H30" s="365">
        <f>IF(H29&lt;0,"See Tab B","")</f>
      </c>
      <c r="I30" s="98"/>
      <c r="J30" s="365" t="str">
        <f>IF(J29&lt;0,"See Tab B","")</f>
        <v>See Tab B</v>
      </c>
      <c r="K30" s="334">
        <f>SUM(K7+K17-K28)</f>
        <v>1067550</v>
      </c>
      <c r="L30" s="48" t="s">
        <v>56</v>
      </c>
    </row>
    <row r="31" spans="1:11" ht="15.75">
      <c r="A31" s="98"/>
      <c r="B31" s="335"/>
      <c r="C31" s="98"/>
      <c r="D31" s="309"/>
      <c r="E31" s="98"/>
      <c r="F31" s="98"/>
      <c r="G31" s="57" t="s">
        <v>57</v>
      </c>
      <c r="H31" s="57"/>
      <c r="I31" s="57"/>
      <c r="J31" s="57"/>
      <c r="K31" s="98"/>
    </row>
    <row r="32" spans="1:11" ht="15.75">
      <c r="A32" s="98"/>
      <c r="B32" s="335"/>
      <c r="C32" s="98"/>
      <c r="D32" s="98"/>
      <c r="E32" s="98"/>
      <c r="F32" s="98"/>
      <c r="G32" s="98"/>
      <c r="H32" s="98"/>
      <c r="I32" s="98"/>
      <c r="J32" s="98"/>
      <c r="K32" s="98"/>
    </row>
    <row r="33" spans="1:11" ht="15.75">
      <c r="A33" s="98"/>
      <c r="B33" s="335"/>
      <c r="C33" s="98"/>
      <c r="D33" s="98"/>
      <c r="E33" s="98"/>
      <c r="F33" s="98"/>
      <c r="G33" s="98"/>
      <c r="H33" s="98"/>
      <c r="I33" s="98"/>
      <c r="J33" s="98"/>
      <c r="K33" s="98"/>
    </row>
    <row r="34" spans="1:11" ht="15.75">
      <c r="A34" s="98"/>
      <c r="B34" s="335"/>
      <c r="C34" s="98"/>
      <c r="D34" s="98"/>
      <c r="E34" s="98"/>
      <c r="F34" s="98"/>
      <c r="G34" s="98"/>
      <c r="H34" s="98"/>
      <c r="I34" s="98"/>
      <c r="J34" s="98"/>
      <c r="K34" s="98"/>
    </row>
    <row r="35" spans="1:11" ht="15.75">
      <c r="A35" s="98"/>
      <c r="B35" s="335"/>
      <c r="C35" s="98"/>
      <c r="D35" s="98"/>
      <c r="E35" s="98"/>
      <c r="F35" s="98"/>
      <c r="G35" s="98"/>
      <c r="H35" s="98"/>
      <c r="I35" s="98"/>
      <c r="J35" s="98"/>
      <c r="K35" s="98"/>
    </row>
    <row r="36" spans="1:11" ht="15.75">
      <c r="A36" s="98"/>
      <c r="B36" s="335"/>
      <c r="C36" s="98"/>
      <c r="D36" s="98"/>
      <c r="E36" s="98"/>
      <c r="F36" s="98"/>
      <c r="G36" s="98"/>
      <c r="H36" s="98"/>
      <c r="I36" s="98"/>
      <c r="J36" s="98"/>
      <c r="K36" s="98"/>
    </row>
    <row r="37" spans="1:11" ht="15.75">
      <c r="A37" s="98"/>
      <c r="B37" s="335"/>
      <c r="C37" s="98"/>
      <c r="D37" s="98"/>
      <c r="E37" s="98"/>
      <c r="F37" s="98"/>
      <c r="G37" s="98"/>
      <c r="H37" s="98"/>
      <c r="I37" s="98"/>
      <c r="J37" s="98"/>
      <c r="K37" s="98"/>
    </row>
    <row r="38" spans="1:11" ht="15.75">
      <c r="A38" s="98"/>
      <c r="B38" s="335"/>
      <c r="C38" s="98"/>
      <c r="D38" s="98"/>
      <c r="E38" s="98"/>
      <c r="F38" s="98"/>
      <c r="G38" s="98"/>
      <c r="H38" s="98"/>
      <c r="I38" s="98"/>
      <c r="J38" s="98"/>
      <c r="K38" s="98"/>
    </row>
    <row r="39" spans="1:11" ht="15.75">
      <c r="A39" s="98"/>
      <c r="B39" s="335"/>
      <c r="C39" s="98"/>
      <c r="D39" s="98"/>
      <c r="E39" s="286" t="s">
        <v>182</v>
      </c>
      <c r="F39" s="304">
        <v>17</v>
      </c>
      <c r="G39" s="98"/>
      <c r="H39" s="98"/>
      <c r="I39" s="98"/>
      <c r="J39" s="98"/>
      <c r="K39" s="98"/>
    </row>
    <row r="40" ht="15.75">
      <c r="B40" s="336"/>
    </row>
    <row r="41" ht="15.75">
      <c r="B41" s="336"/>
    </row>
    <row r="42" ht="15.75">
      <c r="B42" s="336"/>
    </row>
    <row r="43" ht="15.75">
      <c r="B43" s="336"/>
    </row>
    <row r="44" ht="15.75">
      <c r="B44" s="336"/>
    </row>
    <row r="45" ht="15.75">
      <c r="B45" s="336"/>
    </row>
    <row r="46" ht="15.75">
      <c r="B46" s="336"/>
    </row>
    <row r="47" ht="15.75">
      <c r="B47" s="336"/>
    </row>
  </sheetData>
  <sheetProtection/>
  <mergeCells count="5">
    <mergeCell ref="I5:J5"/>
    <mergeCell ref="A5:B5"/>
    <mergeCell ref="C5:D5"/>
    <mergeCell ref="E5:F5"/>
    <mergeCell ref="G5:H5"/>
  </mergeCells>
  <printOptions/>
  <pageMargins left="0.55" right="0.52" top="1" bottom="0.63" header="0.5" footer="0.5"/>
  <pageSetup blackAndWhite="1" horizontalDpi="600" verticalDpi="600" orientation="landscape" scale="90" r:id="rId1"/>
  <headerFooter alignWithMargins="0">
    <oddHeader>&amp;RState of Kansas
County</oddHeader>
  </headerFooter>
</worksheet>
</file>

<file path=xl/worksheets/sheet25.xml><?xml version="1.0" encoding="utf-8"?>
<worksheet xmlns="http://schemas.openxmlformats.org/spreadsheetml/2006/main" xmlns:r="http://schemas.openxmlformats.org/officeDocument/2006/relationships">
  <dimension ref="A1:L47"/>
  <sheetViews>
    <sheetView tabSelected="1" zoomScalePageLayoutView="0" workbookViewId="0" topLeftCell="A1">
      <selection activeCell="E117" sqref="E117"/>
    </sheetView>
  </sheetViews>
  <sheetFormatPr defaultColWidth="8.796875" defaultRowHeight="15"/>
  <cols>
    <col min="1" max="1" width="11.59765625" style="48" customWidth="1"/>
    <col min="2" max="2" width="7.3984375" style="48" customWidth="1"/>
    <col min="3" max="3" width="11.59765625" style="48" customWidth="1"/>
    <col min="4" max="4" width="7.3984375" style="48" customWidth="1"/>
    <col min="5" max="5" width="11.59765625" style="48" customWidth="1"/>
    <col min="6" max="6" width="7.3984375" style="48" customWidth="1"/>
    <col min="7" max="7" width="11.59765625" style="48" customWidth="1"/>
    <col min="8" max="8" width="7.3984375" style="48" customWidth="1"/>
    <col min="9" max="9" width="11.59765625" style="48" customWidth="1"/>
    <col min="10" max="16384" width="8.8984375" style="48" customWidth="1"/>
  </cols>
  <sheetData>
    <row r="1" spans="1:11" ht="15.75">
      <c r="A1" s="117" t="str">
        <f>inputPrYr!$C$2</f>
        <v>Sheridan County</v>
      </c>
      <c r="B1" s="309"/>
      <c r="C1" s="98"/>
      <c r="D1" s="98"/>
      <c r="E1" s="98"/>
      <c r="F1" s="310" t="s">
        <v>21</v>
      </c>
      <c r="G1" s="98"/>
      <c r="H1" s="98"/>
      <c r="I1" s="98"/>
      <c r="J1" s="98"/>
      <c r="K1" s="98">
        <f>inputPrYr!$C$4</f>
        <v>2015</v>
      </c>
    </row>
    <row r="2" spans="1:11" ht="15.75">
      <c r="A2" s="98"/>
      <c r="B2" s="98"/>
      <c r="C2" s="98"/>
      <c r="D2" s="98"/>
      <c r="E2" s="98"/>
      <c r="F2" s="311" t="str">
        <f>CONCATENATE("(Only the actual budget year for ",K1-2," is to be shown)")</f>
        <v>(Only the actual budget year for 2013 is to be shown)</v>
      </c>
      <c r="G2" s="98"/>
      <c r="H2" s="98"/>
      <c r="I2" s="98"/>
      <c r="J2" s="98"/>
      <c r="K2" s="98"/>
    </row>
    <row r="3" spans="1:11" ht="15.75">
      <c r="A3" s="98" t="s">
        <v>22</v>
      </c>
      <c r="B3" s="98"/>
      <c r="C3" s="98"/>
      <c r="D3" s="98"/>
      <c r="E3" s="98"/>
      <c r="F3" s="309"/>
      <c r="G3" s="98"/>
      <c r="H3" s="98"/>
      <c r="I3" s="98"/>
      <c r="J3" s="98"/>
      <c r="K3" s="98"/>
    </row>
    <row r="4" spans="1:11" ht="15.75">
      <c r="A4" s="98" t="s">
        <v>14</v>
      </c>
      <c r="B4" s="98"/>
      <c r="C4" s="98" t="s">
        <v>15</v>
      </c>
      <c r="D4" s="98"/>
      <c r="E4" s="98" t="s">
        <v>16</v>
      </c>
      <c r="F4" s="309"/>
      <c r="G4" s="98" t="s">
        <v>17</v>
      </c>
      <c r="H4" s="98"/>
      <c r="I4" s="98" t="s">
        <v>18</v>
      </c>
      <c r="J4" s="98"/>
      <c r="K4" s="98"/>
    </row>
    <row r="5" spans="1:11" ht="15.75">
      <c r="A5" s="807" t="str">
        <f>IF(inputPrYr!B68&gt;" ",(inputPrYr!B68)," ")</f>
        <v>VIN</v>
      </c>
      <c r="B5" s="808"/>
      <c r="C5" s="807" t="str">
        <f>IF(inputPrYr!B69&gt;" ",(inputPrYr!B69)," ")</f>
        <v>Prosecuting Attorney Tr.</v>
      </c>
      <c r="D5" s="808"/>
      <c r="E5" s="807" t="str">
        <f>IF(inputPrYr!B70&gt;" ",(inputPrYr!B70)," ")</f>
        <v>CDBG (Micro-Loan)</v>
      </c>
      <c r="F5" s="808"/>
      <c r="G5" s="807" t="str">
        <f>IF(inputPrYr!B71&gt;" ",(inputPrYr!B71)," ")</f>
        <v>Recycling Grant</v>
      </c>
      <c r="H5" s="808"/>
      <c r="I5" s="807" t="str">
        <f>IF(inputPrYr!B72&gt;" ",(inputPrYr!B72)," ")</f>
        <v>Special Technology</v>
      </c>
      <c r="J5" s="808"/>
      <c r="K5" s="313"/>
    </row>
    <row r="6" spans="1:11" ht="15.75">
      <c r="A6" s="314" t="s">
        <v>19</v>
      </c>
      <c r="B6" s="315"/>
      <c r="C6" s="316" t="s">
        <v>19</v>
      </c>
      <c r="D6" s="317"/>
      <c r="E6" s="316" t="s">
        <v>19</v>
      </c>
      <c r="F6" s="312"/>
      <c r="G6" s="316" t="s">
        <v>19</v>
      </c>
      <c r="H6" s="318"/>
      <c r="I6" s="316" t="s">
        <v>19</v>
      </c>
      <c r="J6" s="98"/>
      <c r="K6" s="319" t="s">
        <v>123</v>
      </c>
    </row>
    <row r="7" spans="1:11" ht="15.75">
      <c r="A7" s="320" t="s">
        <v>77</v>
      </c>
      <c r="B7" s="321">
        <v>2648</v>
      </c>
      <c r="C7" s="322" t="s">
        <v>77</v>
      </c>
      <c r="D7" s="321">
        <v>0</v>
      </c>
      <c r="E7" s="322" t="s">
        <v>77</v>
      </c>
      <c r="F7" s="321">
        <v>87237</v>
      </c>
      <c r="G7" s="322" t="s">
        <v>77</v>
      </c>
      <c r="H7" s="321">
        <v>5016</v>
      </c>
      <c r="I7" s="322" t="s">
        <v>77</v>
      </c>
      <c r="J7" s="321">
        <v>22543</v>
      </c>
      <c r="K7" s="323">
        <f>SUM(B7+D7+F7+H7+J7)</f>
        <v>117444</v>
      </c>
    </row>
    <row r="8" spans="1:11" ht="15.75">
      <c r="A8" s="324" t="s">
        <v>261</v>
      </c>
      <c r="B8" s="325"/>
      <c r="C8" s="324" t="s">
        <v>261</v>
      </c>
      <c r="D8" s="326"/>
      <c r="E8" s="324" t="s">
        <v>261</v>
      </c>
      <c r="F8" s="309"/>
      <c r="G8" s="324" t="s">
        <v>261</v>
      </c>
      <c r="H8" s="98"/>
      <c r="I8" s="324" t="s">
        <v>261</v>
      </c>
      <c r="J8" s="98"/>
      <c r="K8" s="309"/>
    </row>
    <row r="9" spans="1:11" ht="15.75">
      <c r="A9" s="327" t="s">
        <v>1052</v>
      </c>
      <c r="B9" s="321">
        <v>4160</v>
      </c>
      <c r="C9" s="327" t="s">
        <v>1054</v>
      </c>
      <c r="D9" s="321">
        <v>497</v>
      </c>
      <c r="E9" s="327" t="s">
        <v>1019</v>
      </c>
      <c r="F9" s="321"/>
      <c r="G9" s="327"/>
      <c r="H9" s="321"/>
      <c r="I9" s="327" t="s">
        <v>1057</v>
      </c>
      <c r="J9" s="321">
        <v>6978</v>
      </c>
      <c r="K9" s="309"/>
    </row>
    <row r="10" spans="1:11" ht="15.75">
      <c r="A10" s="327"/>
      <c r="B10" s="321"/>
      <c r="C10" s="327"/>
      <c r="D10" s="321"/>
      <c r="E10" s="327" t="s">
        <v>1071</v>
      </c>
      <c r="F10" s="321">
        <v>4013</v>
      </c>
      <c r="G10" s="327"/>
      <c r="H10" s="321"/>
      <c r="I10" s="327"/>
      <c r="J10" s="321"/>
      <c r="K10" s="309"/>
    </row>
    <row r="11" spans="1:11" ht="15.75">
      <c r="A11" s="327"/>
      <c r="B11" s="321"/>
      <c r="C11" s="328"/>
      <c r="D11" s="321"/>
      <c r="E11" s="328" t="s">
        <v>212</v>
      </c>
      <c r="F11" s="321">
        <v>45</v>
      </c>
      <c r="G11" s="328"/>
      <c r="H11" s="321"/>
      <c r="I11" s="329"/>
      <c r="J11" s="321"/>
      <c r="K11" s="309"/>
    </row>
    <row r="12" spans="1:11" ht="15.75">
      <c r="A12" s="327"/>
      <c r="B12" s="321"/>
      <c r="C12" s="327"/>
      <c r="D12" s="321"/>
      <c r="E12" s="330"/>
      <c r="F12" s="321"/>
      <c r="G12" s="330"/>
      <c r="H12" s="321"/>
      <c r="I12" s="330"/>
      <c r="J12" s="321"/>
      <c r="K12" s="309"/>
    </row>
    <row r="13" spans="1:11" ht="15.75">
      <c r="A13" s="331"/>
      <c r="B13" s="321"/>
      <c r="C13" s="332"/>
      <c r="D13" s="321"/>
      <c r="E13" s="332"/>
      <c r="F13" s="321"/>
      <c r="G13" s="332"/>
      <c r="H13" s="321"/>
      <c r="I13" s="329"/>
      <c r="J13" s="321"/>
      <c r="K13" s="309"/>
    </row>
    <row r="14" spans="1:11" ht="15.75">
      <c r="A14" s="327"/>
      <c r="B14" s="321"/>
      <c r="C14" s="330"/>
      <c r="D14" s="321"/>
      <c r="E14" s="330"/>
      <c r="F14" s="321"/>
      <c r="G14" s="330"/>
      <c r="H14" s="321"/>
      <c r="I14" s="330"/>
      <c r="J14" s="321"/>
      <c r="K14" s="309"/>
    </row>
    <row r="15" spans="1:11" ht="15.75">
      <c r="A15" s="327"/>
      <c r="B15" s="321"/>
      <c r="C15" s="330"/>
      <c r="D15" s="321"/>
      <c r="E15" s="330"/>
      <c r="F15" s="321"/>
      <c r="G15" s="330"/>
      <c r="H15" s="321"/>
      <c r="I15" s="330"/>
      <c r="J15" s="321"/>
      <c r="K15" s="309"/>
    </row>
    <row r="16" spans="1:11" ht="15.75">
      <c r="A16" s="327"/>
      <c r="B16" s="321"/>
      <c r="C16" s="327"/>
      <c r="D16" s="321"/>
      <c r="E16" s="327"/>
      <c r="F16" s="321"/>
      <c r="G16" s="330"/>
      <c r="H16" s="321"/>
      <c r="I16" s="327"/>
      <c r="J16" s="321"/>
      <c r="K16" s="309"/>
    </row>
    <row r="17" spans="1:11" ht="15.75">
      <c r="A17" s="324" t="s">
        <v>159</v>
      </c>
      <c r="B17" s="323">
        <f>SUM(B9:B16)</f>
        <v>4160</v>
      </c>
      <c r="C17" s="324" t="s">
        <v>159</v>
      </c>
      <c r="D17" s="323">
        <f>SUM(D9:D16)</f>
        <v>497</v>
      </c>
      <c r="E17" s="324" t="s">
        <v>159</v>
      </c>
      <c r="F17" s="396">
        <f>SUM(F9:F16)</f>
        <v>4058</v>
      </c>
      <c r="G17" s="324" t="s">
        <v>159</v>
      </c>
      <c r="H17" s="323">
        <f>SUM(H9:H16)</f>
        <v>0</v>
      </c>
      <c r="I17" s="324" t="s">
        <v>159</v>
      </c>
      <c r="J17" s="323">
        <f>SUM(J9:J16)</f>
        <v>6978</v>
      </c>
      <c r="K17" s="323">
        <f>SUM(B17+D17+F17+H17+J17)</f>
        <v>15693</v>
      </c>
    </row>
    <row r="18" spans="1:11" ht="15.75">
      <c r="A18" s="324" t="s">
        <v>160</v>
      </c>
      <c r="B18" s="323">
        <f>SUM(B7+B17)</f>
        <v>6808</v>
      </c>
      <c r="C18" s="324" t="s">
        <v>160</v>
      </c>
      <c r="D18" s="323">
        <f>SUM(D7+D17)</f>
        <v>497</v>
      </c>
      <c r="E18" s="324" t="s">
        <v>160</v>
      </c>
      <c r="F18" s="323">
        <f>SUM(F7+F17)</f>
        <v>91295</v>
      </c>
      <c r="G18" s="324" t="s">
        <v>160</v>
      </c>
      <c r="H18" s="323">
        <f>SUM(H7+H17)</f>
        <v>5016</v>
      </c>
      <c r="I18" s="324" t="s">
        <v>160</v>
      </c>
      <c r="J18" s="323">
        <f>SUM(J7+J17)</f>
        <v>29521</v>
      </c>
      <c r="K18" s="323">
        <f>SUM(B18+D18+F18+H18+J18)</f>
        <v>133137</v>
      </c>
    </row>
    <row r="19" spans="1:11" ht="15.75">
      <c r="A19" s="324" t="s">
        <v>162</v>
      </c>
      <c r="B19" s="325"/>
      <c r="C19" s="324" t="s">
        <v>162</v>
      </c>
      <c r="D19" s="326"/>
      <c r="E19" s="324" t="s">
        <v>162</v>
      </c>
      <c r="F19" s="309"/>
      <c r="G19" s="324" t="s">
        <v>162</v>
      </c>
      <c r="H19" s="98"/>
      <c r="I19" s="324" t="s">
        <v>162</v>
      </c>
      <c r="J19" s="98"/>
      <c r="K19" s="309"/>
    </row>
    <row r="20" spans="1:11" ht="15.75">
      <c r="A20" s="327" t="s">
        <v>1053</v>
      </c>
      <c r="B20" s="321">
        <v>5466</v>
      </c>
      <c r="C20" s="330" t="s">
        <v>1055</v>
      </c>
      <c r="D20" s="321">
        <v>497</v>
      </c>
      <c r="E20" s="330" t="s">
        <v>1010</v>
      </c>
      <c r="F20" s="321"/>
      <c r="G20" s="330" t="s">
        <v>1067</v>
      </c>
      <c r="H20" s="321">
        <v>5016</v>
      </c>
      <c r="I20" s="330" t="s">
        <v>68</v>
      </c>
      <c r="J20" s="321">
        <v>2947</v>
      </c>
      <c r="K20" s="309"/>
    </row>
    <row r="21" spans="1:11" ht="15.75">
      <c r="A21" s="327"/>
      <c r="B21" s="321"/>
      <c r="C21" s="330"/>
      <c r="D21" s="321"/>
      <c r="E21" s="330"/>
      <c r="F21" s="321"/>
      <c r="G21" s="330"/>
      <c r="H21" s="321"/>
      <c r="I21" s="330"/>
      <c r="J21" s="321"/>
      <c r="K21" s="309"/>
    </row>
    <row r="22" spans="1:11" ht="15.75">
      <c r="A22" s="327"/>
      <c r="B22" s="321"/>
      <c r="C22" s="332"/>
      <c r="D22" s="321"/>
      <c r="E22" s="332"/>
      <c r="F22" s="321"/>
      <c r="G22" s="332"/>
      <c r="H22" s="321"/>
      <c r="I22" s="329"/>
      <c r="J22" s="321"/>
      <c r="K22" s="309"/>
    </row>
    <row r="23" spans="1:11" ht="15.75">
      <c r="A23" s="327"/>
      <c r="B23" s="321"/>
      <c r="C23" s="330"/>
      <c r="D23" s="321"/>
      <c r="E23" s="330"/>
      <c r="F23" s="321"/>
      <c r="G23" s="330"/>
      <c r="H23" s="321"/>
      <c r="I23" s="330"/>
      <c r="J23" s="321"/>
      <c r="K23" s="309"/>
    </row>
    <row r="24" spans="1:11" ht="15.75">
      <c r="A24" s="327"/>
      <c r="B24" s="321"/>
      <c r="C24" s="332"/>
      <c r="D24" s="321"/>
      <c r="E24" s="332"/>
      <c r="F24" s="321"/>
      <c r="G24" s="332"/>
      <c r="H24" s="321"/>
      <c r="I24" s="329"/>
      <c r="J24" s="321"/>
      <c r="K24" s="309"/>
    </row>
    <row r="25" spans="1:11" ht="15.75">
      <c r="A25" s="327"/>
      <c r="B25" s="321"/>
      <c r="C25" s="330"/>
      <c r="D25" s="321"/>
      <c r="E25" s="330"/>
      <c r="F25" s="321"/>
      <c r="G25" s="330"/>
      <c r="H25" s="321"/>
      <c r="I25" s="330"/>
      <c r="J25" s="321"/>
      <c r="K25" s="309"/>
    </row>
    <row r="26" spans="1:11" ht="15.75">
      <c r="A26" s="327"/>
      <c r="B26" s="321"/>
      <c r="C26" s="330"/>
      <c r="D26" s="321"/>
      <c r="E26" s="330"/>
      <c r="F26" s="321"/>
      <c r="G26" s="330"/>
      <c r="H26" s="321"/>
      <c r="I26" s="330"/>
      <c r="J26" s="321"/>
      <c r="K26" s="309"/>
    </row>
    <row r="27" spans="1:11" ht="15.75">
      <c r="A27" s="327"/>
      <c r="B27" s="321"/>
      <c r="C27" s="327"/>
      <c r="D27" s="321"/>
      <c r="E27" s="327"/>
      <c r="F27" s="321"/>
      <c r="G27" s="330"/>
      <c r="H27" s="321"/>
      <c r="I27" s="330"/>
      <c r="J27" s="321"/>
      <c r="K27" s="309"/>
    </row>
    <row r="28" spans="1:11" ht="15.75">
      <c r="A28" s="324" t="s">
        <v>163</v>
      </c>
      <c r="B28" s="323">
        <f>SUM(B20:B27)</f>
        <v>5466</v>
      </c>
      <c r="C28" s="324" t="s">
        <v>163</v>
      </c>
      <c r="D28" s="323">
        <f>SUM(D20:D27)</f>
        <v>497</v>
      </c>
      <c r="E28" s="324" t="s">
        <v>163</v>
      </c>
      <c r="F28" s="396">
        <f>SUM(F20:F27)</f>
        <v>0</v>
      </c>
      <c r="G28" s="324" t="s">
        <v>163</v>
      </c>
      <c r="H28" s="396">
        <f>SUM(H20:H27)</f>
        <v>5016</v>
      </c>
      <c r="I28" s="324" t="s">
        <v>163</v>
      </c>
      <c r="J28" s="323">
        <f>SUM(J20:J27)</f>
        <v>2947</v>
      </c>
      <c r="K28" s="323">
        <f>SUM(B28+D28+F28+H28+J28)</f>
        <v>13926</v>
      </c>
    </row>
    <row r="29" spans="1:12" ht="15.75">
      <c r="A29" s="324" t="s">
        <v>20</v>
      </c>
      <c r="B29" s="323">
        <f>B18-B28</f>
        <v>1342</v>
      </c>
      <c r="C29" s="324" t="s">
        <v>20</v>
      </c>
      <c r="D29" s="323">
        <f>D18-D28</f>
        <v>0</v>
      </c>
      <c r="E29" s="324" t="s">
        <v>20</v>
      </c>
      <c r="F29" s="323">
        <f>F18-F28</f>
        <v>91295</v>
      </c>
      <c r="G29" s="324" t="s">
        <v>20</v>
      </c>
      <c r="H29" s="323">
        <f>H18-H28</f>
        <v>0</v>
      </c>
      <c r="I29" s="324" t="s">
        <v>20</v>
      </c>
      <c r="J29" s="323">
        <f>J18-J28</f>
        <v>26574</v>
      </c>
      <c r="K29" s="334">
        <f>SUM(B29+D29+F29+H29+J29)</f>
        <v>119211</v>
      </c>
      <c r="L29" s="48" t="s">
        <v>56</v>
      </c>
    </row>
    <row r="30" spans="1:12" ht="15.75">
      <c r="A30" s="324"/>
      <c r="B30" s="365">
        <f>IF(B29&lt;0,"See Tab B","")</f>
      </c>
      <c r="C30" s="324"/>
      <c r="D30" s="365">
        <f>IF(D29&lt;0,"See Tab B","")</f>
      </c>
      <c r="E30" s="324"/>
      <c r="F30" s="365">
        <f>IF(F29&lt;0,"See Tab B","")</f>
      </c>
      <c r="G30" s="98"/>
      <c r="H30" s="365">
        <f>IF(H29&lt;0,"See Tab B","")</f>
      </c>
      <c r="I30" s="98"/>
      <c r="J30" s="365">
        <f>IF(J29&lt;0,"See Tab B","")</f>
      </c>
      <c r="K30" s="334">
        <f>SUM(K7+K17-K28)</f>
        <v>119211</v>
      </c>
      <c r="L30" s="48" t="s">
        <v>56</v>
      </c>
    </row>
    <row r="31" spans="1:11" ht="15.75">
      <c r="A31" s="98"/>
      <c r="B31" s="335"/>
      <c r="C31" s="98"/>
      <c r="D31" s="309"/>
      <c r="E31" s="98"/>
      <c r="F31" s="98"/>
      <c r="G31" s="57" t="s">
        <v>57</v>
      </c>
      <c r="H31" s="57"/>
      <c r="I31" s="57"/>
      <c r="J31" s="57"/>
      <c r="K31" s="98"/>
    </row>
    <row r="32" spans="1:11" ht="15.75">
      <c r="A32" s="98"/>
      <c r="B32" s="335"/>
      <c r="C32" s="98"/>
      <c r="D32" s="98"/>
      <c r="E32" s="98"/>
      <c r="F32" s="98"/>
      <c r="G32" s="98"/>
      <c r="H32" s="98"/>
      <c r="I32" s="98"/>
      <c r="J32" s="98"/>
      <c r="K32" s="98"/>
    </row>
    <row r="33" spans="1:11" ht="15.75">
      <c r="A33" s="98"/>
      <c r="B33" s="335"/>
      <c r="C33" s="98"/>
      <c r="D33" s="98"/>
      <c r="E33" s="98"/>
      <c r="F33" s="98"/>
      <c r="G33" s="98"/>
      <c r="H33" s="98"/>
      <c r="I33" s="98"/>
      <c r="J33" s="98"/>
      <c r="K33" s="98"/>
    </row>
    <row r="34" spans="1:11" ht="15.75">
      <c r="A34" s="98"/>
      <c r="B34" s="335"/>
      <c r="C34" s="98"/>
      <c r="D34" s="98"/>
      <c r="E34" s="98"/>
      <c r="F34" s="98"/>
      <c r="G34" s="98"/>
      <c r="H34" s="98"/>
      <c r="I34" s="98"/>
      <c r="J34" s="98"/>
      <c r="K34" s="98"/>
    </row>
    <row r="35" spans="1:11" ht="15.75">
      <c r="A35" s="98"/>
      <c r="B35" s="335"/>
      <c r="C35" s="98"/>
      <c r="D35" s="98"/>
      <c r="E35" s="98"/>
      <c r="F35" s="98"/>
      <c r="G35" s="98"/>
      <c r="H35" s="98"/>
      <c r="I35" s="98"/>
      <c r="J35" s="98"/>
      <c r="K35" s="98"/>
    </row>
    <row r="36" spans="1:11" ht="15.75">
      <c r="A36" s="98"/>
      <c r="B36" s="335"/>
      <c r="C36" s="98"/>
      <c r="D36" s="98"/>
      <c r="E36" s="98"/>
      <c r="F36" s="98"/>
      <c r="G36" s="98"/>
      <c r="H36" s="98"/>
      <c r="I36" s="98"/>
      <c r="J36" s="98"/>
      <c r="K36" s="98"/>
    </row>
    <row r="37" spans="1:11" ht="15.75">
      <c r="A37" s="98"/>
      <c r="B37" s="335"/>
      <c r="C37" s="98"/>
      <c r="D37" s="98"/>
      <c r="E37" s="98"/>
      <c r="F37" s="98"/>
      <c r="G37" s="98"/>
      <c r="H37" s="98"/>
      <c r="I37" s="98"/>
      <c r="J37" s="98"/>
      <c r="K37" s="98"/>
    </row>
    <row r="38" spans="1:11" ht="15.75">
      <c r="A38" s="98"/>
      <c r="B38" s="335"/>
      <c r="C38" s="98"/>
      <c r="D38" s="98"/>
      <c r="E38" s="98"/>
      <c r="F38" s="98"/>
      <c r="G38" s="98"/>
      <c r="H38" s="98"/>
      <c r="I38" s="98"/>
      <c r="J38" s="98"/>
      <c r="K38" s="98"/>
    </row>
    <row r="39" spans="1:11" ht="15.75">
      <c r="A39" s="98"/>
      <c r="B39" s="335"/>
      <c r="C39" s="98"/>
      <c r="D39" s="98"/>
      <c r="E39" s="286" t="s">
        <v>182</v>
      </c>
      <c r="F39" s="304">
        <v>18</v>
      </c>
      <c r="G39" s="98"/>
      <c r="H39" s="98"/>
      <c r="I39" s="98"/>
      <c r="J39" s="98"/>
      <c r="K39" s="98"/>
    </row>
    <row r="40" ht="15.75">
      <c r="B40" s="336"/>
    </row>
    <row r="41" ht="15.75">
      <c r="B41" s="336"/>
    </row>
    <row r="42" ht="15.75">
      <c r="B42" s="336"/>
    </row>
    <row r="43" ht="15.75">
      <c r="B43" s="336"/>
    </row>
    <row r="44" ht="15.75">
      <c r="B44" s="336"/>
    </row>
    <row r="45" ht="15.75">
      <c r="B45" s="336"/>
    </row>
    <row r="46" ht="15.75">
      <c r="B46" s="336"/>
    </row>
    <row r="47" ht="15.75">
      <c r="B47" s="336"/>
    </row>
  </sheetData>
  <sheetProtection/>
  <mergeCells count="5">
    <mergeCell ref="I5:J5"/>
    <mergeCell ref="A5:B5"/>
    <mergeCell ref="C5:D5"/>
    <mergeCell ref="E5:F5"/>
    <mergeCell ref="G5:H5"/>
  </mergeCells>
  <printOptions/>
  <pageMargins left="0.64" right="0.64" top="1" bottom="0.66" header="0.5" footer="0.5"/>
  <pageSetup blackAndWhite="1" horizontalDpi="600" verticalDpi="600" orientation="landscape" scale="90" r:id="rId1"/>
  <headerFooter alignWithMargins="0">
    <oddHeader>&amp;RState of Kansas
County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L48"/>
  <sheetViews>
    <sheetView zoomScalePageLayoutView="0" workbookViewId="0" topLeftCell="A1">
      <selection activeCell="F22" sqref="F22"/>
    </sheetView>
  </sheetViews>
  <sheetFormatPr defaultColWidth="8.796875" defaultRowHeight="15"/>
  <cols>
    <col min="1" max="1" width="11.59765625" style="48" customWidth="1"/>
    <col min="2" max="2" width="7.3984375" style="48" customWidth="1"/>
    <col min="3" max="3" width="11.59765625" style="48" customWidth="1"/>
    <col min="4" max="4" width="7.3984375" style="48" customWidth="1"/>
    <col min="5" max="5" width="11.59765625" style="48" customWidth="1"/>
    <col min="6" max="6" width="7.3984375" style="48" customWidth="1"/>
    <col min="7" max="7" width="11.59765625" style="48" customWidth="1"/>
    <col min="8" max="8" width="7.3984375" style="48" customWidth="1"/>
    <col min="9" max="9" width="11.59765625" style="48" customWidth="1"/>
    <col min="10" max="16384" width="8.8984375" style="48" customWidth="1"/>
  </cols>
  <sheetData>
    <row r="1" spans="1:11" ht="15.75">
      <c r="A1" s="117" t="str">
        <f>inputPrYr!$C$2</f>
        <v>Sheridan County</v>
      </c>
      <c r="B1" s="309"/>
      <c r="C1" s="98"/>
      <c r="D1" s="98"/>
      <c r="E1" s="98"/>
      <c r="F1" s="310" t="s">
        <v>23</v>
      </c>
      <c r="G1" s="98"/>
      <c r="H1" s="98"/>
      <c r="I1" s="98"/>
      <c r="J1" s="98"/>
      <c r="K1" s="98">
        <f>inputPrYr!$C$4</f>
        <v>2015</v>
      </c>
    </row>
    <row r="2" spans="1:11" ht="15.75">
      <c r="A2" s="98"/>
      <c r="B2" s="98"/>
      <c r="C2" s="98"/>
      <c r="D2" s="98"/>
      <c r="E2" s="98"/>
      <c r="F2" s="311" t="str">
        <f>CONCATENATE("(Only the actual budget year for ",K1-2," is to be shown)")</f>
        <v>(Only the actual budget year for 2013 is to be shown)</v>
      </c>
      <c r="G2" s="98"/>
      <c r="H2" s="98"/>
      <c r="I2" s="98"/>
      <c r="J2" s="98"/>
      <c r="K2" s="98"/>
    </row>
    <row r="3" spans="1:11" ht="15.75">
      <c r="A3" s="98" t="s">
        <v>24</v>
      </c>
      <c r="B3" s="98"/>
      <c r="C3" s="98"/>
      <c r="D3" s="98"/>
      <c r="E3" s="98"/>
      <c r="F3" s="309"/>
      <c r="G3" s="98"/>
      <c r="H3" s="98"/>
      <c r="I3" s="98"/>
      <c r="J3" s="98"/>
      <c r="K3" s="98"/>
    </row>
    <row r="4" spans="1:11" ht="15.75">
      <c r="A4" s="98" t="s">
        <v>14</v>
      </c>
      <c r="B4" s="98"/>
      <c r="C4" s="98" t="s">
        <v>15</v>
      </c>
      <c r="D4" s="98"/>
      <c r="E4" s="98" t="s">
        <v>16</v>
      </c>
      <c r="F4" s="309"/>
      <c r="G4" s="98" t="s">
        <v>17</v>
      </c>
      <c r="H4" s="98"/>
      <c r="I4" s="98" t="s">
        <v>18</v>
      </c>
      <c r="J4" s="98"/>
      <c r="K4" s="98"/>
    </row>
    <row r="5" spans="1:11" ht="15.75">
      <c r="A5" s="807" t="str">
        <f>IF(inputPrYr!B74&gt;" ",(inputPrYr!B74)," ")</f>
        <v>Concealed Carry Law</v>
      </c>
      <c r="B5" s="808"/>
      <c r="C5" s="807" t="str">
        <f>IF(inputPrYr!B75&gt;" ",(inputPrYr!B75)," ")</f>
        <v>Sexual Offender Registry</v>
      </c>
      <c r="D5" s="808"/>
      <c r="E5" s="807" t="str">
        <f>IF(inputPrYr!B76&gt;" ",(inputPrYr!B76)," ")</f>
        <v>FEMA Allocation of Road</v>
      </c>
      <c r="F5" s="808"/>
      <c r="G5" s="807" t="str">
        <f>IF(inputPrYr!B77&gt;" ",(inputPrYr!B77)," ")</f>
        <v>CDBG for Elevator</v>
      </c>
      <c r="H5" s="808"/>
      <c r="I5" s="807" t="str">
        <f>IF(inputPrYr!B78&gt;" ",(inputPrYr!B78)," ")</f>
        <v>Oil Valuation Depletion Trust</v>
      </c>
      <c r="J5" s="808"/>
      <c r="K5" s="313"/>
    </row>
    <row r="6" spans="1:11" ht="15.75">
      <c r="A6" s="314" t="s">
        <v>19</v>
      </c>
      <c r="B6" s="315"/>
      <c r="C6" s="316" t="s">
        <v>19</v>
      </c>
      <c r="D6" s="317"/>
      <c r="E6" s="316" t="s">
        <v>19</v>
      </c>
      <c r="F6" s="312"/>
      <c r="G6" s="316" t="s">
        <v>19</v>
      </c>
      <c r="H6" s="318"/>
      <c r="I6" s="316" t="s">
        <v>19</v>
      </c>
      <c r="J6" s="98"/>
      <c r="K6" s="319" t="s">
        <v>123</v>
      </c>
    </row>
    <row r="7" spans="1:11" ht="15.75">
      <c r="A7" s="320" t="s">
        <v>77</v>
      </c>
      <c r="B7" s="321">
        <v>962</v>
      </c>
      <c r="C7" s="322" t="s">
        <v>77</v>
      </c>
      <c r="D7" s="321">
        <v>822</v>
      </c>
      <c r="E7" s="322" t="s">
        <v>77</v>
      </c>
      <c r="F7" s="321">
        <v>6674</v>
      </c>
      <c r="G7" s="322" t="s">
        <v>77</v>
      </c>
      <c r="H7" s="321">
        <v>24468</v>
      </c>
      <c r="I7" s="322" t="s">
        <v>77</v>
      </c>
      <c r="J7" s="321">
        <v>203384</v>
      </c>
      <c r="K7" s="323">
        <f>SUM(B7+D7+F7+H7+J7)</f>
        <v>236310</v>
      </c>
    </row>
    <row r="8" spans="1:11" ht="15.75">
      <c r="A8" s="324" t="s">
        <v>261</v>
      </c>
      <c r="B8" s="325"/>
      <c r="C8" s="324" t="s">
        <v>261</v>
      </c>
      <c r="D8" s="326"/>
      <c r="E8" s="324" t="s">
        <v>261</v>
      </c>
      <c r="F8" s="309"/>
      <c r="G8" s="324" t="s">
        <v>261</v>
      </c>
      <c r="H8" s="98"/>
      <c r="I8" s="324" t="s">
        <v>261</v>
      </c>
      <c r="J8" s="98"/>
      <c r="K8" s="309"/>
    </row>
    <row r="9" spans="1:11" ht="15.75">
      <c r="A9" s="327" t="s">
        <v>1058</v>
      </c>
      <c r="B9" s="321">
        <v>1455</v>
      </c>
      <c r="C9" s="327" t="s">
        <v>1059</v>
      </c>
      <c r="D9" s="321">
        <v>600</v>
      </c>
      <c r="E9" s="327" t="s">
        <v>1066</v>
      </c>
      <c r="F9" s="321"/>
      <c r="G9" s="327"/>
      <c r="H9" s="321"/>
      <c r="I9" s="327" t="s">
        <v>1060</v>
      </c>
      <c r="J9" s="321">
        <v>41462</v>
      </c>
      <c r="K9" s="309"/>
    </row>
    <row r="10" spans="1:11" ht="15.75">
      <c r="A10" s="327"/>
      <c r="B10" s="321"/>
      <c r="C10" s="327"/>
      <c r="D10" s="321"/>
      <c r="E10" s="327"/>
      <c r="F10" s="321"/>
      <c r="G10" s="327"/>
      <c r="H10" s="321"/>
      <c r="I10" s="327"/>
      <c r="J10" s="321"/>
      <c r="K10" s="309"/>
    </row>
    <row r="11" spans="1:11" ht="15.75">
      <c r="A11" s="327"/>
      <c r="B11" s="321"/>
      <c r="C11" s="328"/>
      <c r="D11" s="321"/>
      <c r="E11" s="328"/>
      <c r="F11" s="321"/>
      <c r="G11" s="328"/>
      <c r="H11" s="321"/>
      <c r="I11" s="329"/>
      <c r="J11" s="321"/>
      <c r="K11" s="309"/>
    </row>
    <row r="12" spans="1:11" ht="15.75">
      <c r="A12" s="327"/>
      <c r="B12" s="321"/>
      <c r="C12" s="327"/>
      <c r="D12" s="321"/>
      <c r="E12" s="330"/>
      <c r="F12" s="321"/>
      <c r="G12" s="330"/>
      <c r="H12" s="321"/>
      <c r="I12" s="330"/>
      <c r="J12" s="321"/>
      <c r="K12" s="309"/>
    </row>
    <row r="13" spans="1:11" ht="15.75">
      <c r="A13" s="331"/>
      <c r="B13" s="321"/>
      <c r="C13" s="332"/>
      <c r="D13" s="321"/>
      <c r="E13" s="332"/>
      <c r="F13" s="321"/>
      <c r="G13" s="332"/>
      <c r="H13" s="321"/>
      <c r="I13" s="329"/>
      <c r="J13" s="321"/>
      <c r="K13" s="309"/>
    </row>
    <row r="14" spans="1:11" ht="15.75">
      <c r="A14" s="327"/>
      <c r="B14" s="321"/>
      <c r="C14" s="330"/>
      <c r="D14" s="321"/>
      <c r="E14" s="330"/>
      <c r="F14" s="321"/>
      <c r="G14" s="330"/>
      <c r="H14" s="321"/>
      <c r="I14" s="330"/>
      <c r="J14" s="321"/>
      <c r="K14" s="309"/>
    </row>
    <row r="15" spans="1:11" ht="15.75">
      <c r="A15" s="327"/>
      <c r="B15" s="321"/>
      <c r="C15" s="330"/>
      <c r="D15" s="321"/>
      <c r="E15" s="330"/>
      <c r="F15" s="321"/>
      <c r="G15" s="330"/>
      <c r="H15" s="321"/>
      <c r="I15" s="330"/>
      <c r="J15" s="321"/>
      <c r="K15" s="309"/>
    </row>
    <row r="16" spans="1:11" ht="15.75">
      <c r="A16" s="327"/>
      <c r="B16" s="321"/>
      <c r="C16" s="327"/>
      <c r="D16" s="321"/>
      <c r="E16" s="327"/>
      <c r="F16" s="321"/>
      <c r="G16" s="330"/>
      <c r="H16" s="321"/>
      <c r="I16" s="327"/>
      <c r="J16" s="321"/>
      <c r="K16" s="309"/>
    </row>
    <row r="17" spans="1:11" ht="15.75">
      <c r="A17" s="324" t="s">
        <v>159</v>
      </c>
      <c r="B17" s="323">
        <f>SUM(B9:B16)</f>
        <v>1455</v>
      </c>
      <c r="C17" s="324" t="s">
        <v>159</v>
      </c>
      <c r="D17" s="323">
        <f>SUM(D9:D16)</f>
        <v>600</v>
      </c>
      <c r="E17" s="324" t="s">
        <v>159</v>
      </c>
      <c r="F17" s="396">
        <f>SUM(F9:F16)</f>
        <v>0</v>
      </c>
      <c r="G17" s="324" t="s">
        <v>159</v>
      </c>
      <c r="H17" s="323">
        <f>SUM(H9:H16)</f>
        <v>0</v>
      </c>
      <c r="I17" s="324" t="s">
        <v>159</v>
      </c>
      <c r="J17" s="323">
        <f>SUM(J9:J16)</f>
        <v>41462</v>
      </c>
      <c r="K17" s="323">
        <f>SUM(B17+D17+F17+H17+J17)</f>
        <v>43517</v>
      </c>
    </row>
    <row r="18" spans="1:11" ht="15.75">
      <c r="A18" s="324" t="s">
        <v>160</v>
      </c>
      <c r="B18" s="323">
        <f>SUM(B7+B17)</f>
        <v>2417</v>
      </c>
      <c r="C18" s="324" t="s">
        <v>160</v>
      </c>
      <c r="D18" s="323">
        <f>SUM(D7+D17)</f>
        <v>1422</v>
      </c>
      <c r="E18" s="324" t="s">
        <v>160</v>
      </c>
      <c r="F18" s="323">
        <f>SUM(F7+F17)</f>
        <v>6674</v>
      </c>
      <c r="G18" s="324" t="s">
        <v>160</v>
      </c>
      <c r="H18" s="323">
        <f>SUM(H7+H17)</f>
        <v>24468</v>
      </c>
      <c r="I18" s="324" t="s">
        <v>160</v>
      </c>
      <c r="J18" s="323">
        <f>SUM(J7+J17)</f>
        <v>244846</v>
      </c>
      <c r="K18" s="323">
        <f>SUM(B18+D18+F18+H18+J18)</f>
        <v>279827</v>
      </c>
    </row>
    <row r="19" spans="1:11" ht="15.75">
      <c r="A19" s="324" t="s">
        <v>162</v>
      </c>
      <c r="B19" s="325"/>
      <c r="C19" s="324" t="s">
        <v>162</v>
      </c>
      <c r="D19" s="326"/>
      <c r="E19" s="324" t="s">
        <v>162</v>
      </c>
      <c r="F19" s="309"/>
      <c r="G19" s="324" t="s">
        <v>162</v>
      </c>
      <c r="H19" s="98"/>
      <c r="I19" s="324" t="s">
        <v>162</v>
      </c>
      <c r="J19" s="98"/>
      <c r="K19" s="309"/>
    </row>
    <row r="20" spans="1:11" ht="15.75">
      <c r="A20" s="327" t="s">
        <v>68</v>
      </c>
      <c r="B20" s="321">
        <v>1785</v>
      </c>
      <c r="C20" s="330" t="s">
        <v>1010</v>
      </c>
      <c r="D20" s="321">
        <v>1177</v>
      </c>
      <c r="E20" s="330" t="s">
        <v>1067</v>
      </c>
      <c r="F20" s="321">
        <v>6674</v>
      </c>
      <c r="G20" s="330" t="s">
        <v>1056</v>
      </c>
      <c r="H20" s="321">
        <v>24468</v>
      </c>
      <c r="I20" s="330"/>
      <c r="J20" s="321"/>
      <c r="K20" s="309"/>
    </row>
    <row r="21" spans="1:11" ht="15.75">
      <c r="A21" s="327"/>
      <c r="B21" s="321"/>
      <c r="C21" s="330"/>
      <c r="D21" s="321"/>
      <c r="E21" s="330"/>
      <c r="F21" s="321"/>
      <c r="G21" s="330"/>
      <c r="H21" s="321"/>
      <c r="I21" s="330"/>
      <c r="J21" s="321"/>
      <c r="K21" s="309"/>
    </row>
    <row r="22" spans="1:11" ht="15.75">
      <c r="A22" s="327"/>
      <c r="B22" s="321"/>
      <c r="C22" s="332"/>
      <c r="D22" s="321"/>
      <c r="E22" s="332"/>
      <c r="F22" s="321"/>
      <c r="G22" s="332"/>
      <c r="H22" s="321"/>
      <c r="I22" s="329"/>
      <c r="J22" s="321"/>
      <c r="K22" s="309"/>
    </row>
    <row r="23" spans="1:11" ht="15.75">
      <c r="A23" s="327"/>
      <c r="B23" s="321"/>
      <c r="C23" s="330"/>
      <c r="D23" s="321"/>
      <c r="E23" s="330"/>
      <c r="F23" s="321"/>
      <c r="G23" s="330"/>
      <c r="H23" s="321"/>
      <c r="I23" s="330"/>
      <c r="J23" s="321"/>
      <c r="K23" s="309"/>
    </row>
    <row r="24" spans="1:11" ht="15.75">
      <c r="A24" s="327"/>
      <c r="B24" s="321"/>
      <c r="C24" s="332"/>
      <c r="D24" s="321"/>
      <c r="E24" s="332"/>
      <c r="F24" s="321"/>
      <c r="G24" s="332"/>
      <c r="H24" s="321"/>
      <c r="I24" s="329"/>
      <c r="J24" s="321"/>
      <c r="K24" s="309"/>
    </row>
    <row r="25" spans="1:11" ht="15.75">
      <c r="A25" s="327"/>
      <c r="B25" s="321"/>
      <c r="C25" s="330"/>
      <c r="D25" s="321"/>
      <c r="E25" s="330"/>
      <c r="F25" s="321"/>
      <c r="G25" s="330"/>
      <c r="H25" s="321"/>
      <c r="I25" s="330"/>
      <c r="J25" s="321"/>
      <c r="K25" s="309"/>
    </row>
    <row r="26" spans="1:11" ht="15.75">
      <c r="A26" s="327"/>
      <c r="B26" s="321"/>
      <c r="C26" s="330"/>
      <c r="D26" s="321"/>
      <c r="E26" s="330"/>
      <c r="F26" s="321"/>
      <c r="G26" s="330"/>
      <c r="H26" s="321"/>
      <c r="I26" s="330"/>
      <c r="J26" s="321"/>
      <c r="K26" s="309"/>
    </row>
    <row r="27" spans="1:11" ht="15.75">
      <c r="A27" s="327"/>
      <c r="B27" s="321"/>
      <c r="C27" s="327"/>
      <c r="D27" s="321"/>
      <c r="E27" s="327"/>
      <c r="F27" s="321"/>
      <c r="G27" s="330"/>
      <c r="H27" s="321"/>
      <c r="I27" s="330"/>
      <c r="J27" s="321"/>
      <c r="K27" s="309"/>
    </row>
    <row r="28" spans="1:11" ht="15.75">
      <c r="A28" s="324" t="s">
        <v>163</v>
      </c>
      <c r="B28" s="323">
        <f>SUM(B20:B27)</f>
        <v>1785</v>
      </c>
      <c r="C28" s="324" t="s">
        <v>163</v>
      </c>
      <c r="D28" s="323">
        <f>SUM(D20:D27)</f>
        <v>1177</v>
      </c>
      <c r="E28" s="324" t="s">
        <v>163</v>
      </c>
      <c r="F28" s="396">
        <f>SUM(F20:F27)</f>
        <v>6674</v>
      </c>
      <c r="G28" s="324" t="s">
        <v>163</v>
      </c>
      <c r="H28" s="396">
        <f>SUM(H20:H27)</f>
        <v>24468</v>
      </c>
      <c r="I28" s="324" t="s">
        <v>163</v>
      </c>
      <c r="J28" s="323">
        <f>SUM(J20:J27)</f>
        <v>0</v>
      </c>
      <c r="K28" s="323">
        <f>SUM(B28+D28+F28+H28+J28)</f>
        <v>34104</v>
      </c>
    </row>
    <row r="29" spans="1:12" ht="15.75">
      <c r="A29" s="324" t="s">
        <v>20</v>
      </c>
      <c r="B29" s="323">
        <f>B18-B28</f>
        <v>632</v>
      </c>
      <c r="C29" s="324" t="s">
        <v>20</v>
      </c>
      <c r="D29" s="323">
        <f>D18-D28</f>
        <v>245</v>
      </c>
      <c r="E29" s="324" t="s">
        <v>20</v>
      </c>
      <c r="F29" s="323">
        <f>F18-F28</f>
        <v>0</v>
      </c>
      <c r="G29" s="324" t="s">
        <v>20</v>
      </c>
      <c r="H29" s="323">
        <f>H18-H28</f>
        <v>0</v>
      </c>
      <c r="I29" s="324" t="s">
        <v>20</v>
      </c>
      <c r="J29" s="323">
        <f>J18-J28</f>
        <v>244846</v>
      </c>
      <c r="K29" s="334">
        <f>SUM(B29+D29+F29+H29+J29)</f>
        <v>245723</v>
      </c>
      <c r="L29" s="48" t="s">
        <v>56</v>
      </c>
    </row>
    <row r="30" spans="1:12" ht="15.75">
      <c r="A30" s="324"/>
      <c r="B30" s="365">
        <f>IF(B29&lt;0,"See Tab B","")</f>
      </c>
      <c r="C30" s="324"/>
      <c r="D30" s="365">
        <f>IF(D29&lt;0,"See Tab B","")</f>
      </c>
      <c r="E30" s="324"/>
      <c r="F30" s="365">
        <f>IF(F29&lt;0,"See Tab B","")</f>
      </c>
      <c r="G30" s="98"/>
      <c r="H30" s="365">
        <f>IF(H29&lt;0,"See Tab B","")</f>
      </c>
      <c r="I30" s="98"/>
      <c r="J30" s="365">
        <f>IF(J29&lt;0,"See Tab B","")</f>
      </c>
      <c r="K30" s="334">
        <f>SUM(K7+K17-K28)</f>
        <v>245723</v>
      </c>
      <c r="L30" s="48" t="s">
        <v>56</v>
      </c>
    </row>
    <row r="31" spans="1:11" ht="15.75">
      <c r="A31" s="98"/>
      <c r="B31" s="335"/>
      <c r="C31" s="98"/>
      <c r="D31" s="309"/>
      <c r="E31" s="98"/>
      <c r="F31" s="98"/>
      <c r="G31" s="57" t="s">
        <v>57</v>
      </c>
      <c r="H31" s="57"/>
      <c r="I31" s="57"/>
      <c r="J31" s="57"/>
      <c r="K31" s="98"/>
    </row>
    <row r="32" spans="1:11" ht="15.75">
      <c r="A32" s="98"/>
      <c r="B32" s="335"/>
      <c r="C32" s="98"/>
      <c r="D32" s="98"/>
      <c r="E32" s="98"/>
      <c r="F32" s="98"/>
      <c r="G32" s="98"/>
      <c r="H32" s="98"/>
      <c r="I32" s="98"/>
      <c r="J32" s="98"/>
      <c r="K32" s="98"/>
    </row>
    <row r="33" spans="1:11" ht="15.75">
      <c r="A33" s="98"/>
      <c r="B33" s="335"/>
      <c r="C33" s="98"/>
      <c r="D33" s="98"/>
      <c r="E33" s="98"/>
      <c r="F33" s="98"/>
      <c r="G33" s="98"/>
      <c r="H33" s="98"/>
      <c r="I33" s="98"/>
      <c r="J33" s="98"/>
      <c r="K33" s="98"/>
    </row>
    <row r="34" spans="1:11" ht="15.75">
      <c r="A34" s="98"/>
      <c r="B34" s="335"/>
      <c r="C34" s="98"/>
      <c r="D34" s="98"/>
      <c r="E34" s="98"/>
      <c r="F34" s="98"/>
      <c r="G34" s="98"/>
      <c r="H34" s="98"/>
      <c r="I34" s="98"/>
      <c r="J34" s="98"/>
      <c r="K34" s="98"/>
    </row>
    <row r="35" spans="1:11" ht="15.75">
      <c r="A35" s="98"/>
      <c r="B35" s="335"/>
      <c r="C35" s="98"/>
      <c r="D35" s="98"/>
      <c r="E35" s="98"/>
      <c r="F35" s="98"/>
      <c r="G35" s="98"/>
      <c r="H35" s="98"/>
      <c r="I35" s="98"/>
      <c r="J35" s="98"/>
      <c r="K35" s="98"/>
    </row>
    <row r="36" spans="1:11" ht="15.75">
      <c r="A36" s="98"/>
      <c r="B36" s="335"/>
      <c r="C36" s="98"/>
      <c r="D36" s="98"/>
      <c r="E36" s="98"/>
      <c r="F36" s="98"/>
      <c r="G36" s="98"/>
      <c r="H36" s="98"/>
      <c r="I36" s="98"/>
      <c r="J36" s="98"/>
      <c r="K36" s="98"/>
    </row>
    <row r="37" spans="1:11" ht="15.75">
      <c r="A37" s="98"/>
      <c r="B37" s="335"/>
      <c r="C37" s="98"/>
      <c r="D37" s="98"/>
      <c r="E37" s="98"/>
      <c r="F37" s="98"/>
      <c r="G37" s="98"/>
      <c r="H37" s="98"/>
      <c r="I37" s="98"/>
      <c r="J37" s="98"/>
      <c r="K37" s="98"/>
    </row>
    <row r="38" spans="1:11" ht="15.75">
      <c r="A38" s="98"/>
      <c r="B38" s="335"/>
      <c r="C38" s="98"/>
      <c r="D38" s="98"/>
      <c r="E38" s="98"/>
      <c r="F38" s="98"/>
      <c r="G38" s="98"/>
      <c r="H38" s="98"/>
      <c r="I38" s="98"/>
      <c r="J38" s="98"/>
      <c r="K38" s="98"/>
    </row>
    <row r="39" spans="1:11" ht="15.75">
      <c r="A39" s="98"/>
      <c r="B39" s="335"/>
      <c r="C39" s="98"/>
      <c r="D39" s="98"/>
      <c r="E39" s="98"/>
      <c r="F39" s="98"/>
      <c r="G39" s="98"/>
      <c r="H39" s="98"/>
      <c r="I39" s="98"/>
      <c r="J39" s="98"/>
      <c r="K39" s="98"/>
    </row>
    <row r="40" spans="1:11" ht="15.75">
      <c r="A40" s="98"/>
      <c r="B40" s="335"/>
      <c r="C40" s="98"/>
      <c r="D40" s="98"/>
      <c r="E40" s="286" t="s">
        <v>182</v>
      </c>
      <c r="F40" s="304">
        <v>19</v>
      </c>
      <c r="G40" s="98"/>
      <c r="H40" s="98"/>
      <c r="I40" s="98"/>
      <c r="J40" s="98"/>
      <c r="K40" s="98"/>
    </row>
    <row r="41" ht="15.75">
      <c r="B41" s="336"/>
    </row>
    <row r="42" ht="15.75">
      <c r="B42" s="336"/>
    </row>
    <row r="43" ht="15.75">
      <c r="B43" s="336"/>
    </row>
    <row r="44" ht="15.75">
      <c r="B44" s="336"/>
    </row>
    <row r="45" ht="15.75">
      <c r="B45" s="336"/>
    </row>
    <row r="46" ht="15.75">
      <c r="B46" s="336"/>
    </row>
    <row r="47" ht="15.75">
      <c r="B47" s="336"/>
    </row>
    <row r="48" ht="15.75">
      <c r="B48" s="336"/>
    </row>
  </sheetData>
  <sheetProtection/>
  <mergeCells count="5">
    <mergeCell ref="I5:J5"/>
    <mergeCell ref="A5:B5"/>
    <mergeCell ref="C5:D5"/>
    <mergeCell ref="E5:F5"/>
    <mergeCell ref="G5:H5"/>
  </mergeCells>
  <printOptions/>
  <pageMargins left="0.7" right="0.75" top="1" bottom="0.65" header="0.5" footer="0.5"/>
  <pageSetup blackAndWhite="1" fitToHeight="1" fitToWidth="1" horizontalDpi="600" verticalDpi="600" orientation="landscape" scale="84" r:id="rId1"/>
  <headerFooter alignWithMargins="0">
    <oddHeader>&amp;RState of Kansas
County</oddHeader>
  </headerFooter>
</worksheet>
</file>

<file path=xl/worksheets/sheet27.xml><?xml version="1.0" encoding="utf-8"?>
<worksheet xmlns="http://schemas.openxmlformats.org/spreadsheetml/2006/main" xmlns:r="http://schemas.openxmlformats.org/officeDocument/2006/relationships">
  <dimension ref="A1:L47"/>
  <sheetViews>
    <sheetView zoomScalePageLayoutView="0" workbookViewId="0" topLeftCell="A1">
      <selection activeCell="E117" sqref="E117"/>
    </sheetView>
  </sheetViews>
  <sheetFormatPr defaultColWidth="8.796875" defaultRowHeight="15"/>
  <cols>
    <col min="1" max="1" width="11.59765625" style="48" customWidth="1"/>
    <col min="2" max="2" width="7.3984375" style="48" customWidth="1"/>
    <col min="3" max="3" width="11.59765625" style="48" customWidth="1"/>
    <col min="4" max="4" width="7.3984375" style="48" customWidth="1"/>
    <col min="5" max="5" width="11.59765625" style="48" customWidth="1"/>
    <col min="6" max="6" width="7.3984375" style="48" customWidth="1"/>
    <col min="7" max="7" width="11.59765625" style="48" customWidth="1"/>
    <col min="8" max="8" width="7.3984375" style="48" customWidth="1"/>
    <col min="9" max="9" width="11.59765625" style="48" customWidth="1"/>
    <col min="10" max="16384" width="8.8984375" style="48" customWidth="1"/>
  </cols>
  <sheetData>
    <row r="1" spans="1:11" ht="15.75">
      <c r="A1" s="117" t="str">
        <f>inputPrYr!$C$2</f>
        <v>Sheridan County</v>
      </c>
      <c r="B1" s="309"/>
      <c r="C1" s="98"/>
      <c r="D1" s="98"/>
      <c r="E1" s="98"/>
      <c r="F1" s="310" t="s">
        <v>25</v>
      </c>
      <c r="G1" s="98"/>
      <c r="H1" s="98"/>
      <c r="I1" s="98"/>
      <c r="J1" s="98"/>
      <c r="K1" s="98">
        <f>inputPrYr!$C$4</f>
        <v>2015</v>
      </c>
    </row>
    <row r="2" spans="1:11" ht="15.75">
      <c r="A2" s="98"/>
      <c r="B2" s="98"/>
      <c r="C2" s="98"/>
      <c r="D2" s="98"/>
      <c r="E2" s="98"/>
      <c r="F2" s="311" t="str">
        <f>CONCATENATE("(Only the actual budget year for ",K1-2," is to be shown)")</f>
        <v>(Only the actual budget year for 2013 is to be shown)</v>
      </c>
      <c r="G2" s="98"/>
      <c r="H2" s="98"/>
      <c r="I2" s="98"/>
      <c r="J2" s="98"/>
      <c r="K2" s="98"/>
    </row>
    <row r="3" spans="1:11" ht="15.75">
      <c r="A3" s="98" t="s">
        <v>26</v>
      </c>
      <c r="B3" s="98"/>
      <c r="C3" s="98"/>
      <c r="D3" s="98"/>
      <c r="E3" s="98"/>
      <c r="F3" s="309"/>
      <c r="G3" s="98"/>
      <c r="H3" s="98"/>
      <c r="I3" s="98"/>
      <c r="J3" s="98"/>
      <c r="K3" s="98"/>
    </row>
    <row r="4" spans="1:11" ht="15.75">
      <c r="A4" s="98" t="s">
        <v>14</v>
      </c>
      <c r="B4" s="98"/>
      <c r="C4" s="98" t="s">
        <v>15</v>
      </c>
      <c r="D4" s="98"/>
      <c r="E4" s="98" t="s">
        <v>16</v>
      </c>
      <c r="F4" s="309"/>
      <c r="G4" s="98" t="s">
        <v>17</v>
      </c>
      <c r="H4" s="98"/>
      <c r="I4" s="98" t="s">
        <v>18</v>
      </c>
      <c r="J4" s="98"/>
      <c r="K4" s="98"/>
    </row>
    <row r="5" spans="1:11" ht="15.75">
      <c r="A5" s="807" t="str">
        <f>IF(inputPrYr!B80&gt;" ",(inputPrYr!B80)," ")</f>
        <v>Pool Project</v>
      </c>
      <c r="B5" s="808"/>
      <c r="C5" s="807" t="str">
        <f>IF(inputPrYr!B81&gt;" ",(inputPrYr!B81)," ")</f>
        <v> </v>
      </c>
      <c r="D5" s="808"/>
      <c r="E5" s="807" t="str">
        <f>IF(inputPrYr!B82&gt;" ",(inputPrYr!B82)," ")</f>
        <v> </v>
      </c>
      <c r="F5" s="808"/>
      <c r="G5" s="807" t="str">
        <f>IF(inputPrYr!B83&gt;" ",(inputPrYr!B83)," ")</f>
        <v> </v>
      </c>
      <c r="H5" s="808"/>
      <c r="I5" s="807" t="str">
        <f>IF(inputPrYr!B84&gt;" ",(inputPrYr!B84)," ")</f>
        <v> </v>
      </c>
      <c r="J5" s="808"/>
      <c r="K5" s="313"/>
    </row>
    <row r="6" spans="1:11" ht="15.75">
      <c r="A6" s="314" t="s">
        <v>19</v>
      </c>
      <c r="B6" s="315"/>
      <c r="C6" s="316" t="s">
        <v>19</v>
      </c>
      <c r="D6" s="317"/>
      <c r="E6" s="316" t="s">
        <v>19</v>
      </c>
      <c r="F6" s="312"/>
      <c r="G6" s="316" t="s">
        <v>19</v>
      </c>
      <c r="H6" s="318"/>
      <c r="I6" s="316" t="s">
        <v>19</v>
      </c>
      <c r="J6" s="98"/>
      <c r="K6" s="319" t="s">
        <v>123</v>
      </c>
    </row>
    <row r="7" spans="1:11" ht="15.75">
      <c r="A7" s="320" t="s">
        <v>77</v>
      </c>
      <c r="B7" s="321">
        <v>50810</v>
      </c>
      <c r="C7" s="322" t="s">
        <v>77</v>
      </c>
      <c r="D7" s="321"/>
      <c r="E7" s="322" t="s">
        <v>77</v>
      </c>
      <c r="F7" s="321"/>
      <c r="G7" s="322" t="s">
        <v>77</v>
      </c>
      <c r="H7" s="321"/>
      <c r="I7" s="322" t="s">
        <v>77</v>
      </c>
      <c r="J7" s="321"/>
      <c r="K7" s="323">
        <f>SUM(B7+D7+F7+H7+J7)</f>
        <v>50810</v>
      </c>
    </row>
    <row r="8" spans="1:11" ht="15.75">
      <c r="A8" s="324" t="s">
        <v>261</v>
      </c>
      <c r="B8" s="325"/>
      <c r="C8" s="324" t="s">
        <v>261</v>
      </c>
      <c r="D8" s="326"/>
      <c r="E8" s="324" t="s">
        <v>261</v>
      </c>
      <c r="F8" s="309"/>
      <c r="G8" s="324" t="s">
        <v>261</v>
      </c>
      <c r="H8" s="98"/>
      <c r="I8" s="324" t="s">
        <v>261</v>
      </c>
      <c r="J8" s="98"/>
      <c r="K8" s="309"/>
    </row>
    <row r="9" spans="1:11" ht="15.75">
      <c r="A9" s="327" t="s">
        <v>1061</v>
      </c>
      <c r="B9" s="321">
        <v>79801</v>
      </c>
      <c r="C9" s="327"/>
      <c r="D9" s="321"/>
      <c r="E9" s="327"/>
      <c r="F9" s="321"/>
      <c r="G9" s="327"/>
      <c r="H9" s="321"/>
      <c r="I9" s="327"/>
      <c r="J9" s="321"/>
      <c r="K9" s="309"/>
    </row>
    <row r="10" spans="1:11" ht="15.75">
      <c r="A10" s="327" t="s">
        <v>1022</v>
      </c>
      <c r="B10" s="321">
        <v>765</v>
      </c>
      <c r="C10" s="327"/>
      <c r="D10" s="321"/>
      <c r="E10" s="327"/>
      <c r="F10" s="321"/>
      <c r="G10" s="327"/>
      <c r="H10" s="321"/>
      <c r="I10" s="327"/>
      <c r="J10" s="321"/>
      <c r="K10" s="309"/>
    </row>
    <row r="11" spans="1:11" ht="15.75">
      <c r="A11" s="327" t="s">
        <v>1065</v>
      </c>
      <c r="B11" s="321">
        <v>1500000</v>
      </c>
      <c r="C11" s="328"/>
      <c r="D11" s="321"/>
      <c r="E11" s="328"/>
      <c r="F11" s="321"/>
      <c r="G11" s="328"/>
      <c r="H11" s="321"/>
      <c r="I11" s="329"/>
      <c r="J11" s="321"/>
      <c r="K11" s="309"/>
    </row>
    <row r="12" spans="1:11" ht="15.75">
      <c r="A12" s="327"/>
      <c r="B12" s="321"/>
      <c r="C12" s="327"/>
      <c r="D12" s="321"/>
      <c r="E12" s="330"/>
      <c r="F12" s="321"/>
      <c r="G12" s="330"/>
      <c r="H12" s="321"/>
      <c r="I12" s="330"/>
      <c r="J12" s="321"/>
      <c r="K12" s="309"/>
    </row>
    <row r="13" spans="1:11" ht="15.75">
      <c r="A13" s="331"/>
      <c r="B13" s="321"/>
      <c r="C13" s="332"/>
      <c r="D13" s="321"/>
      <c r="E13" s="332"/>
      <c r="F13" s="321"/>
      <c r="G13" s="332"/>
      <c r="H13" s="321"/>
      <c r="I13" s="329"/>
      <c r="J13" s="321"/>
      <c r="K13" s="309"/>
    </row>
    <row r="14" spans="1:11" ht="15.75">
      <c r="A14" s="327"/>
      <c r="B14" s="321"/>
      <c r="C14" s="330"/>
      <c r="D14" s="321"/>
      <c r="E14" s="330"/>
      <c r="F14" s="321"/>
      <c r="G14" s="330"/>
      <c r="H14" s="321"/>
      <c r="I14" s="330"/>
      <c r="J14" s="321"/>
      <c r="K14" s="309"/>
    </row>
    <row r="15" spans="1:11" ht="15.75">
      <c r="A15" s="327"/>
      <c r="B15" s="321"/>
      <c r="C15" s="330"/>
      <c r="D15" s="321"/>
      <c r="E15" s="330"/>
      <c r="F15" s="321"/>
      <c r="G15" s="330"/>
      <c r="H15" s="321"/>
      <c r="I15" s="330"/>
      <c r="J15" s="321"/>
      <c r="K15" s="309"/>
    </row>
    <row r="16" spans="1:11" ht="15.75">
      <c r="A16" s="327"/>
      <c r="B16" s="321"/>
      <c r="C16" s="327"/>
      <c r="D16" s="321"/>
      <c r="E16" s="327"/>
      <c r="F16" s="321"/>
      <c r="G16" s="330"/>
      <c r="H16" s="321"/>
      <c r="I16" s="327"/>
      <c r="J16" s="321"/>
      <c r="K16" s="309"/>
    </row>
    <row r="17" spans="1:11" ht="15.75">
      <c r="A17" s="324" t="s">
        <v>159</v>
      </c>
      <c r="B17" s="323">
        <f>SUM(B9:B16)</f>
        <v>1580566</v>
      </c>
      <c r="C17" s="324" t="s">
        <v>159</v>
      </c>
      <c r="D17" s="323">
        <f>SUM(D9:D16)</f>
        <v>0</v>
      </c>
      <c r="E17" s="324" t="s">
        <v>159</v>
      </c>
      <c r="F17" s="396">
        <f>SUM(F9:F16)</f>
        <v>0</v>
      </c>
      <c r="G17" s="324" t="s">
        <v>159</v>
      </c>
      <c r="H17" s="323">
        <f>SUM(H9:H16)</f>
        <v>0</v>
      </c>
      <c r="I17" s="324" t="s">
        <v>159</v>
      </c>
      <c r="J17" s="323">
        <f>SUM(J9:J16)</f>
        <v>0</v>
      </c>
      <c r="K17" s="323">
        <f>SUM(B17+D17+F17+H17+J17)</f>
        <v>1580566</v>
      </c>
    </row>
    <row r="18" spans="1:11" ht="15.75">
      <c r="A18" s="324" t="s">
        <v>160</v>
      </c>
      <c r="B18" s="323">
        <f>SUM(B7+B17)</f>
        <v>1631376</v>
      </c>
      <c r="C18" s="324" t="s">
        <v>160</v>
      </c>
      <c r="D18" s="323">
        <f>SUM(D7+D17)</f>
        <v>0</v>
      </c>
      <c r="E18" s="324" t="s">
        <v>160</v>
      </c>
      <c r="F18" s="323">
        <f>SUM(F7+F17)</f>
        <v>0</v>
      </c>
      <c r="G18" s="324" t="s">
        <v>160</v>
      </c>
      <c r="H18" s="323">
        <f>SUM(H7+H17)</f>
        <v>0</v>
      </c>
      <c r="I18" s="324" t="s">
        <v>160</v>
      </c>
      <c r="J18" s="323">
        <f>SUM(J7+J17)</f>
        <v>0</v>
      </c>
      <c r="K18" s="323">
        <f>SUM(B18+D18+F18+H18+J18)</f>
        <v>1631376</v>
      </c>
    </row>
    <row r="19" spans="1:11" ht="15.75">
      <c r="A19" s="324" t="s">
        <v>162</v>
      </c>
      <c r="B19" s="325"/>
      <c r="C19" s="324" t="s">
        <v>162</v>
      </c>
      <c r="D19" s="326"/>
      <c r="E19" s="324" t="s">
        <v>162</v>
      </c>
      <c r="F19" s="309"/>
      <c r="G19" s="324" t="s">
        <v>162</v>
      </c>
      <c r="H19" s="98"/>
      <c r="I19" s="324" t="s">
        <v>162</v>
      </c>
      <c r="J19" s="98"/>
      <c r="K19" s="309"/>
    </row>
    <row r="20" spans="1:11" ht="15.75">
      <c r="A20" s="327" t="s">
        <v>1023</v>
      </c>
      <c r="B20" s="321">
        <v>1631376</v>
      </c>
      <c r="C20" s="330"/>
      <c r="D20" s="321"/>
      <c r="E20" s="330"/>
      <c r="F20" s="321"/>
      <c r="G20" s="330"/>
      <c r="H20" s="321"/>
      <c r="I20" s="330"/>
      <c r="J20" s="321"/>
      <c r="K20" s="309"/>
    </row>
    <row r="21" spans="1:11" ht="15.75">
      <c r="A21" s="327"/>
      <c r="B21" s="321"/>
      <c r="C21" s="330"/>
      <c r="D21" s="321"/>
      <c r="E21" s="330"/>
      <c r="F21" s="321"/>
      <c r="G21" s="330"/>
      <c r="H21" s="321"/>
      <c r="I21" s="330"/>
      <c r="J21" s="321"/>
      <c r="K21" s="309"/>
    </row>
    <row r="22" spans="1:11" ht="15.75">
      <c r="A22" s="327"/>
      <c r="B22" s="321"/>
      <c r="C22" s="332"/>
      <c r="D22" s="321"/>
      <c r="E22" s="332"/>
      <c r="F22" s="321"/>
      <c r="G22" s="332"/>
      <c r="H22" s="321"/>
      <c r="I22" s="329"/>
      <c r="J22" s="321"/>
      <c r="K22" s="309"/>
    </row>
    <row r="23" spans="1:11" ht="15.75">
      <c r="A23" s="327"/>
      <c r="B23" s="321"/>
      <c r="C23" s="330"/>
      <c r="D23" s="321"/>
      <c r="E23" s="330"/>
      <c r="F23" s="321"/>
      <c r="G23" s="330"/>
      <c r="H23" s="321"/>
      <c r="I23" s="330"/>
      <c r="J23" s="321"/>
      <c r="K23" s="309"/>
    </row>
    <row r="24" spans="1:11" ht="15.75">
      <c r="A24" s="327"/>
      <c r="B24" s="321"/>
      <c r="C24" s="332"/>
      <c r="D24" s="321"/>
      <c r="E24" s="332"/>
      <c r="F24" s="321"/>
      <c r="G24" s="332"/>
      <c r="H24" s="321"/>
      <c r="I24" s="329"/>
      <c r="J24" s="321"/>
      <c r="K24" s="309"/>
    </row>
    <row r="25" spans="1:11" ht="15.75">
      <c r="A25" s="327"/>
      <c r="B25" s="321"/>
      <c r="C25" s="330"/>
      <c r="D25" s="321"/>
      <c r="E25" s="330"/>
      <c r="F25" s="321"/>
      <c r="G25" s="330"/>
      <c r="H25" s="321"/>
      <c r="I25" s="330"/>
      <c r="J25" s="321"/>
      <c r="K25" s="309"/>
    </row>
    <row r="26" spans="1:11" ht="15.75">
      <c r="A26" s="327"/>
      <c r="B26" s="321"/>
      <c r="C26" s="330"/>
      <c r="D26" s="321"/>
      <c r="E26" s="330"/>
      <c r="F26" s="321"/>
      <c r="G26" s="330"/>
      <c r="H26" s="321"/>
      <c r="I26" s="330"/>
      <c r="J26" s="321"/>
      <c r="K26" s="309"/>
    </row>
    <row r="27" spans="1:11" ht="15.75">
      <c r="A27" s="327"/>
      <c r="B27" s="321"/>
      <c r="C27" s="327"/>
      <c r="D27" s="321"/>
      <c r="E27" s="327"/>
      <c r="F27" s="321"/>
      <c r="G27" s="330"/>
      <c r="H27" s="321"/>
      <c r="I27" s="330"/>
      <c r="J27" s="321"/>
      <c r="K27" s="309"/>
    </row>
    <row r="28" spans="1:11" ht="15.75">
      <c r="A28" s="324" t="s">
        <v>163</v>
      </c>
      <c r="B28" s="323">
        <f>SUM(B20:B27)</f>
        <v>1631376</v>
      </c>
      <c r="C28" s="324" t="s">
        <v>163</v>
      </c>
      <c r="D28" s="323">
        <f>SUM(D20:D27)</f>
        <v>0</v>
      </c>
      <c r="E28" s="324" t="s">
        <v>163</v>
      </c>
      <c r="F28" s="396">
        <f>SUM(F20:F27)</f>
        <v>0</v>
      </c>
      <c r="G28" s="324" t="s">
        <v>163</v>
      </c>
      <c r="H28" s="396">
        <f>SUM(H20:H27)</f>
        <v>0</v>
      </c>
      <c r="I28" s="324" t="s">
        <v>163</v>
      </c>
      <c r="J28" s="323">
        <f>SUM(J20:J27)</f>
        <v>0</v>
      </c>
      <c r="K28" s="323">
        <f>SUM(B28+D28+F28+H28+J28)</f>
        <v>1631376</v>
      </c>
    </row>
    <row r="29" spans="1:12" ht="15.75">
      <c r="A29" s="324" t="s">
        <v>20</v>
      </c>
      <c r="B29" s="323">
        <f>B18-B28</f>
        <v>0</v>
      </c>
      <c r="C29" s="324" t="s">
        <v>20</v>
      </c>
      <c r="D29" s="323">
        <f>D18-D28</f>
        <v>0</v>
      </c>
      <c r="E29" s="324" t="s">
        <v>20</v>
      </c>
      <c r="F29" s="323">
        <f>F18-F28</f>
        <v>0</v>
      </c>
      <c r="G29" s="324" t="s">
        <v>20</v>
      </c>
      <c r="H29" s="323">
        <f>H18-H28</f>
        <v>0</v>
      </c>
      <c r="I29" s="324" t="s">
        <v>20</v>
      </c>
      <c r="J29" s="323">
        <f>J18-J28</f>
        <v>0</v>
      </c>
      <c r="K29" s="337">
        <f>SUM(B29+D29+F29+H29+J29)</f>
        <v>0</v>
      </c>
      <c r="L29" s="48" t="s">
        <v>56</v>
      </c>
    </row>
    <row r="30" spans="1:12" ht="15.75">
      <c r="A30" s="324"/>
      <c r="B30" s="365">
        <f>IF(B29&lt;0,"See Tab B","")</f>
      </c>
      <c r="C30" s="324"/>
      <c r="D30" s="365">
        <f>IF(D29&lt;0,"See Tab B","")</f>
      </c>
      <c r="E30" s="324"/>
      <c r="F30" s="365">
        <f>IF(F29&lt;0,"See Tab B","")</f>
      </c>
      <c r="G30" s="98"/>
      <c r="H30" s="365">
        <f>IF(H29&lt;0,"See Tab B","")</f>
      </c>
      <c r="I30" s="98"/>
      <c r="J30" s="365">
        <f>IF(J29&lt;0,"See Tab B","")</f>
      </c>
      <c r="K30" s="334">
        <f>SUM(K7+K17-K28)</f>
        <v>0</v>
      </c>
      <c r="L30" s="48" t="s">
        <v>56</v>
      </c>
    </row>
    <row r="31" spans="1:11" ht="15.75">
      <c r="A31" s="98"/>
      <c r="B31" s="335"/>
      <c r="C31" s="98"/>
      <c r="D31" s="309"/>
      <c r="E31" s="98"/>
      <c r="F31" s="98"/>
      <c r="G31" s="57" t="s">
        <v>57</v>
      </c>
      <c r="H31" s="57"/>
      <c r="I31" s="57"/>
      <c r="J31" s="57"/>
      <c r="K31" s="98"/>
    </row>
    <row r="32" spans="1:11" ht="15.75">
      <c r="A32" s="98"/>
      <c r="B32" s="335"/>
      <c r="C32" s="98"/>
      <c r="D32" s="98"/>
      <c r="E32" s="98"/>
      <c r="F32" s="98"/>
      <c r="G32" s="98"/>
      <c r="H32" s="98"/>
      <c r="I32" s="98"/>
      <c r="J32" s="98"/>
      <c r="K32" s="98"/>
    </row>
    <row r="33" spans="1:11" ht="15.75">
      <c r="A33" s="98"/>
      <c r="B33" s="335"/>
      <c r="C33" s="98"/>
      <c r="D33" s="98"/>
      <c r="E33" s="98"/>
      <c r="F33" s="98"/>
      <c r="G33" s="98"/>
      <c r="H33" s="98"/>
      <c r="I33" s="98"/>
      <c r="J33" s="98"/>
      <c r="K33" s="98"/>
    </row>
    <row r="34" spans="1:11" ht="15.75">
      <c r="A34" s="98"/>
      <c r="B34" s="335"/>
      <c r="C34" s="98"/>
      <c r="D34" s="98"/>
      <c r="E34" s="98"/>
      <c r="F34" s="98"/>
      <c r="G34" s="98"/>
      <c r="H34" s="98"/>
      <c r="I34" s="98"/>
      <c r="J34" s="98"/>
      <c r="K34" s="98"/>
    </row>
    <row r="35" spans="1:11" ht="15.75">
      <c r="A35" s="98"/>
      <c r="B35" s="335"/>
      <c r="C35" s="98"/>
      <c r="D35" s="98"/>
      <c r="E35" s="98"/>
      <c r="F35" s="98"/>
      <c r="G35" s="98"/>
      <c r="H35" s="98"/>
      <c r="I35" s="98"/>
      <c r="J35" s="98"/>
      <c r="K35" s="98"/>
    </row>
    <row r="36" spans="1:11" ht="15.75">
      <c r="A36" s="98"/>
      <c r="B36" s="335"/>
      <c r="C36" s="98"/>
      <c r="D36" s="98"/>
      <c r="E36" s="98"/>
      <c r="F36" s="98"/>
      <c r="G36" s="98"/>
      <c r="H36" s="98"/>
      <c r="I36" s="98"/>
      <c r="J36" s="98"/>
      <c r="K36" s="98"/>
    </row>
    <row r="37" spans="1:11" ht="15.75">
      <c r="A37" s="98"/>
      <c r="B37" s="335"/>
      <c r="C37" s="98"/>
      <c r="D37" s="98"/>
      <c r="E37" s="98"/>
      <c r="F37" s="98"/>
      <c r="G37" s="98"/>
      <c r="H37" s="98"/>
      <c r="I37" s="98"/>
      <c r="J37" s="98"/>
      <c r="K37" s="98"/>
    </row>
    <row r="38" spans="1:11" ht="15.75">
      <c r="A38" s="98"/>
      <c r="B38" s="335"/>
      <c r="C38" s="98"/>
      <c r="D38" s="98"/>
      <c r="E38" s="98"/>
      <c r="F38" s="98"/>
      <c r="G38" s="98"/>
      <c r="H38" s="98"/>
      <c r="I38" s="98"/>
      <c r="J38" s="98"/>
      <c r="K38" s="98"/>
    </row>
    <row r="39" spans="1:11" ht="15.75">
      <c r="A39" s="98"/>
      <c r="B39" s="335"/>
      <c r="C39" s="98"/>
      <c r="D39" s="98"/>
      <c r="E39" s="286" t="s">
        <v>182</v>
      </c>
      <c r="F39" s="304">
        <v>20</v>
      </c>
      <c r="G39" s="98"/>
      <c r="H39" s="98"/>
      <c r="I39" s="98"/>
      <c r="J39" s="98"/>
      <c r="K39" s="98"/>
    </row>
    <row r="40" ht="15.75">
      <c r="B40" s="336"/>
    </row>
    <row r="41" ht="15.75">
      <c r="B41" s="336"/>
    </row>
    <row r="42" ht="15.75">
      <c r="B42" s="336"/>
    </row>
    <row r="43" ht="15.75">
      <c r="B43" s="336"/>
    </row>
    <row r="44" ht="15.75">
      <c r="B44" s="336"/>
    </row>
    <row r="45" ht="15.75">
      <c r="B45" s="336"/>
    </row>
    <row r="46" ht="15.75">
      <c r="B46" s="336"/>
    </row>
    <row r="47" ht="15.75">
      <c r="B47" s="336"/>
    </row>
  </sheetData>
  <sheetProtection/>
  <mergeCells count="5">
    <mergeCell ref="I5:J5"/>
    <mergeCell ref="A5:B5"/>
    <mergeCell ref="C5:D5"/>
    <mergeCell ref="E5:F5"/>
    <mergeCell ref="G5:H5"/>
  </mergeCells>
  <printOptions/>
  <pageMargins left="0.61" right="0.54" top="1" bottom="0.65" header="0.5" footer="0.5"/>
  <pageSetup blackAndWhite="1" horizontalDpi="600" verticalDpi="600" orientation="landscape" scale="90" r:id="rId1"/>
  <headerFooter alignWithMargins="0">
    <oddHeader>&amp;RState of Kansas
County</oddHeader>
  </headerFooter>
</worksheet>
</file>

<file path=xl/worksheets/sheet28.xml><?xml version="1.0" encoding="utf-8"?>
<worksheet xmlns="http://schemas.openxmlformats.org/spreadsheetml/2006/main" xmlns:r="http://schemas.openxmlformats.org/officeDocument/2006/relationships">
  <dimension ref="A1:A48"/>
  <sheetViews>
    <sheetView zoomScalePageLayoutView="0" workbookViewId="0" topLeftCell="A1">
      <selection activeCell="E117" sqref="E117"/>
    </sheetView>
  </sheetViews>
  <sheetFormatPr defaultColWidth="8.796875" defaultRowHeight="15"/>
  <cols>
    <col min="1" max="1" width="62.3984375" style="137" customWidth="1"/>
    <col min="2" max="16384" width="8.8984375" style="137" customWidth="1"/>
  </cols>
  <sheetData>
    <row r="1" ht="18.75">
      <c r="A1" s="363" t="s">
        <v>328</v>
      </c>
    </row>
    <row r="2" ht="15.75">
      <c r="A2" s="48"/>
    </row>
    <row r="3" ht="54.75" customHeight="1">
      <c r="A3" s="364" t="s">
        <v>329</v>
      </c>
    </row>
    <row r="4" ht="15.75">
      <c r="A4" s="471"/>
    </row>
    <row r="5" ht="51" customHeight="1">
      <c r="A5" s="364" t="s">
        <v>330</v>
      </c>
    </row>
    <row r="6" ht="15.75">
      <c r="A6" s="48"/>
    </row>
    <row r="7" ht="51.75" customHeight="1">
      <c r="A7" s="364" t="s">
        <v>331</v>
      </c>
    </row>
    <row r="8" ht="13.5" customHeight="1">
      <c r="A8" s="364"/>
    </row>
    <row r="9" ht="51.75" customHeight="1">
      <c r="A9" s="420" t="s">
        <v>741</v>
      </c>
    </row>
    <row r="10" ht="15.75">
      <c r="A10" s="471"/>
    </row>
    <row r="11" ht="36" customHeight="1">
      <c r="A11" s="364" t="s">
        <v>332</v>
      </c>
    </row>
    <row r="12" ht="15.75">
      <c r="A12" s="48"/>
    </row>
    <row r="13" ht="51.75" customHeight="1">
      <c r="A13" s="364" t="s">
        <v>333</v>
      </c>
    </row>
    <row r="14" ht="15.75">
      <c r="A14" s="471"/>
    </row>
    <row r="15" ht="33" customHeight="1">
      <c r="A15" s="364" t="s">
        <v>334</v>
      </c>
    </row>
    <row r="16" ht="15.75">
      <c r="A16" s="471"/>
    </row>
    <row r="17" ht="32.25" customHeight="1">
      <c r="A17" s="364" t="s">
        <v>335</v>
      </c>
    </row>
    <row r="18" ht="15.75">
      <c r="A18" s="471"/>
    </row>
    <row r="19" ht="53.25" customHeight="1">
      <c r="A19" s="364" t="s">
        <v>336</v>
      </c>
    </row>
    <row r="20" ht="15.75">
      <c r="A20" s="48"/>
    </row>
    <row r="21" ht="50.25" customHeight="1">
      <c r="A21" s="364" t="s">
        <v>337</v>
      </c>
    </row>
    <row r="22" ht="15.75">
      <c r="A22" s="48"/>
    </row>
    <row r="23" ht="15.75">
      <c r="A23" s="48"/>
    </row>
    <row r="24" ht="96" customHeight="1">
      <c r="A24" s="364" t="s">
        <v>338</v>
      </c>
    </row>
    <row r="25" ht="15.75">
      <c r="A25" s="48"/>
    </row>
    <row r="26" ht="30.75" customHeight="1">
      <c r="A26" s="50" t="s">
        <v>339</v>
      </c>
    </row>
    <row r="27" ht="15.75">
      <c r="A27" s="48"/>
    </row>
    <row r="28" ht="95.25" customHeight="1">
      <c r="A28" s="422" t="s">
        <v>742</v>
      </c>
    </row>
    <row r="29" ht="15.75">
      <c r="A29" s="48"/>
    </row>
    <row r="30" ht="34.5" customHeight="1">
      <c r="A30" s="364" t="s">
        <v>340</v>
      </c>
    </row>
    <row r="31" ht="15.75">
      <c r="A31" s="48"/>
    </row>
    <row r="32" ht="66" customHeight="1">
      <c r="A32" s="364" t="s">
        <v>341</v>
      </c>
    </row>
    <row r="33" ht="15.75">
      <c r="A33" s="471"/>
    </row>
    <row r="34" ht="57" customHeight="1">
      <c r="A34" s="364" t="s">
        <v>342</v>
      </c>
    </row>
    <row r="35" ht="15.75">
      <c r="A35" s="48"/>
    </row>
    <row r="36" ht="49.5" customHeight="1">
      <c r="A36" s="364" t="s">
        <v>343</v>
      </c>
    </row>
    <row r="37" ht="15.75">
      <c r="A37" s="48"/>
    </row>
    <row r="38" ht="74.25" customHeight="1">
      <c r="A38" s="422" t="s">
        <v>743</v>
      </c>
    </row>
    <row r="39" ht="15.75">
      <c r="A39" s="48"/>
    </row>
    <row r="40" ht="55.5" customHeight="1">
      <c r="A40" s="364" t="s">
        <v>344</v>
      </c>
    </row>
    <row r="41" ht="15.75">
      <c r="A41" s="48"/>
    </row>
    <row r="42" ht="53.25" customHeight="1">
      <c r="A42" s="364" t="s">
        <v>345</v>
      </c>
    </row>
    <row r="43" ht="15.75">
      <c r="A43" s="471"/>
    </row>
    <row r="44" ht="47.25" customHeight="1">
      <c r="A44" s="364" t="s">
        <v>346</v>
      </c>
    </row>
    <row r="45" ht="15.75">
      <c r="A45" s="471"/>
    </row>
    <row r="46" ht="49.5" customHeight="1">
      <c r="A46" s="364" t="s">
        <v>347</v>
      </c>
    </row>
    <row r="47" ht="15.75">
      <c r="A47" s="471"/>
    </row>
    <row r="48" ht="36" customHeight="1">
      <c r="A48" s="364" t="s">
        <v>348</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82">
      <selection activeCell="A46" sqref="A46"/>
    </sheetView>
  </sheetViews>
  <sheetFormatPr defaultColWidth="8.796875" defaultRowHeight="15"/>
  <cols>
    <col min="1" max="1" width="18.3984375" style="48" customWidth="1"/>
    <col min="2" max="2" width="15.69921875" style="48" customWidth="1"/>
    <col min="3" max="3" width="9.19921875" style="48" customWidth="1"/>
    <col min="4" max="4" width="16.296875" style="48" customWidth="1"/>
    <col min="5" max="5" width="9.3984375" style="48" customWidth="1"/>
    <col min="6" max="6" width="15.796875" style="48" customWidth="1"/>
    <col min="7" max="7" width="13.69921875" style="48" customWidth="1"/>
    <col min="8" max="8" width="9.3984375" style="48" customWidth="1"/>
    <col min="9" max="9" width="8.8984375" style="48" customWidth="1"/>
    <col min="10" max="10" width="12.3984375" style="48" customWidth="1"/>
    <col min="11" max="11" width="12.296875" style="48" customWidth="1"/>
    <col min="12" max="12" width="10.59765625" style="48" customWidth="1"/>
    <col min="13" max="13" width="12.09765625" style="48" customWidth="1"/>
    <col min="14" max="16384" width="8.8984375" style="48" customWidth="1"/>
  </cols>
  <sheetData>
    <row r="1" spans="1:8" ht="15.75">
      <c r="A1" s="60"/>
      <c r="B1" s="60"/>
      <c r="C1" s="60"/>
      <c r="D1" s="60"/>
      <c r="E1" s="60"/>
      <c r="F1" s="60"/>
      <c r="G1" s="60"/>
      <c r="H1" s="251">
        <f>inputPrYr!C4</f>
        <v>2015</v>
      </c>
    </row>
    <row r="2" spans="1:9" ht="15.75">
      <c r="A2" s="747" t="s">
        <v>223</v>
      </c>
      <c r="B2" s="747"/>
      <c r="C2" s="747"/>
      <c r="D2" s="747"/>
      <c r="E2" s="747"/>
      <c r="F2" s="747"/>
      <c r="G2" s="747"/>
      <c r="H2" s="747"/>
      <c r="I2" s="338"/>
    </row>
    <row r="3" spans="1:8" ht="15.75">
      <c r="A3" s="60"/>
      <c r="B3" s="60"/>
      <c r="C3" s="60"/>
      <c r="D3" s="60"/>
      <c r="E3" s="60"/>
      <c r="F3" s="60"/>
      <c r="G3" s="60"/>
      <c r="H3" s="60"/>
    </row>
    <row r="4" spans="1:8" ht="15.75">
      <c r="A4" s="803" t="s">
        <v>252</v>
      </c>
      <c r="B4" s="803"/>
      <c r="C4" s="803"/>
      <c r="D4" s="803"/>
      <c r="E4" s="803"/>
      <c r="F4" s="803"/>
      <c r="G4" s="803"/>
      <c r="H4" s="803"/>
    </row>
    <row r="5" spans="1:8" ht="15.75">
      <c r="A5" s="809" t="str">
        <f>inputPrYr!C2</f>
        <v>Sheridan County</v>
      </c>
      <c r="B5" s="809"/>
      <c r="C5" s="809"/>
      <c r="D5" s="809"/>
      <c r="E5" s="809"/>
      <c r="F5" s="809"/>
      <c r="G5" s="809"/>
      <c r="H5" s="809"/>
    </row>
    <row r="6" spans="1:8" ht="15.75">
      <c r="A6" s="810" t="str">
        <f>CONCATENATE("will meet on ",inputBudSum!B5," at ",inputBudSum!B7," at ",inputBudSum!B9," for the purpose of hearing and")</f>
        <v>will meet on August 11, 2014 at 10:00 AM at the Commissioner's Room, Hoxie, Kansas for the purpose of hearing and</v>
      </c>
      <c r="B6" s="810"/>
      <c r="C6" s="810"/>
      <c r="D6" s="810"/>
      <c r="E6" s="810"/>
      <c r="F6" s="810"/>
      <c r="G6" s="810"/>
      <c r="H6" s="810"/>
    </row>
    <row r="7" spans="1:8" ht="15.75">
      <c r="A7" s="803" t="s">
        <v>608</v>
      </c>
      <c r="B7" s="803"/>
      <c r="C7" s="803"/>
      <c r="D7" s="803"/>
      <c r="E7" s="803"/>
      <c r="F7" s="803"/>
      <c r="G7" s="803"/>
      <c r="H7" s="803"/>
    </row>
    <row r="8" spans="1:8" ht="15.75">
      <c r="A8" s="810" t="str">
        <f>CONCATENATE("Detailed budget information is available at ",inputBudSum!B12," and will be available at this hearing.")</f>
        <v>Detailed budget information is available at the County Clerk's Office, Hoxie, Kansas and will be available at this hearing.</v>
      </c>
      <c r="B8" s="810"/>
      <c r="C8" s="810"/>
      <c r="D8" s="810"/>
      <c r="E8" s="810"/>
      <c r="F8" s="810"/>
      <c r="G8" s="810"/>
      <c r="H8" s="810"/>
    </row>
    <row r="9" spans="1:8" ht="15.75">
      <c r="A9" s="65" t="s">
        <v>224</v>
      </c>
      <c r="B9" s="66"/>
      <c r="C9" s="66"/>
      <c r="D9" s="181"/>
      <c r="E9" s="66"/>
      <c r="F9" s="66"/>
      <c r="G9" s="66"/>
      <c r="H9" s="66"/>
    </row>
    <row r="10" spans="1:8" ht="15.75">
      <c r="A10" s="803" t="str">
        <f>CONCATENATE("Proposed Budget ",H1," Expenditures and Amount of ",H1-1," Ad Valorem Tax establish the maximum limits of the ",H1," budget.")</f>
        <v>Proposed Budget 2015 Expenditures and Amount of 2014 Ad Valorem Tax establish the maximum limits of the 2015 budget.</v>
      </c>
      <c r="B10" s="803"/>
      <c r="C10" s="803"/>
      <c r="D10" s="803"/>
      <c r="E10" s="803"/>
      <c r="F10" s="803"/>
      <c r="G10" s="803"/>
      <c r="H10" s="803"/>
    </row>
    <row r="11" spans="1:8" ht="15.75">
      <c r="A11" s="803" t="s">
        <v>267</v>
      </c>
      <c r="B11" s="803"/>
      <c r="C11" s="803"/>
      <c r="D11" s="803"/>
      <c r="E11" s="803"/>
      <c r="F11" s="803"/>
      <c r="G11" s="803"/>
      <c r="H11" s="803"/>
    </row>
    <row r="12" spans="1:9" ht="15.75">
      <c r="A12" s="60"/>
      <c r="B12" s="60"/>
      <c r="C12" s="60"/>
      <c r="D12" s="60"/>
      <c r="E12" s="60"/>
      <c r="F12" s="60"/>
      <c r="G12" s="60"/>
      <c r="H12" s="60"/>
      <c r="I12" s="116"/>
    </row>
    <row r="13" spans="1:8" ht="15.75">
      <c r="A13" s="60"/>
      <c r="B13" s="339" t="str">
        <f>CONCATENATE("Prior Year Actual for ",H1-2,"")</f>
        <v>Prior Year Actual for 2013</v>
      </c>
      <c r="C13" s="184"/>
      <c r="D13" s="340" t="str">
        <f>CONCATENATE("Current Year Estimate for ",H1-1,"")</f>
        <v>Current Year Estimate for 2014</v>
      </c>
      <c r="E13" s="184"/>
      <c r="F13" s="182" t="str">
        <f>CONCATENATE("Proposed Budget Year for ",H1,"")</f>
        <v>Proposed Budget Year for 2015</v>
      </c>
      <c r="G13" s="183"/>
      <c r="H13" s="184"/>
    </row>
    <row r="14" spans="1:8" ht="18.75" customHeight="1">
      <c r="A14" s="59"/>
      <c r="B14" s="287"/>
      <c r="C14" s="185" t="s">
        <v>183</v>
      </c>
      <c r="D14" s="185"/>
      <c r="E14" s="185" t="s">
        <v>183</v>
      </c>
      <c r="F14" s="447" t="s">
        <v>626</v>
      </c>
      <c r="G14" s="774" t="str">
        <f>CONCATENATE("Amount of ",H1-1,"       Ad Valorem Tax")</f>
        <v>Amount of 2014       Ad Valorem Tax</v>
      </c>
      <c r="H14" s="185" t="s">
        <v>184</v>
      </c>
    </row>
    <row r="15" spans="1:8" ht="15.75">
      <c r="A15" s="86" t="s">
        <v>185</v>
      </c>
      <c r="B15" s="228" t="s">
        <v>132</v>
      </c>
      <c r="C15" s="228" t="s">
        <v>186</v>
      </c>
      <c r="D15" s="228" t="s">
        <v>132</v>
      </c>
      <c r="E15" s="228" t="s">
        <v>186</v>
      </c>
      <c r="F15" s="448" t="s">
        <v>627</v>
      </c>
      <c r="G15" s="754"/>
      <c r="H15" s="228" t="s">
        <v>186</v>
      </c>
    </row>
    <row r="16" spans="1:8" ht="15.75">
      <c r="A16" s="100" t="str">
        <f>inputPrYr!B16</f>
        <v>General</v>
      </c>
      <c r="B16" s="100">
        <f>IF(general!$C$107&lt;&gt;0,general!$C$107,"  ")</f>
        <v>2411402</v>
      </c>
      <c r="C16" s="341">
        <f>IF(inputPrYr!D90&lt;&gt;0,inputPrYr!D90,"  ")</f>
        <v>42.155</v>
      </c>
      <c r="D16" s="100">
        <f>IF(general!$D$107&lt;&gt;0,general!$D$107,"  ")</f>
        <v>2665195</v>
      </c>
      <c r="E16" s="341">
        <f>IF(inputPrYr!F16&lt;&gt;0,inputPrYr!F16,"  ")</f>
        <v>49.72</v>
      </c>
      <c r="F16" s="100">
        <f>IF(general!$E$107&lt;&gt;0,general!$E$107,"  ")</f>
        <v>4241647</v>
      </c>
      <c r="G16" s="100">
        <f>IF(general!$E$114&lt;&gt;0,general!$E$114,"  ")</f>
        <v>1950952.36</v>
      </c>
      <c r="H16" s="341">
        <f>IF(general!E114&lt;&gt;0,ROUND(G16/$F$43*1000,3),"  ")</f>
        <v>36.723</v>
      </c>
    </row>
    <row r="17" spans="1:8" ht="15.75">
      <c r="A17" s="100" t="str">
        <f>inputPrYr!B18</f>
        <v>Road &amp; Bridge</v>
      </c>
      <c r="B17" s="100">
        <f>IF(road!$C$42&lt;&gt;0,road!$C$42,"  ")</f>
        <v>1632580</v>
      </c>
      <c r="C17" s="341">
        <f>IF(inputPrYr!D92&lt;&gt;0,inputPrYr!D92,"  ")</f>
        <v>32.575</v>
      </c>
      <c r="D17" s="100">
        <f>IF(road!$D$42&lt;&gt;0,road!$D$42,"  ")</f>
        <v>1762612</v>
      </c>
      <c r="E17" s="341">
        <f>IF(inputPrYr!F18&lt;&gt;0,inputPrYr!F18,"  ")</f>
        <v>30.783</v>
      </c>
      <c r="F17" s="100">
        <f>IF(road!$E$42&lt;&gt;0,road!$E$42,"  ")</f>
        <v>3033224</v>
      </c>
      <c r="G17" s="100">
        <f>IF(road!$E$49&lt;&gt;0,road!$E$49,"  ")</f>
        <v>1283206.01</v>
      </c>
      <c r="H17" s="341">
        <f>IF(road!E49&lt;&gt;0,ROUND(G17/$F$43*1000,3),"  ")</f>
        <v>24.154</v>
      </c>
    </row>
    <row r="18" spans="1:8" ht="15.75">
      <c r="A18" s="100" t="str">
        <f>IF((inputPrYr!$B19&gt;" "),(inputPrYr!$B19),"  ")</f>
        <v>Noxious Weed</v>
      </c>
      <c r="B18" s="100">
        <f>IF('levy page9'!$C$27&lt;&gt;0,'levy page9'!$C$27,"  ")</f>
        <v>155405</v>
      </c>
      <c r="C18" s="341">
        <f>IF(inputPrYr!D93&lt;&gt;0,inputPrYr!D93,"  ")</f>
        <v>2.782</v>
      </c>
      <c r="D18" s="100">
        <f>IF('levy page9'!$D$27&lt;&gt;0,'levy page9'!$D$27,"  ")</f>
        <v>207857</v>
      </c>
      <c r="E18" s="341">
        <f>IF(inputPrYr!F19&lt;&gt;0,inputPrYr!F19,"  ")</f>
        <v>2.734</v>
      </c>
      <c r="F18" s="100">
        <f>IF('levy page9'!$E$27&lt;&gt;0,'levy page9'!$E$27,"  ")</f>
        <v>294561</v>
      </c>
      <c r="G18" s="100">
        <f>IF('levy page9'!$E$34&lt;&gt;0,'levy page9'!$E$34,"  ")</f>
        <v>132351</v>
      </c>
      <c r="H18" s="341">
        <f>IF('levy page9'!E34&lt;&gt;0,ROUND(G18/$F$43*1000,3),"  ")</f>
        <v>2.491</v>
      </c>
    </row>
    <row r="19" spans="1:8" ht="15.75">
      <c r="A19" s="100" t="str">
        <f>IF((inputPrYr!$B20&gt;" "),(inputPrYr!$B20),"  ")</f>
        <v>Mental Health</v>
      </c>
      <c r="B19" s="100">
        <f>IF('levy page9'!$C$56&lt;&gt;0,'levy page9'!$C$56,"  ")</f>
        <v>16910</v>
      </c>
      <c r="C19" s="341">
        <f>IF(inputPrYr!D94&lt;&gt;0,inputPrYr!D94,"  ")</f>
        <v>0.347</v>
      </c>
      <c r="D19" s="100">
        <f>IF('levy page9'!$D$56&lt;&gt;0,'levy page9'!$D$56,"  ")</f>
        <v>18625</v>
      </c>
      <c r="E19" s="341">
        <f>IF(inputPrYr!F20&lt;&gt;0,inputPrYr!F20,"  ")</f>
        <v>0.357</v>
      </c>
      <c r="F19" s="100">
        <f>IF('levy page9'!$E$56&lt;&gt;0,'levy page9'!$E$56,"  ")</f>
        <v>18365</v>
      </c>
      <c r="G19" s="100">
        <f>IF('levy page9'!$E$63&lt;&gt;0,'levy page9'!$E$63,"  ")</f>
        <v>16365</v>
      </c>
      <c r="H19" s="341">
        <f>IF('levy page9'!E63&lt;&gt;0,ROUND(G19/$F$43*1000,3),"  ")</f>
        <v>0.308</v>
      </c>
    </row>
    <row r="20" spans="1:8" ht="15.75">
      <c r="A20" s="100" t="str">
        <f>IF((inputPrYr!$B21&gt;" "),(inputPrYr!$B21),"  ")</f>
        <v>Public Health</v>
      </c>
      <c r="B20" s="100">
        <f>IF('levy page10'!$C$30&lt;&gt;0,'levy page10'!$C$30,"  ")</f>
        <v>162288</v>
      </c>
      <c r="C20" s="341">
        <f>IF(inputPrYr!D95&lt;&gt;0,inputPrYr!D95,"  ")</f>
        <v>0.502</v>
      </c>
      <c r="D20" s="100">
        <f>IF('levy page10'!$D$30&lt;&gt;0,'levy page10'!$D$30,"  ")</f>
        <v>131294</v>
      </c>
      <c r="E20" s="341">
        <f>IF(inputPrYr!F21&lt;&gt;0,inputPrYr!F21,"  ")</f>
        <v>0.512</v>
      </c>
      <c r="F20" s="100">
        <f>IF('levy page10'!$E$30&lt;&gt;0,'levy page10'!$E$30,"  ")</f>
        <v>157011</v>
      </c>
      <c r="G20" s="100">
        <f>IF('levy page10'!$E$37&lt;&gt;0,'levy page10'!$E$37,"  ")</f>
        <v>27171</v>
      </c>
      <c r="H20" s="341">
        <f>IF('levy page10'!$E$37&lt;&gt;0,ROUND(G20/$F$43*1000,3),"  ")</f>
        <v>0.511</v>
      </c>
    </row>
    <row r="21" spans="1:8" ht="15.75">
      <c r="A21" s="100" t="str">
        <f>IF((inputPrYr!$B22&gt;" "),(inputPrYr!$B22),"  ")</f>
        <v>Council on Aging</v>
      </c>
      <c r="B21" s="100">
        <f>IF('levy page10'!$C$59&lt;&gt;0,'levy page10'!$C$59,"  ")</f>
        <v>36307</v>
      </c>
      <c r="C21" s="341">
        <f>IF(inputPrYr!D96&lt;&gt;0,inputPrYr!D96,"  ")</f>
        <v>0.76</v>
      </c>
      <c r="D21" s="100">
        <f>IF('levy page10'!$D$59&lt;&gt;0,'levy page10'!$D$59,"  ")</f>
        <v>39422</v>
      </c>
      <c r="E21" s="341">
        <f>IF(inputPrYr!F22&lt;&gt;0,inputPrYr!F22,"  ")</f>
        <v>0.769</v>
      </c>
      <c r="F21" s="100">
        <f>IF('levy page10'!$E$59&lt;&gt;0,'levy page10'!$E$59,"  ")</f>
        <v>46262</v>
      </c>
      <c r="G21" s="100">
        <f>IF('levy page10'!$E$66&lt;&gt;0,'levy page10'!$E$66,"  ")</f>
        <v>40762</v>
      </c>
      <c r="H21" s="341">
        <f>IF('levy page10'!$E$66&lt;&gt;0,ROUND(G21/$F$43*1000,3),"  ")</f>
        <v>0.767</v>
      </c>
    </row>
    <row r="22" spans="1:8" ht="15.75">
      <c r="A22" s="100" t="s">
        <v>1075</v>
      </c>
      <c r="B22" s="100">
        <f>IF('levy page11'!$C$24&lt;&gt;0,'levy page11'!$C$24,"  ")</f>
        <v>17587</v>
      </c>
      <c r="C22" s="341">
        <f>IF(inputPrYr!D97&lt;&gt;0,inputPrYr!D97,"  ")</f>
        <v>0.367</v>
      </c>
      <c r="D22" s="100">
        <f>IF('levy page11'!$D$24&lt;&gt;0,'levy page11'!$D$24,"  ")</f>
        <v>17701</v>
      </c>
      <c r="E22" s="341">
        <f>IF(inputPrYr!F23&lt;&gt;0,inputPrYr!F23,"  ")</f>
        <v>0.339</v>
      </c>
      <c r="F22" s="100">
        <f>IF('levy page11'!$E$24&lt;&gt;0,'levy page11'!$E$24,"  ")</f>
        <v>17845</v>
      </c>
      <c r="G22" s="100">
        <f>IF('levy page11'!$E$31&lt;&gt;0,'levy page11'!$E$31,"  ")</f>
        <v>15466</v>
      </c>
      <c r="H22" s="341">
        <f>IF('levy page11'!$E$31&lt;&gt;0,ROUND(G22/$F$43*1000,3),"  ")</f>
        <v>0.291</v>
      </c>
    </row>
    <row r="23" spans="1:8" ht="15.75">
      <c r="A23" s="100" t="str">
        <f>IF((inputPrYr!$B24&gt;" "),(inputPrYr!$B24),"  ")</f>
        <v>Hospital Maintenance</v>
      </c>
      <c r="B23" s="100">
        <f>IF('levy page11'!$C$54&lt;&gt;0,'levy page11'!$C$54,"  ")</f>
        <v>958492</v>
      </c>
      <c r="C23" s="341">
        <f>IF(inputPrYr!D98&lt;&gt;0,inputPrYr!D98,"  ")</f>
        <v>10.24</v>
      </c>
      <c r="D23" s="100">
        <f>IF('levy page11'!$D$54&lt;&gt;0,'levy page11'!$D$54,"  ")</f>
        <v>974605</v>
      </c>
      <c r="E23" s="341">
        <f>IF(inputPrYr!F24&lt;&gt;0,inputPrYr!F24,"  ")</f>
        <v>10.247</v>
      </c>
      <c r="F23" s="100">
        <f>IF('levy page11'!$E$54&lt;&gt;0,'levy page11'!$E$54,"  ")</f>
        <v>1140194</v>
      </c>
      <c r="G23" s="100">
        <f>IF('levy page11'!$E$61&lt;&gt;0,'levy page11'!$E$61,"  ")</f>
        <v>543496</v>
      </c>
      <c r="H23" s="341">
        <f>IF('levy page11'!$E$61&lt;&gt;0,ROUND(G23/$F$43*1000,3),"  ")</f>
        <v>10.23</v>
      </c>
    </row>
    <row r="24" spans="1:8" ht="15.75">
      <c r="A24" s="100" t="str">
        <f>IF((inputPrYr!$B25&gt;" "),(inputPrYr!$B25),"  ")</f>
        <v>Mental Retardation</v>
      </c>
      <c r="B24" s="100">
        <f>IF('levy page12'!$C$24&lt;&gt;0,'levy page12'!$C$24,"  ")</f>
        <v>47572</v>
      </c>
      <c r="C24" s="341">
        <f>IF(inputPrYr!D99&lt;&gt;0,inputPrYr!D99,"  ")</f>
        <v>0.978</v>
      </c>
      <c r="D24" s="100">
        <f>IF('levy page12'!$D$24&lt;&gt;0,'levy page12'!$D$24,"  ")</f>
        <v>49650</v>
      </c>
      <c r="E24" s="341">
        <f>IF(inputPrYr!F25&lt;&gt;0,inputPrYr!F25,"  ")</f>
        <v>0.945</v>
      </c>
      <c r="F24" s="100">
        <f>IF('levy page12'!$E$24&lt;&gt;0,'levy page12'!$E$24,"  ")</f>
        <v>48970</v>
      </c>
      <c r="G24" s="100">
        <f>IF('levy page12'!$E$31&lt;&gt;0,'levy page12'!$E$31,"  ")</f>
        <v>43544</v>
      </c>
      <c r="H24" s="341">
        <f>IF('levy page12'!$E$31&lt;&gt;0,ROUND(G24/$F$43*1000,3),"  ")</f>
        <v>0.82</v>
      </c>
    </row>
    <row r="25" spans="1:8" ht="15.75">
      <c r="A25" s="100" t="str">
        <f>IF((inputPrYr!$B26&gt;" "),(inputPrYr!$B26),"  ")</f>
        <v>Pool Lease-Purchase</v>
      </c>
      <c r="B25" s="100">
        <f>IF('levy page12'!$C$54&lt;&gt;0,'levy page12'!$C$54,"  ")</f>
        <v>133322</v>
      </c>
      <c r="C25" s="341">
        <f>IF(inputPrYr!D100&lt;&gt;0,inputPrYr!D100,"  ")</f>
        <v>3.221</v>
      </c>
      <c r="D25" s="100">
        <f>IF('levy page12'!$D$54&lt;&gt;0,'levy page12'!$D$54,"  ")</f>
        <v>871</v>
      </c>
      <c r="E25" s="341">
        <f>IF(inputPrYr!F26&lt;&gt;0,inputPrYr!F26,"  ")</f>
        <v>1.438</v>
      </c>
      <c r="F25" s="100">
        <f>IF('levy page12'!$E$54&lt;&gt;0,'levy page12'!$E$54,"  ")</f>
        <v>159903</v>
      </c>
      <c r="G25" s="100">
        <f>IF('levy page12'!$E$61&lt;&gt;0,'levy page12'!$E$61,"  ")</f>
        <v>68650</v>
      </c>
      <c r="H25" s="341">
        <f>IF('levy page12'!$E$61&lt;&gt;0,ROUND(G25/$F$43*1000,3),"  ")</f>
        <v>1.292</v>
      </c>
    </row>
    <row r="26" spans="1:8" ht="15.75">
      <c r="A26" s="100" t="str">
        <f>IF((inputPrYr!$B27&gt;" "),(inputPrYr!$B27),"  ")</f>
        <v>  </v>
      </c>
      <c r="B26" s="100"/>
      <c r="C26" s="341"/>
      <c r="D26" s="100"/>
      <c r="E26" s="341"/>
      <c r="F26" s="100"/>
      <c r="G26" s="100"/>
      <c r="H26" s="341"/>
    </row>
    <row r="27" spans="1:8" ht="15.75">
      <c r="A27" s="100" t="s">
        <v>1074</v>
      </c>
      <c r="B27" s="100" t="str">
        <f>IF('no levy page13'!$C$23&lt;&gt;0,'no levy page13'!$C$23,"  ")</f>
        <v>  </v>
      </c>
      <c r="C27" s="81"/>
      <c r="D27" s="100">
        <f>IF('no levy page13'!$D$23&lt;&gt;0,'no levy page13'!$D$23,"  ")</f>
        <v>8735</v>
      </c>
      <c r="E27" s="81"/>
      <c r="F27" s="100">
        <f>IF('no levy page13'!$E$23&lt;&gt;0,'no levy page13'!$E$23,"  ")</f>
        <v>86496</v>
      </c>
      <c r="G27" s="100"/>
      <c r="H27" s="77"/>
    </row>
    <row r="28" spans="1:8" ht="15.75">
      <c r="A28" s="100" t="str">
        <f>IF((inputPrYr!$B44&gt;" "),(inputPrYr!$B44),"  ")</f>
        <v>911 Emergency Tax</v>
      </c>
      <c r="B28" s="100">
        <f>IF('no levy page13'!$C$50&lt;&gt;0,'no levy page13'!$C$50,"  ")</f>
        <v>6900</v>
      </c>
      <c r="C28" s="81"/>
      <c r="D28" s="100">
        <f>IF('no levy page13'!$D$50&lt;&gt;0,'no levy page13'!$D$50,"  ")</f>
        <v>395</v>
      </c>
      <c r="E28" s="81"/>
      <c r="F28" s="100" t="str">
        <f>IF('no levy page13'!$E$50&lt;&gt;0,'no levy page13'!$E$50,"  ")</f>
        <v>  </v>
      </c>
      <c r="G28" s="100"/>
      <c r="H28" s="77"/>
    </row>
    <row r="29" spans="1:8" ht="15.75">
      <c r="A29" s="100" t="str">
        <f>IF((inputPrYr!$B45&gt;" "),(inputPrYr!$B45),"  ")</f>
        <v>Parks &amp; Recreation</v>
      </c>
      <c r="B29" s="100">
        <f>IF('no levy page14'!$C$24&lt;&gt;0,'no levy page14'!$C$24,"  ")</f>
        <v>1145</v>
      </c>
      <c r="C29" s="81"/>
      <c r="D29" s="100">
        <f>IF('no levy page14'!$D$24&lt;&gt;0,'no levy page14'!$D$24,"  ")</f>
        <v>850</v>
      </c>
      <c r="E29" s="81"/>
      <c r="F29" s="100">
        <f>IF('no levy page14'!$E$24&lt;&gt;0,'no levy page14'!$E$24,"  ")</f>
        <v>4559</v>
      </c>
      <c r="G29" s="100"/>
      <c r="H29" s="77"/>
    </row>
    <row r="30" spans="1:8" ht="15.75">
      <c r="A30" s="100" t="str">
        <f>IF((inputPrYr!$B46&gt;" "),(inputPrYr!$B46),"  ")</f>
        <v>Solid Waste Disposal</v>
      </c>
      <c r="B30" s="100">
        <f>IF('no levy page14'!$C$51&lt;&gt;0,'no levy page14'!$C$51,"  ")</f>
        <v>61788</v>
      </c>
      <c r="C30" s="81"/>
      <c r="D30" s="100">
        <f>IF('no levy page14'!$D$51&lt;&gt;0,'no levy page14'!$D$51,"  ")</f>
        <v>64832</v>
      </c>
      <c r="E30" s="81"/>
      <c r="F30" s="100">
        <f>IF('no levy page14'!$E$51&lt;&gt;0,'no levy page14'!$E$51,"  ")</f>
        <v>207718</v>
      </c>
      <c r="G30" s="100"/>
      <c r="H30" s="77"/>
    </row>
    <row r="31" spans="1:8" ht="15.75">
      <c r="A31" s="100" t="str">
        <f>IF((inputPrYr!$B47&gt;" "),(inputPrYr!$B47),"  ")</f>
        <v>Alcohol Program</v>
      </c>
      <c r="B31" s="100" t="str">
        <f>IF('no levy page15'!$C$24&lt;&gt;0,'no levy page15'!$C$24,"  ")</f>
        <v>  </v>
      </c>
      <c r="C31" s="81"/>
      <c r="D31" s="100">
        <f>IF('no levy page15'!$D$24&lt;&gt;0,'no levy page15'!$D$24,"  ")</f>
        <v>5000</v>
      </c>
      <c r="E31" s="81"/>
      <c r="F31" s="100">
        <f>IF('no levy page15'!$E$24&lt;&gt;0,'no levy page15'!$E$24,"  ")</f>
        <v>35132</v>
      </c>
      <c r="G31" s="100"/>
      <c r="H31" s="77"/>
    </row>
    <row r="32" spans="1:8" ht="15.75">
      <c r="A32" s="100" t="str">
        <f>IF((inputPrYr!$B48&gt;" "),(inputPrYr!$B48),"  ")</f>
        <v>Special Ambulance</v>
      </c>
      <c r="B32" s="100">
        <f>IF('no levy page15'!$C$51&lt;&gt;0,'no levy page15'!$C$51,"  ")</f>
        <v>21245</v>
      </c>
      <c r="C32" s="81"/>
      <c r="D32" s="100" t="str">
        <f>IF('no levy page15'!$D$51&lt;&gt;0,'no levy page15'!$D$51,"  ")</f>
        <v>  </v>
      </c>
      <c r="E32" s="81"/>
      <c r="F32" s="100">
        <f>IF('no levy page15'!$E$51&lt;&gt;0,'no levy page15'!$E$51,"  ")</f>
        <v>414449</v>
      </c>
      <c r="G32" s="100"/>
      <c r="H32" s="77"/>
    </row>
    <row r="33" spans="1:8" ht="15.75">
      <c r="A33" s="100" t="str">
        <f>IF((inputPrYr!$B49&gt;" "),(inputPrYr!$B49),"  ")</f>
        <v>911 Wireless</v>
      </c>
      <c r="B33" s="100">
        <f>IF('no levy page16'!$C$25&lt;&gt;0,'no levy page16'!$C$25,"  ")</f>
        <v>5254</v>
      </c>
      <c r="C33" s="81"/>
      <c r="D33" s="100">
        <f>IF('no levy page16'!$D$25&lt;&gt;0,'no levy page16'!$D$25,"  ")</f>
        <v>9600</v>
      </c>
      <c r="E33" s="81"/>
      <c r="F33" s="100">
        <f>IF('no levy page16'!$E$25&lt;&gt;0,'no levy page16'!$E$25,"  ")</f>
        <v>225734</v>
      </c>
      <c r="G33" s="100"/>
      <c r="H33" s="77"/>
    </row>
    <row r="34" spans="1:8" ht="15.75">
      <c r="A34" s="100" t="str">
        <f>IF((inputPrYr!$B50&gt;" "),(inputPrYr!$B50),"  ")</f>
        <v>  </v>
      </c>
      <c r="B34" s="100" t="str">
        <f>IF('no levy page16'!$C$56&lt;&gt;0,'no levy page16'!$C$56,"  ")</f>
        <v>  </v>
      </c>
      <c r="C34" s="81"/>
      <c r="D34" s="100" t="str">
        <f>IF('no levy page16'!$D$56&lt;&gt;0,'no levy page16'!$D$56,"  ")</f>
        <v>  </v>
      </c>
      <c r="E34" s="81"/>
      <c r="F34" s="100" t="str">
        <f>IF('no levy page16'!$E$56&lt;&gt;0,'no levy page16'!$E$56,"  ")</f>
        <v>  </v>
      </c>
      <c r="G34" s="100"/>
      <c r="H34" s="77"/>
    </row>
    <row r="35" spans="1:8" ht="15.75">
      <c r="A35" s="163" t="str">
        <f>IF((inputPrYr!$B62&gt;"  "),(nonbudA!$A3),"  ")</f>
        <v>Non-Budgeted Funds-A</v>
      </c>
      <c r="B35" s="100">
        <f>IF(nonbudA!$K$28&lt;&gt;0,nonbudA!$K$28,"  ")</f>
        <v>409376</v>
      </c>
      <c r="C35" s="81"/>
      <c r="D35" s="100"/>
      <c r="E35" s="81"/>
      <c r="F35" s="100"/>
      <c r="G35" s="100"/>
      <c r="H35" s="77"/>
    </row>
    <row r="36" spans="1:13" ht="15.75">
      <c r="A36" s="163" t="str">
        <f>IF((inputPrYr!$B68&gt;"  "),(nonbudB!$A3),"  ")</f>
        <v>Non-Budgeted Funds-B</v>
      </c>
      <c r="B36" s="100">
        <f>IF(nonbudB!$K$28&lt;&gt;0,nonbudB!$K$28,"  ")</f>
        <v>13926</v>
      </c>
      <c r="C36" s="81"/>
      <c r="D36" s="100"/>
      <c r="E36" s="81"/>
      <c r="F36" s="100"/>
      <c r="G36" s="100"/>
      <c r="H36" s="77"/>
      <c r="J36" s="811" t="str">
        <f>CONCATENATE("Estimated Value Of One Mill For ",H1,"")</f>
        <v>Estimated Value Of One Mill For 2015</v>
      </c>
      <c r="K36" s="817"/>
      <c r="L36" s="817"/>
      <c r="M36" s="818"/>
    </row>
    <row r="37" spans="1:13" ht="15.75">
      <c r="A37" s="163" t="str">
        <f>IF((inputPrYr!$B74&gt;"  "),(nonbudC!$A3),"  ")</f>
        <v>Non-Budgeted Funds-C</v>
      </c>
      <c r="B37" s="100">
        <f>IF(nonbudC!$K$28&lt;&gt;0,nonbudC!$K$28,"  ")</f>
        <v>34104</v>
      </c>
      <c r="C37" s="81"/>
      <c r="D37" s="100"/>
      <c r="E37" s="81"/>
      <c r="F37" s="100"/>
      <c r="G37" s="100"/>
      <c r="H37" s="77"/>
      <c r="J37" s="453"/>
      <c r="K37" s="454"/>
      <c r="L37" s="454"/>
      <c r="M37" s="455"/>
    </row>
    <row r="38" spans="1:13" ht="16.5" thickBot="1">
      <c r="A38" s="163" t="str">
        <f>IF((inputPrYr!$B80&gt;"  "),(nonbudD!$A3),"  ")</f>
        <v>Non-Budgeted Funds-D</v>
      </c>
      <c r="B38" s="442">
        <f>IF(nonbudD!$K$28&lt;&gt;0,nonbudD!$K$28,"  ")</f>
        <v>1631376</v>
      </c>
      <c r="C38" s="441"/>
      <c r="D38" s="442"/>
      <c r="E38" s="441"/>
      <c r="F38" s="442"/>
      <c r="G38" s="442"/>
      <c r="H38" s="440"/>
      <c r="J38" s="456" t="s">
        <v>641</v>
      </c>
      <c r="K38" s="457"/>
      <c r="L38" s="457"/>
      <c r="M38" s="458">
        <f>ROUND(F43/1000,0)</f>
        <v>53126</v>
      </c>
    </row>
    <row r="39" spans="1:8" ht="15.75">
      <c r="A39" s="76" t="s">
        <v>150</v>
      </c>
      <c r="B39" s="445">
        <f>SUM(B16:B38)</f>
        <v>7756979</v>
      </c>
      <c r="C39" s="443">
        <f>SUM(C16:C26)</f>
        <v>93.92699999999999</v>
      </c>
      <c r="D39" s="445">
        <f>SUM(D16:D38)</f>
        <v>5957244</v>
      </c>
      <c r="E39" s="443">
        <f>SUM(E16:E26)</f>
        <v>97.844</v>
      </c>
      <c r="F39" s="445">
        <f>SUM(F16:F38)</f>
        <v>10132070</v>
      </c>
      <c r="G39" s="445">
        <f>SUM(G16:G26)</f>
        <v>4121963.37</v>
      </c>
      <c r="H39" s="443">
        <f>SUM(H16:H26)</f>
        <v>77.58699999999999</v>
      </c>
    </row>
    <row r="40" spans="1:13" ht="15.75">
      <c r="A40" s="59" t="s">
        <v>187</v>
      </c>
      <c r="B40" s="342">
        <f>transfers!C29</f>
        <v>798612</v>
      </c>
      <c r="C40" s="343"/>
      <c r="D40" s="342">
        <f>transfers!D29</f>
        <v>660000</v>
      </c>
      <c r="E40" s="297"/>
      <c r="F40" s="342">
        <f>transfers!E29</f>
        <v>885000</v>
      </c>
      <c r="G40" s="60"/>
      <c r="H40" s="98"/>
      <c r="J40" s="811" t="str">
        <f>CONCATENATE("Want The Mill Rate The Same As For ",H1-1,"?")</f>
        <v>Want The Mill Rate The Same As For 2014?</v>
      </c>
      <c r="K40" s="817"/>
      <c r="L40" s="817"/>
      <c r="M40" s="818"/>
    </row>
    <row r="41" spans="1:13" ht="16.5" thickBot="1">
      <c r="A41" s="59" t="s">
        <v>188</v>
      </c>
      <c r="B41" s="345">
        <f>B39-B40</f>
        <v>6958367</v>
      </c>
      <c r="C41" s="60"/>
      <c r="D41" s="345">
        <f>D39-D40</f>
        <v>5297244</v>
      </c>
      <c r="E41" s="343"/>
      <c r="F41" s="345">
        <f>F39-F40</f>
        <v>9247070</v>
      </c>
      <c r="G41" s="60"/>
      <c r="H41" s="98"/>
      <c r="J41" s="460"/>
      <c r="K41" s="454"/>
      <c r="L41" s="454"/>
      <c r="M41" s="461"/>
    </row>
    <row r="42" spans="1:13" ht="16.5" thickTop="1">
      <c r="A42" s="59" t="s">
        <v>189</v>
      </c>
      <c r="B42" s="445">
        <f>inputPrYr!F117</f>
        <v>4064290</v>
      </c>
      <c r="C42" s="60"/>
      <c r="D42" s="445">
        <f>inputPrYr!E41</f>
        <v>4538667</v>
      </c>
      <c r="E42" s="60"/>
      <c r="F42" s="444" t="s">
        <v>61</v>
      </c>
      <c r="G42" s="60"/>
      <c r="H42" s="98"/>
      <c r="J42" s="460" t="str">
        <f>CONCATENATE("",H1-1," Mill Rate Was:")</f>
        <v>2014 Mill Rate Was:</v>
      </c>
      <c r="K42" s="454"/>
      <c r="L42" s="454"/>
      <c r="M42" s="462">
        <f>E39</f>
        <v>97.844</v>
      </c>
    </row>
    <row r="43" spans="1:13" ht="15.75">
      <c r="A43" s="59" t="s">
        <v>190</v>
      </c>
      <c r="B43" s="100">
        <f>inputPrYr!F118</f>
        <v>43270173</v>
      </c>
      <c r="C43" s="60"/>
      <c r="D43" s="100">
        <f>inputPrYr!F85</f>
        <v>46386801</v>
      </c>
      <c r="E43" s="60"/>
      <c r="F43" s="100">
        <f>inputOth!E6</f>
        <v>53126451</v>
      </c>
      <c r="G43" s="60"/>
      <c r="H43" s="98"/>
      <c r="J43" s="463" t="str">
        <f>CONCATENATE("",H1," Tax Levy Fund Expenditures Must Be")</f>
        <v>2015 Tax Levy Fund Expenditures Must Be</v>
      </c>
      <c r="K43" s="464"/>
      <c r="L43" s="464"/>
      <c r="M43" s="461"/>
    </row>
    <row r="44" spans="1:13" ht="15.75">
      <c r="A44" s="60"/>
      <c r="B44" s="60"/>
      <c r="C44" s="60"/>
      <c r="D44" s="60"/>
      <c r="E44" s="60"/>
      <c r="F44" s="60"/>
      <c r="G44" s="60"/>
      <c r="H44" s="98"/>
      <c r="J44" s="463" t="str">
        <f>IF(M44&gt;0,"Increased By:","")</f>
        <v>Increased By:</v>
      </c>
      <c r="K44" s="464"/>
      <c r="L44" s="464"/>
      <c r="M44" s="550">
        <f>IF(M51&lt;0,M51*-1,0)</f>
        <v>1076140.63</v>
      </c>
    </row>
    <row r="45" spans="1:13" ht="15.75">
      <c r="A45" s="59" t="s">
        <v>191</v>
      </c>
      <c r="B45" s="60"/>
      <c r="C45" s="60"/>
      <c r="D45" s="60"/>
      <c r="E45" s="60"/>
      <c r="F45" s="60"/>
      <c r="G45" s="60"/>
      <c r="H45" s="110"/>
      <c r="J45" s="551">
        <f>IF(M45&lt;0,"Reduced By:","")</f>
      </c>
      <c r="K45" s="552"/>
      <c r="L45" s="552"/>
      <c r="M45" s="553">
        <f>IF(M51&gt;0,M51*-1,0)</f>
        <v>0</v>
      </c>
    </row>
    <row r="46" spans="1:13" ht="15.75">
      <c r="A46" s="59" t="s">
        <v>192</v>
      </c>
      <c r="B46" s="344">
        <f>H1-3</f>
        <v>2012</v>
      </c>
      <c r="C46" s="60"/>
      <c r="D46" s="344">
        <f>H1-2</f>
        <v>2013</v>
      </c>
      <c r="E46" s="60"/>
      <c r="F46" s="344">
        <f>H1-1</f>
        <v>2014</v>
      </c>
      <c r="G46" s="60"/>
      <c r="H46" s="110"/>
      <c r="J46" s="467"/>
      <c r="K46" s="467"/>
      <c r="L46" s="467"/>
      <c r="M46" s="467"/>
    </row>
    <row r="47" spans="1:13" ht="15.75">
      <c r="A47" s="59" t="s">
        <v>193</v>
      </c>
      <c r="B47" s="100">
        <f>inputPrYr!D122</f>
        <v>0</v>
      </c>
      <c r="C47" s="60"/>
      <c r="D47" s="100">
        <f>inputPrYr!E122</f>
        <v>0</v>
      </c>
      <c r="E47" s="60"/>
      <c r="F47" s="100">
        <f>debt!G19</f>
        <v>0</v>
      </c>
      <c r="G47" s="60"/>
      <c r="H47" s="110"/>
      <c r="J47" s="811" t="str">
        <f>CONCATENATE("Impact On Keeping The Same Mill Rate As For ",H1-1,"")</f>
        <v>Impact On Keeping The Same Mill Rate As For 2014</v>
      </c>
      <c r="K47" s="812"/>
      <c r="L47" s="812"/>
      <c r="M47" s="813"/>
    </row>
    <row r="48" spans="1:13" ht="15.75">
      <c r="A48" s="59" t="s">
        <v>194</v>
      </c>
      <c r="B48" s="100">
        <f>inputPrYr!D123</f>
        <v>0</v>
      </c>
      <c r="C48" s="60"/>
      <c r="D48" s="100">
        <f>inputPrYr!E123</f>
        <v>0</v>
      </c>
      <c r="E48" s="60"/>
      <c r="F48" s="100">
        <f>debt!G27</f>
        <v>0</v>
      </c>
      <c r="G48" s="60"/>
      <c r="H48" s="110"/>
      <c r="J48" s="460"/>
      <c r="K48" s="454"/>
      <c r="L48" s="454"/>
      <c r="M48" s="461"/>
    </row>
    <row r="49" spans="1:13" ht="15.75">
      <c r="A49" s="59" t="s">
        <v>181</v>
      </c>
      <c r="B49" s="100">
        <f>inputPrYr!D124</f>
        <v>0</v>
      </c>
      <c r="C49" s="60"/>
      <c r="D49" s="100">
        <f>inputPrYr!E124</f>
        <v>0</v>
      </c>
      <c r="E49" s="60"/>
      <c r="F49" s="100">
        <f>debt!G36</f>
        <v>0</v>
      </c>
      <c r="G49" s="60"/>
      <c r="H49" s="110"/>
      <c r="J49" s="460" t="str">
        <f>CONCATENATE("",H1," Ad Valorem Tax Revenue:")</f>
        <v>2015 Ad Valorem Tax Revenue:</v>
      </c>
      <c r="K49" s="454"/>
      <c r="L49" s="454"/>
      <c r="M49" s="455">
        <f>G39</f>
        <v>4121963.37</v>
      </c>
    </row>
    <row r="50" spans="1:13" ht="15.75">
      <c r="A50" s="59" t="s">
        <v>268</v>
      </c>
      <c r="B50" s="100">
        <f>inputPrYr!D125</f>
        <v>0</v>
      </c>
      <c r="C50" s="60"/>
      <c r="D50" s="100">
        <f>inputPrYr!E125</f>
        <v>0</v>
      </c>
      <c r="E50" s="60"/>
      <c r="F50" s="100">
        <f>lpform!G37</f>
        <v>1401580</v>
      </c>
      <c r="G50" s="60"/>
      <c r="H50" s="110"/>
      <c r="J50" s="460" t="str">
        <f>CONCATENATE("",H1-1," Ad Valorem Tax Revenue:")</f>
        <v>2014 Ad Valorem Tax Revenue:</v>
      </c>
      <c r="K50" s="454"/>
      <c r="L50" s="454"/>
      <c r="M50" s="468">
        <f>ROUND(F43*M42/1000,0)</f>
        <v>5198104</v>
      </c>
    </row>
    <row r="51" spans="1:13" ht="16.5" thickBot="1">
      <c r="A51" s="59" t="s">
        <v>195</v>
      </c>
      <c r="B51" s="470">
        <f>SUM(B47:B50)</f>
        <v>0</v>
      </c>
      <c r="C51" s="60"/>
      <c r="D51" s="470">
        <f>SUM(D47:D50)</f>
        <v>0</v>
      </c>
      <c r="E51" s="60"/>
      <c r="F51" s="470">
        <f>SUM(F47:F50)</f>
        <v>1401580</v>
      </c>
      <c r="G51" s="60"/>
      <c r="H51" s="110"/>
      <c r="J51" s="465" t="s">
        <v>642</v>
      </c>
      <c r="K51" s="466"/>
      <c r="L51" s="466"/>
      <c r="M51" s="458">
        <f>SUM(M49-M50)</f>
        <v>-1076140.63</v>
      </c>
    </row>
    <row r="52" spans="1:13" ht="16.5" thickTop="1">
      <c r="A52" s="59" t="s">
        <v>196</v>
      </c>
      <c r="B52" s="60"/>
      <c r="C52" s="60"/>
      <c r="D52" s="60"/>
      <c r="E52" s="60"/>
      <c r="F52" s="60"/>
      <c r="G52" s="60"/>
      <c r="H52" s="110"/>
      <c r="J52" s="459"/>
      <c r="K52" s="459"/>
      <c r="L52" s="459"/>
      <c r="M52" s="467"/>
    </row>
    <row r="53" spans="1:13" ht="15.75">
      <c r="A53" s="60"/>
      <c r="B53" s="60"/>
      <c r="C53" s="60"/>
      <c r="D53" s="60"/>
      <c r="E53" s="60"/>
      <c r="F53" s="60"/>
      <c r="G53" s="60"/>
      <c r="H53" s="110"/>
      <c r="J53" s="811" t="s">
        <v>643</v>
      </c>
      <c r="K53" s="814"/>
      <c r="L53" s="814"/>
      <c r="M53" s="815"/>
    </row>
    <row r="54" spans="1:13" ht="15.75">
      <c r="A54" s="816" t="s">
        <v>1089</v>
      </c>
      <c r="B54" s="816"/>
      <c r="C54" s="60"/>
      <c r="D54" s="60"/>
      <c r="E54" s="60"/>
      <c r="F54" s="60"/>
      <c r="G54" s="60"/>
      <c r="H54" s="110"/>
      <c r="J54" s="460"/>
      <c r="K54" s="454"/>
      <c r="L54" s="454"/>
      <c r="M54" s="461"/>
    </row>
    <row r="55" spans="1:13" ht="15.75">
      <c r="A55" s="181" t="s">
        <v>197</v>
      </c>
      <c r="B55" s="66"/>
      <c r="C55" s="60"/>
      <c r="D55" s="60"/>
      <c r="E55" s="60"/>
      <c r="F55" s="60"/>
      <c r="G55" s="60"/>
      <c r="H55" s="110"/>
      <c r="J55" s="460" t="str">
        <f>CONCATENATE("Current ",H1," Estimated Mill Rate:")</f>
        <v>Current 2015 Estimated Mill Rate:</v>
      </c>
      <c r="K55" s="454"/>
      <c r="L55" s="454"/>
      <c r="M55" s="462">
        <f>H39</f>
        <v>77.58699999999999</v>
      </c>
    </row>
    <row r="56" spans="1:13" ht="15.75">
      <c r="A56" s="60"/>
      <c r="B56" s="60"/>
      <c r="C56" s="60"/>
      <c r="E56" s="346"/>
      <c r="F56" s="60"/>
      <c r="G56" s="60"/>
      <c r="H56" s="110"/>
      <c r="J56" s="460" t="str">
        <f>CONCATENATE("Desired ",H1," Mill Rate:")</f>
        <v>Desired 2015 Mill Rate:</v>
      </c>
      <c r="K56" s="454"/>
      <c r="L56" s="454"/>
      <c r="M56" s="469">
        <v>45</v>
      </c>
    </row>
    <row r="57" spans="1:13" ht="15.75">
      <c r="A57" s="116"/>
      <c r="D57" s="116"/>
      <c r="E57" s="116"/>
      <c r="F57" s="116"/>
      <c r="G57" s="116"/>
      <c r="H57" s="110"/>
      <c r="J57" s="460" t="str">
        <f>CONCATENATE("",H1," Ad Valorem Tax:")</f>
        <v>2015 Ad Valorem Tax:</v>
      </c>
      <c r="K57" s="454"/>
      <c r="L57" s="454"/>
      <c r="M57" s="468">
        <f>ROUND(F43*M56/1000,0)</f>
        <v>2390690</v>
      </c>
    </row>
    <row r="58" spans="8:13" ht="15.75">
      <c r="H58" s="110"/>
      <c r="J58" s="465" t="str">
        <f>CONCATENATE("",H1," Tax Levy Fund Exp. Changed By:")</f>
        <v>2015 Tax Levy Fund Exp. Changed By:</v>
      </c>
      <c r="K58" s="466"/>
      <c r="L58" s="466"/>
      <c r="M58" s="458">
        <f>IF(M56=0,0,(M57-G39))</f>
        <v>-1731273.37</v>
      </c>
    </row>
    <row r="59" ht="15.75">
      <c r="H59" s="110"/>
    </row>
    <row r="60" ht="15.75">
      <c r="H60" s="110"/>
    </row>
    <row r="61" ht="15.75">
      <c r="H61" s="110"/>
    </row>
    <row r="62" ht="15.75">
      <c r="H62" s="116"/>
    </row>
    <row r="73" ht="15.75">
      <c r="D73" s="70" t="s">
        <v>1062</v>
      </c>
    </row>
  </sheetData>
  <sheetProtection/>
  <mergeCells count="14">
    <mergeCell ref="J47:M47"/>
    <mergeCell ref="J53:M53"/>
    <mergeCell ref="A54:B54"/>
    <mergeCell ref="G14:G15"/>
    <mergeCell ref="J36:M36"/>
    <mergeCell ref="J40:M40"/>
    <mergeCell ref="A2:H2"/>
    <mergeCell ref="A4:H4"/>
    <mergeCell ref="A5:H5"/>
    <mergeCell ref="A6:H6"/>
    <mergeCell ref="A10:H10"/>
    <mergeCell ref="A11:H11"/>
    <mergeCell ref="A7:H7"/>
    <mergeCell ref="A8:H8"/>
  </mergeCells>
  <printOptions/>
  <pageMargins left="0.51" right="0.5" top="0.74" bottom="0.34" header="0.5" footer="0"/>
  <pageSetup blackAndWhite="1" fitToHeight="1" fitToWidth="1" horizontalDpi="120" verticalDpi="120" orientation="portrait" scale="65" r:id="rId1"/>
  <headerFooter alignWithMargins="0">
    <oddHeader>&amp;RState of Kansas
County
</oddHeader>
  </headerFooter>
</worksheet>
</file>

<file path=xl/worksheets/sheet3.xml><?xml version="1.0" encoding="utf-8"?>
<worksheet xmlns="http://schemas.openxmlformats.org/spreadsheetml/2006/main" xmlns:r="http://schemas.openxmlformats.org/officeDocument/2006/relationships">
  <dimension ref="A1:E70"/>
  <sheetViews>
    <sheetView zoomScalePageLayoutView="0" workbookViewId="0" topLeftCell="A1">
      <selection activeCell="B30" sqref="B30"/>
    </sheetView>
  </sheetViews>
  <sheetFormatPr defaultColWidth="8.796875" defaultRowHeight="15"/>
  <cols>
    <col min="1" max="1" width="15.796875" style="48" customWidth="1"/>
    <col min="2" max="2" width="20.796875" style="48" customWidth="1"/>
    <col min="3" max="3" width="9.796875" style="48" customWidth="1"/>
    <col min="4" max="4" width="15.296875" style="48" customWidth="1"/>
    <col min="5" max="5" width="15.796875" style="48" customWidth="1"/>
    <col min="6" max="16384" width="8.8984375" style="48" customWidth="1"/>
  </cols>
  <sheetData>
    <row r="1" spans="1:5" ht="15.75">
      <c r="A1" s="117" t="str">
        <f>inputPrYr!C2</f>
        <v>Sheridan County</v>
      </c>
      <c r="B1" s="98"/>
      <c r="C1" s="98"/>
      <c r="D1" s="98"/>
      <c r="E1" s="98">
        <f>inputPrYr!C4</f>
        <v>2015</v>
      </c>
    </row>
    <row r="2" spans="1:5" ht="15.75">
      <c r="A2" s="117"/>
      <c r="B2" s="98"/>
      <c r="C2" s="98"/>
      <c r="D2" s="98"/>
      <c r="E2" s="98"/>
    </row>
    <row r="3" spans="1:5" ht="15.75">
      <c r="A3" s="745" t="s">
        <v>53</v>
      </c>
      <c r="B3" s="746"/>
      <c r="C3" s="746"/>
      <c r="D3" s="746"/>
      <c r="E3" s="746"/>
    </row>
    <row r="4" spans="1:5" ht="15.75">
      <c r="A4" s="98"/>
      <c r="B4" s="98"/>
      <c r="C4" s="98"/>
      <c r="D4" s="98"/>
      <c r="E4" s="98"/>
    </row>
    <row r="5" spans="1:5" ht="15.75">
      <c r="A5" s="97" t="str">
        <f>CONCATENATE("From the County Clerks ",E1," Budget Information:")</f>
        <v>From the County Clerks 2015 Budget Information:</v>
      </c>
      <c r="B5" s="99"/>
      <c r="C5" s="68"/>
      <c r="D5" s="60"/>
      <c r="E5" s="118"/>
    </row>
    <row r="6" spans="1:5" ht="15.75">
      <c r="A6" s="119" t="str">
        <f>CONCATENATE("Total Assessed Valuation for ",E1-1,"")</f>
        <v>Total Assessed Valuation for 2014</v>
      </c>
      <c r="B6" s="105"/>
      <c r="C6" s="105"/>
      <c r="D6" s="105"/>
      <c r="E6" s="85">
        <v>53126451</v>
      </c>
    </row>
    <row r="7" spans="1:5" ht="15.75">
      <c r="A7" s="119" t="str">
        <f>CONCATENATE("New Improvements for ",E1-1,"")</f>
        <v>New Improvements for 2014</v>
      </c>
      <c r="B7" s="105"/>
      <c r="C7" s="105"/>
      <c r="D7" s="105"/>
      <c r="E7" s="120">
        <v>521580</v>
      </c>
    </row>
    <row r="8" spans="1:5" ht="15.75">
      <c r="A8" s="119" t="str">
        <f>CONCATENATE("Personal Property excluding oil, gas, and mobile homes- ",E1-1,"")</f>
        <v>Personal Property excluding oil, gas, and mobile homes- 2014</v>
      </c>
      <c r="B8" s="105"/>
      <c r="C8" s="105"/>
      <c r="D8" s="105"/>
      <c r="E8" s="120">
        <v>1309590</v>
      </c>
    </row>
    <row r="9" spans="1:5" ht="15.75">
      <c r="A9" s="119" t="str">
        <f>CONCATENATE("Property that has changed in use for ",E1-1,"")</f>
        <v>Property that has changed in use for 2014</v>
      </c>
      <c r="B9" s="105"/>
      <c r="C9" s="105"/>
      <c r="D9" s="105"/>
      <c r="E9" s="120">
        <v>85630</v>
      </c>
    </row>
    <row r="10" spans="1:5" ht="15.75">
      <c r="A10" s="119" t="str">
        <f>CONCATENATE("Personal Property excluding oil, gas, and mobile homes- ",E1-2,"")</f>
        <v>Personal Property excluding oil, gas, and mobile homes- 2013</v>
      </c>
      <c r="B10" s="105"/>
      <c r="C10" s="105"/>
      <c r="D10" s="105"/>
      <c r="E10" s="120">
        <v>1988367</v>
      </c>
    </row>
    <row r="11" spans="1:5" ht="15.75">
      <c r="A11" s="119" t="str">
        <f>CONCATENATE("Gross earnings (intangible) tax esitmate for ",E1,"")</f>
        <v>Gross earnings (intangible) tax esitmate for 2015</v>
      </c>
      <c r="B11" s="105"/>
      <c r="C11" s="105"/>
      <c r="D11" s="105"/>
      <c r="E11" s="85"/>
    </row>
    <row r="12" spans="1:5" ht="15.75">
      <c r="A12" s="121" t="s">
        <v>294</v>
      </c>
      <c r="B12" s="105"/>
      <c r="C12" s="105"/>
      <c r="D12" s="88"/>
      <c r="E12" s="85">
        <v>1211004</v>
      </c>
    </row>
    <row r="13" spans="1:5" ht="15.75">
      <c r="A13" s="60"/>
      <c r="B13" s="60"/>
      <c r="C13" s="60"/>
      <c r="D13" s="74"/>
      <c r="E13" s="74"/>
    </row>
    <row r="14" spans="1:5" ht="15.75">
      <c r="A14" s="97" t="str">
        <f>CONCATENATE("From the County Treasurer's ",E1," Budget Information:")</f>
        <v>From the County Treasurer's 2015 Budget Information:</v>
      </c>
      <c r="B14" s="99"/>
      <c r="C14" s="99"/>
      <c r="D14" s="118"/>
      <c r="E14" s="118"/>
    </row>
    <row r="15" spans="1:5" ht="15.75">
      <c r="A15" s="86" t="s">
        <v>124</v>
      </c>
      <c r="B15" s="87"/>
      <c r="C15" s="87"/>
      <c r="D15" s="122"/>
      <c r="E15" s="85">
        <f>134014+216456+44610+1476+1554+4114+11902+2229+6260+3348</f>
        <v>425963</v>
      </c>
    </row>
    <row r="16" spans="1:5" ht="15.75">
      <c r="A16" s="119" t="s">
        <v>125</v>
      </c>
      <c r="B16" s="105"/>
      <c r="C16" s="105"/>
      <c r="D16" s="123"/>
      <c r="E16" s="85">
        <f>2661+4298+886+29+31+82+236+44+124+66</f>
        <v>8457</v>
      </c>
    </row>
    <row r="17" spans="1:5" ht="15.75">
      <c r="A17" s="119" t="s">
        <v>232</v>
      </c>
      <c r="B17" s="105"/>
      <c r="C17" s="105"/>
      <c r="D17" s="123"/>
      <c r="E17" s="85">
        <f>33884+26184+2236+295+786+8231+404+279+611+2589</f>
        <v>75499</v>
      </c>
    </row>
    <row r="18" spans="1:5" ht="15.75">
      <c r="A18" s="119" t="s">
        <v>295</v>
      </c>
      <c r="B18" s="105"/>
      <c r="C18" s="105"/>
      <c r="D18" s="124"/>
      <c r="E18" s="85"/>
    </row>
    <row r="19" spans="1:5" ht="15.75">
      <c r="A19" s="119" t="s">
        <v>296</v>
      </c>
      <c r="B19" s="105"/>
      <c r="C19" s="105"/>
      <c r="D19" s="124"/>
      <c r="E19" s="85"/>
    </row>
    <row r="20" spans="1:5" ht="15.75">
      <c r="A20" s="60"/>
      <c r="B20" s="60"/>
      <c r="C20" s="60"/>
      <c r="D20" s="60"/>
      <c r="E20" s="60"/>
    </row>
    <row r="21" spans="1:5" ht="15.75">
      <c r="A21" s="125" t="s">
        <v>297</v>
      </c>
      <c r="B21" s="60"/>
      <c r="C21" s="60"/>
      <c r="D21" s="60"/>
      <c r="E21" s="60"/>
    </row>
    <row r="22" spans="1:5" ht="15.75">
      <c r="A22" s="626" t="str">
        <f>CONCATENATE("Actual Delinquency for ",E1-3," Tax - (rate .01213 = 1.213%, key in 1.2)")</f>
        <v>Actual Delinquency for 2012 Tax - (rate .01213 = 1.213%, key in 1.2)</v>
      </c>
      <c r="B22" s="87"/>
      <c r="C22" s="87"/>
      <c r="D22" s="92"/>
      <c r="E22" s="625">
        <v>0.001889</v>
      </c>
    </row>
    <row r="23" spans="1:5" ht="15.75">
      <c r="A23" s="628" t="s">
        <v>786</v>
      </c>
      <c r="B23" s="87"/>
      <c r="C23" s="87"/>
      <c r="D23" s="87"/>
      <c r="E23" s="627">
        <v>0.01</v>
      </c>
    </row>
    <row r="24" spans="1:5" ht="15.75">
      <c r="A24" s="57" t="s">
        <v>298</v>
      </c>
      <c r="B24" s="57"/>
      <c r="C24" s="57"/>
      <c r="D24" s="57"/>
      <c r="E24" s="57"/>
    </row>
    <row r="25" spans="1:5" ht="15.75">
      <c r="A25" s="126"/>
      <c r="B25" s="126"/>
      <c r="C25" s="126"/>
      <c r="D25" s="126"/>
      <c r="E25" s="126"/>
    </row>
    <row r="26" spans="1:5" ht="15.75">
      <c r="A26" s="750" t="str">
        <f>CONCATENATE("From the ",E1-2," Budget Certificate Page")</f>
        <v>From the 2013 Budget Certificate Page</v>
      </c>
      <c r="B26" s="751"/>
      <c r="C26" s="126"/>
      <c r="D26" s="126"/>
      <c r="E26" s="126"/>
    </row>
    <row r="27" spans="1:5" ht="15.75">
      <c r="A27" s="127"/>
      <c r="B27" s="752" t="str">
        <f>CONCATENATE("",E1-2,"                         Expenditure Amt Budget Authority")</f>
        <v>2013                         Expenditure Amt Budget Authority</v>
      </c>
      <c r="C27" s="755" t="str">
        <f>CONCATENATE("Note: If the ",E1-2," budget was amended, then the")</f>
        <v>Note: If the 2013 budget was amended, then the</v>
      </c>
      <c r="D27" s="756"/>
      <c r="E27" s="756"/>
    </row>
    <row r="28" spans="1:5" ht="15.75">
      <c r="A28" s="128" t="s">
        <v>64</v>
      </c>
      <c r="B28" s="753"/>
      <c r="C28" s="129" t="s">
        <v>65</v>
      </c>
      <c r="D28" s="130"/>
      <c r="E28" s="130"/>
    </row>
    <row r="29" spans="1:5" ht="15.75">
      <c r="A29" s="131"/>
      <c r="B29" s="754"/>
      <c r="C29" s="129" t="s">
        <v>66</v>
      </c>
      <c r="D29" s="130"/>
      <c r="E29" s="130"/>
    </row>
    <row r="30" spans="1:5" ht="15.75">
      <c r="A30" s="132" t="str">
        <f>inputPrYr!B16</f>
        <v>General</v>
      </c>
      <c r="B30" s="133">
        <v>3085383</v>
      </c>
      <c r="C30" s="129"/>
      <c r="D30" s="130"/>
      <c r="E30" s="130"/>
    </row>
    <row r="31" spans="1:5" ht="15.75">
      <c r="A31" s="132">
        <f>inputPrYr!B17</f>
        <v>0</v>
      </c>
      <c r="B31" s="78"/>
      <c r="C31" s="129"/>
      <c r="D31" s="130"/>
      <c r="E31" s="130"/>
    </row>
    <row r="32" spans="1:5" ht="15.75">
      <c r="A32" s="132" t="str">
        <f>inputPrYr!B18</f>
        <v>Road &amp; Bridge</v>
      </c>
      <c r="B32" s="78">
        <v>2439498</v>
      </c>
      <c r="C32" s="126"/>
      <c r="D32" s="126"/>
      <c r="E32" s="126"/>
    </row>
    <row r="33" spans="1:5" ht="15.75">
      <c r="A33" s="132" t="str">
        <f>inputPrYr!B19</f>
        <v>Noxious Weed</v>
      </c>
      <c r="B33" s="78">
        <v>190187</v>
      </c>
      <c r="C33" s="126"/>
      <c r="D33" s="126"/>
      <c r="E33" s="126"/>
    </row>
    <row r="34" spans="1:5" ht="15.75">
      <c r="A34" s="132" t="str">
        <f>inputPrYr!B20</f>
        <v>Mental Health</v>
      </c>
      <c r="B34" s="78">
        <v>16582</v>
      </c>
      <c r="C34" s="126"/>
      <c r="D34" s="126"/>
      <c r="E34" s="126"/>
    </row>
    <row r="35" spans="1:5" ht="15.75">
      <c r="A35" s="132" t="str">
        <f>inputPrYr!B21</f>
        <v>Public Health</v>
      </c>
      <c r="B35" s="78">
        <v>169017</v>
      </c>
      <c r="C35" s="126"/>
      <c r="D35" s="126"/>
      <c r="E35" s="126"/>
    </row>
    <row r="36" spans="1:5" ht="15.75">
      <c r="A36" s="132" t="str">
        <f>inputPrYr!B22</f>
        <v>Council on Aging</v>
      </c>
      <c r="B36" s="78">
        <v>36307</v>
      </c>
      <c r="C36" s="126"/>
      <c r="D36" s="126"/>
      <c r="E36" s="126"/>
    </row>
    <row r="37" spans="1:5" ht="15.75">
      <c r="A37" s="132" t="str">
        <f>inputPrYr!B23</f>
        <v>Library Service Contract</v>
      </c>
      <c r="B37" s="78">
        <v>17587</v>
      </c>
      <c r="C37" s="126"/>
      <c r="D37" s="126"/>
      <c r="E37" s="126"/>
    </row>
    <row r="38" spans="1:5" ht="15.75">
      <c r="A38" s="132" t="str">
        <f>inputPrYr!B24</f>
        <v>Hospital Maintenance</v>
      </c>
      <c r="B38" s="78">
        <v>990848</v>
      </c>
      <c r="C38" s="126"/>
      <c r="D38" s="126"/>
      <c r="E38" s="126"/>
    </row>
    <row r="39" spans="1:5" ht="15.75">
      <c r="A39" s="132" t="str">
        <f>inputPrYr!B25</f>
        <v>Mental Retardation</v>
      </c>
      <c r="B39" s="78">
        <v>46532</v>
      </c>
      <c r="C39" s="126"/>
      <c r="D39" s="126"/>
      <c r="E39" s="126"/>
    </row>
    <row r="40" spans="1:5" ht="15.75">
      <c r="A40" s="132" t="str">
        <f>inputPrYr!B26</f>
        <v>Pool Lease-Purchase</v>
      </c>
      <c r="B40" s="78">
        <v>138000</v>
      </c>
      <c r="C40" s="126"/>
      <c r="D40" s="126"/>
      <c r="E40" s="126"/>
    </row>
    <row r="41" spans="1:5" ht="15.75">
      <c r="A41" s="132">
        <f>inputPrYr!B27</f>
        <v>0</v>
      </c>
      <c r="B41" s="78"/>
      <c r="C41" s="126"/>
      <c r="D41" s="126"/>
      <c r="E41" s="126"/>
    </row>
    <row r="42" spans="1:5" ht="15.75">
      <c r="A42" s="132">
        <f>inputPrYr!B28</f>
        <v>0</v>
      </c>
      <c r="B42" s="78"/>
      <c r="C42" s="126"/>
      <c r="D42" s="126"/>
      <c r="E42" s="126"/>
    </row>
    <row r="43" spans="1:5" ht="15.75">
      <c r="A43" s="132">
        <f>inputPrYr!B29</f>
        <v>0</v>
      </c>
      <c r="B43" s="78"/>
      <c r="C43" s="126"/>
      <c r="D43" s="126"/>
      <c r="E43" s="126"/>
    </row>
    <row r="44" spans="1:5" ht="15.75">
      <c r="A44" s="132">
        <f>inputPrYr!B30</f>
        <v>0</v>
      </c>
      <c r="B44" s="78"/>
      <c r="C44" s="126"/>
      <c r="D44" s="126"/>
      <c r="E44" s="126"/>
    </row>
    <row r="45" spans="1:5" ht="15.75">
      <c r="A45" s="132">
        <f>inputPrYr!B31</f>
        <v>0</v>
      </c>
      <c r="B45" s="78"/>
      <c r="C45" s="126"/>
      <c r="D45" s="126"/>
      <c r="E45" s="126"/>
    </row>
    <row r="46" spans="1:5" ht="15.75">
      <c r="A46" s="132">
        <f>inputPrYr!B32</f>
        <v>0</v>
      </c>
      <c r="B46" s="78"/>
      <c r="C46" s="126"/>
      <c r="D46" s="126"/>
      <c r="E46" s="126"/>
    </row>
    <row r="47" spans="1:5" ht="15.75">
      <c r="A47" s="132">
        <f>inputPrYr!B33</f>
        <v>0</v>
      </c>
      <c r="B47" s="78"/>
      <c r="C47" s="126"/>
      <c r="D47" s="126"/>
      <c r="E47" s="126"/>
    </row>
    <row r="48" spans="1:5" ht="15.75">
      <c r="A48" s="132">
        <f>inputPrYr!B34</f>
        <v>0</v>
      </c>
      <c r="B48" s="78"/>
      <c r="C48" s="126"/>
      <c r="D48" s="126"/>
      <c r="E48" s="126"/>
    </row>
    <row r="49" spans="1:5" ht="15.75">
      <c r="A49" s="132">
        <f>inputPrYr!B35</f>
        <v>0</v>
      </c>
      <c r="B49" s="78"/>
      <c r="C49" s="126"/>
      <c r="D49" s="126"/>
      <c r="E49" s="126"/>
    </row>
    <row r="50" spans="1:5" ht="15.75">
      <c r="A50" s="132">
        <f>inputPrYr!B36</f>
        <v>0</v>
      </c>
      <c r="B50" s="78"/>
      <c r="C50" s="126"/>
      <c r="D50" s="126"/>
      <c r="E50" s="126"/>
    </row>
    <row r="51" spans="1:5" ht="15.75">
      <c r="A51" s="132">
        <f>inputPrYr!B37</f>
        <v>0</v>
      </c>
      <c r="B51" s="78"/>
      <c r="C51" s="126"/>
      <c r="D51" s="126"/>
      <c r="E51" s="126"/>
    </row>
    <row r="52" spans="1:5" ht="15.75">
      <c r="A52" s="132">
        <f>inputPrYr!B38</f>
        <v>0</v>
      </c>
      <c r="B52" s="78"/>
      <c r="C52" s="126"/>
      <c r="D52" s="126"/>
      <c r="E52" s="126"/>
    </row>
    <row r="53" spans="1:5" ht="15.75">
      <c r="A53" s="132">
        <f>inputPrYr!B39</f>
        <v>0</v>
      </c>
      <c r="B53" s="78"/>
      <c r="C53" s="126"/>
      <c r="D53" s="126"/>
      <c r="E53" s="126"/>
    </row>
    <row r="54" spans="1:5" ht="15.75">
      <c r="A54" s="132">
        <f>inputPrYr!B40</f>
        <v>0</v>
      </c>
      <c r="B54" s="78"/>
      <c r="C54" s="126"/>
      <c r="D54" s="126"/>
      <c r="E54" s="126"/>
    </row>
    <row r="55" spans="1:5" ht="15.75">
      <c r="A55" s="132" t="str">
        <f>inputPrYr!B43</f>
        <v>Noxious Weed Capital Outlay</v>
      </c>
      <c r="B55" s="78">
        <v>75231</v>
      </c>
      <c r="C55" s="126"/>
      <c r="D55" s="126"/>
      <c r="E55" s="126"/>
    </row>
    <row r="56" spans="1:5" ht="15.75">
      <c r="A56" s="132" t="str">
        <f>inputPrYr!B44</f>
        <v>911 Emergency Tax</v>
      </c>
      <c r="B56" s="78">
        <v>39779</v>
      </c>
      <c r="C56" s="126"/>
      <c r="D56" s="126"/>
      <c r="E56" s="126"/>
    </row>
    <row r="57" spans="1:5" ht="15.75">
      <c r="A57" s="132" t="str">
        <f>inputPrYr!B45</f>
        <v>Parks &amp; Recreation</v>
      </c>
      <c r="B57" s="78">
        <v>2632</v>
      </c>
      <c r="C57" s="126"/>
      <c r="D57" s="126"/>
      <c r="E57" s="126"/>
    </row>
    <row r="58" spans="1:5" ht="15.75">
      <c r="A58" s="132" t="str">
        <f>inputPrYr!B46</f>
        <v>Solid Waste Disposal</v>
      </c>
      <c r="B58" s="78">
        <v>152045</v>
      </c>
      <c r="C58" s="126"/>
      <c r="D58" s="126"/>
      <c r="E58" s="126"/>
    </row>
    <row r="59" spans="1:5" ht="15.75">
      <c r="A59" s="132" t="str">
        <f>inputPrYr!B47</f>
        <v>Alcohol Program</v>
      </c>
      <c r="B59" s="78">
        <v>36611</v>
      </c>
      <c r="C59" s="126"/>
      <c r="D59" s="126"/>
      <c r="E59" s="126"/>
    </row>
    <row r="60" spans="1:5" ht="15.75">
      <c r="A60" s="132" t="str">
        <f>inputPrYr!B48</f>
        <v>Special Ambulance</v>
      </c>
      <c r="B60" s="78">
        <v>280094</v>
      </c>
      <c r="C60" s="126"/>
      <c r="D60" s="126"/>
      <c r="E60" s="126"/>
    </row>
    <row r="61" spans="1:5" ht="15.75">
      <c r="A61" s="132" t="str">
        <f>inputPrYr!B49</f>
        <v>911 Wireless</v>
      </c>
      <c r="B61" s="78">
        <v>91357</v>
      </c>
      <c r="C61" s="126"/>
      <c r="D61" s="126"/>
      <c r="E61" s="126"/>
    </row>
    <row r="62" spans="1:5" ht="15.75">
      <c r="A62" s="132">
        <f>inputPrYr!B50</f>
        <v>0</v>
      </c>
      <c r="B62" s="78"/>
      <c r="C62" s="126"/>
      <c r="D62" s="126"/>
      <c r="E62" s="126"/>
    </row>
    <row r="63" spans="1:5" ht="15.75">
      <c r="A63" s="132">
        <f>inputPrYr!B51</f>
        <v>0</v>
      </c>
      <c r="B63" s="78"/>
      <c r="C63" s="126"/>
      <c r="D63" s="126"/>
      <c r="E63" s="126"/>
    </row>
    <row r="64" spans="1:5" ht="15.75">
      <c r="A64" s="132">
        <f>inputPrYr!B52</f>
        <v>0</v>
      </c>
      <c r="B64" s="78"/>
      <c r="C64" s="126"/>
      <c r="D64" s="126"/>
      <c r="E64" s="126"/>
    </row>
    <row r="65" spans="1:5" ht="15.75">
      <c r="A65" s="132">
        <f>inputPrYr!B53</f>
        <v>0</v>
      </c>
      <c r="B65" s="78"/>
      <c r="C65" s="126"/>
      <c r="D65" s="126"/>
      <c r="E65" s="126"/>
    </row>
    <row r="66" spans="1:5" ht="15.75">
      <c r="A66" s="132">
        <f>inputPrYr!B54</f>
        <v>0</v>
      </c>
      <c r="B66" s="78"/>
      <c r="C66" s="126"/>
      <c r="D66" s="126"/>
      <c r="E66" s="126"/>
    </row>
    <row r="67" spans="1:5" ht="15.75">
      <c r="A67" s="132">
        <f>inputPrYr!B55</f>
        <v>0</v>
      </c>
      <c r="B67" s="78"/>
      <c r="C67" s="126"/>
      <c r="D67" s="126"/>
      <c r="E67" s="126"/>
    </row>
    <row r="68" spans="1:5" ht="15.75">
      <c r="A68" s="132">
        <f>inputPrYr!B56</f>
        <v>0</v>
      </c>
      <c r="B68" s="78"/>
      <c r="C68" s="126"/>
      <c r="D68" s="126"/>
      <c r="E68" s="126"/>
    </row>
    <row r="69" spans="1:5" ht="15.75">
      <c r="A69" s="132">
        <f>inputPrYr!B57</f>
        <v>0</v>
      </c>
      <c r="B69" s="78"/>
      <c r="C69" s="126"/>
      <c r="D69" s="126"/>
      <c r="E69" s="126"/>
    </row>
    <row r="70" spans="1:5" ht="15.75">
      <c r="A70" s="132">
        <f>inputPrYr!B58</f>
        <v>0</v>
      </c>
      <c r="B70" s="78"/>
      <c r="C70" s="126"/>
      <c r="D70" s="126"/>
      <c r="E70" s="126"/>
    </row>
  </sheetData>
  <sheetProtection sheet="1"/>
  <mergeCells count="4">
    <mergeCell ref="A3:E3"/>
    <mergeCell ref="A26:B26"/>
    <mergeCell ref="B27:B29"/>
    <mergeCell ref="C27:E27"/>
  </mergeCells>
  <printOptions/>
  <pageMargins left="0.75" right="0.75" top="1" bottom="1"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A1:J79"/>
  <sheetViews>
    <sheetView zoomScale="75" zoomScaleNormal="75" workbookViewId="0" topLeftCell="A1">
      <selection activeCell="G20" sqref="G20"/>
    </sheetView>
  </sheetViews>
  <sheetFormatPr defaultColWidth="8.796875" defaultRowHeight="15"/>
  <cols>
    <col min="1" max="1" width="19" style="2" customWidth="1"/>
    <col min="2" max="2" width="12.3984375" style="2" customWidth="1"/>
    <col min="3" max="3" width="9.796875" style="2" customWidth="1"/>
    <col min="4" max="4" width="12.8984375" style="2" customWidth="1"/>
    <col min="5" max="5" width="9.8984375" style="2" customWidth="1"/>
    <col min="6" max="6" width="15" style="2" customWidth="1"/>
    <col min="7" max="7" width="12.796875" style="2" customWidth="1"/>
    <col min="8" max="8" width="14.796875" style="2" customWidth="1"/>
    <col min="9" max="9" width="9.09765625" style="2" customWidth="1"/>
    <col min="10" max="16384" width="8.8984375" style="2" customWidth="1"/>
  </cols>
  <sheetData>
    <row r="1" spans="1:9" ht="15.75">
      <c r="A1" s="24" t="str">
        <f>inputPrYr!C2</f>
        <v>Sheridan County</v>
      </c>
      <c r="B1" s="11"/>
      <c r="C1" s="11"/>
      <c r="D1" s="11"/>
      <c r="E1" s="11"/>
      <c r="F1" s="11"/>
      <c r="G1" s="11"/>
      <c r="H1" s="11"/>
      <c r="I1" s="33">
        <f>inputPrYr!C4</f>
        <v>2015</v>
      </c>
    </row>
    <row r="2" spans="1:9" ht="15.75">
      <c r="A2" s="11"/>
      <c r="B2" s="11"/>
      <c r="C2" s="11"/>
      <c r="D2" s="11"/>
      <c r="E2" s="11"/>
      <c r="F2" s="11"/>
      <c r="G2" s="11"/>
      <c r="H2" s="11"/>
      <c r="I2" s="10"/>
    </row>
    <row r="3" spans="1:10" ht="15.75">
      <c r="A3" s="29" t="s">
        <v>223</v>
      </c>
      <c r="B3" s="14"/>
      <c r="C3" s="14"/>
      <c r="D3" s="14"/>
      <c r="E3" s="14"/>
      <c r="F3" s="14"/>
      <c r="G3" s="14"/>
      <c r="H3" s="14"/>
      <c r="I3" s="28"/>
      <c r="J3" s="3"/>
    </row>
    <row r="4" spans="1:9" ht="15.75">
      <c r="A4" s="11"/>
      <c r="B4" s="15"/>
      <c r="C4" s="15"/>
      <c r="D4" s="15"/>
      <c r="E4" s="15"/>
      <c r="F4" s="15"/>
      <c r="G4" s="15"/>
      <c r="H4" s="15"/>
      <c r="I4" s="15"/>
    </row>
    <row r="5" spans="1:9" ht="15.75">
      <c r="A5" s="11"/>
      <c r="B5" s="30" t="str">
        <f>CONCATENATE("Prior Year Actual for ",I1-2,"")</f>
        <v>Prior Year Actual for 2013</v>
      </c>
      <c r="C5" s="18"/>
      <c r="D5" s="31" t="str">
        <f>CONCATENATE("Current Year Estimate for ",I1-1,"")</f>
        <v>Current Year Estimate for 2014</v>
      </c>
      <c r="E5" s="18"/>
      <c r="F5" s="16" t="str">
        <f>CONCATENATE("Proposed Budget Year for ",I1,"")</f>
        <v>Proposed Budget Year for 2015</v>
      </c>
      <c r="G5" s="17"/>
      <c r="H5" s="17"/>
      <c r="I5" s="18"/>
    </row>
    <row r="6" spans="1:9" ht="21" customHeight="1">
      <c r="A6" s="12" t="s">
        <v>8</v>
      </c>
      <c r="B6" s="19"/>
      <c r="C6" s="19" t="s">
        <v>183</v>
      </c>
      <c r="D6" s="19"/>
      <c r="E6" s="19" t="s">
        <v>183</v>
      </c>
      <c r="F6" s="447" t="s">
        <v>626</v>
      </c>
      <c r="G6" s="778" t="str">
        <f>CONCATENATE("Amount of ",I1-1,"    Ad Valorem Tax")</f>
        <v>Amount of 2014    Ad Valorem Tax</v>
      </c>
      <c r="H6" s="778" t="str">
        <f>CONCATENATE("July 1, ",I1-1," Estimated Valuation")</f>
        <v>July 1, 2014 Estimated Valuation</v>
      </c>
      <c r="I6" s="19" t="s">
        <v>184</v>
      </c>
    </row>
    <row r="7" spans="1:9" ht="15.75">
      <c r="A7" s="20" t="s">
        <v>9</v>
      </c>
      <c r="B7" s="26" t="s">
        <v>132</v>
      </c>
      <c r="C7" s="26" t="s">
        <v>186</v>
      </c>
      <c r="D7" s="26" t="s">
        <v>132</v>
      </c>
      <c r="E7" s="26" t="s">
        <v>186</v>
      </c>
      <c r="F7" s="448" t="s">
        <v>627</v>
      </c>
      <c r="G7" s="779"/>
      <c r="H7" s="779"/>
      <c r="I7" s="26" t="s">
        <v>186</v>
      </c>
    </row>
    <row r="8" spans="1:9" ht="15.75">
      <c r="A8" s="6" t="s">
        <v>931</v>
      </c>
      <c r="B8" s="6">
        <v>209364</v>
      </c>
      <c r="C8" s="8">
        <v>5.196</v>
      </c>
      <c r="D8" s="6">
        <v>211046</v>
      </c>
      <c r="E8" s="8">
        <v>4.993</v>
      </c>
      <c r="F8" s="6">
        <v>405052</v>
      </c>
      <c r="G8" s="6">
        <v>206900</v>
      </c>
      <c r="H8" s="6">
        <v>45986501</v>
      </c>
      <c r="I8" s="36">
        <f aca="true" t="shared" si="0" ref="I8:I36">IF(H8&lt;&gt;0,ROUND(G8/H8*1000,3)," ")</f>
        <v>4.499</v>
      </c>
    </row>
    <row r="9" spans="1:9" ht="15.75">
      <c r="A9" s="6"/>
      <c r="B9" s="6"/>
      <c r="C9" s="8"/>
      <c r="D9" s="6"/>
      <c r="E9" s="8"/>
      <c r="F9" s="6"/>
      <c r="G9" s="6"/>
      <c r="H9" s="6"/>
      <c r="I9" s="36" t="str">
        <f t="shared" si="0"/>
        <v> </v>
      </c>
    </row>
    <row r="10" spans="1:9" ht="15.75">
      <c r="A10" s="6"/>
      <c r="B10" s="6"/>
      <c r="C10" s="8"/>
      <c r="D10" s="6"/>
      <c r="E10" s="8"/>
      <c r="F10" s="6"/>
      <c r="G10" s="6"/>
      <c r="H10" s="6"/>
      <c r="I10" s="36" t="str">
        <f t="shared" si="0"/>
        <v> </v>
      </c>
    </row>
    <row r="11" spans="1:9" ht="15.75">
      <c r="A11" s="6"/>
      <c r="B11" s="6"/>
      <c r="C11" s="8"/>
      <c r="D11" s="6"/>
      <c r="E11" s="8"/>
      <c r="F11" s="6"/>
      <c r="G11" s="6"/>
      <c r="H11" s="6"/>
      <c r="I11" s="36" t="str">
        <f t="shared" si="0"/>
        <v> </v>
      </c>
    </row>
    <row r="12" spans="1:9" ht="15.75">
      <c r="A12" s="6"/>
      <c r="B12" s="6"/>
      <c r="C12" s="8"/>
      <c r="D12" s="6"/>
      <c r="E12" s="8"/>
      <c r="F12" s="6"/>
      <c r="G12" s="6"/>
      <c r="H12" s="6"/>
      <c r="I12" s="36" t="str">
        <f t="shared" si="0"/>
        <v> </v>
      </c>
    </row>
    <row r="13" spans="1:9" ht="15.75">
      <c r="A13" s="6"/>
      <c r="B13" s="6"/>
      <c r="C13" s="8"/>
      <c r="D13" s="6"/>
      <c r="E13" s="8"/>
      <c r="F13" s="6"/>
      <c r="G13" s="6"/>
      <c r="H13" s="6"/>
      <c r="I13" s="36" t="str">
        <f t="shared" si="0"/>
        <v> </v>
      </c>
    </row>
    <row r="14" spans="1:9" ht="15.75">
      <c r="A14" s="6"/>
      <c r="B14" s="6"/>
      <c r="C14" s="8"/>
      <c r="D14" s="6"/>
      <c r="E14" s="8"/>
      <c r="F14" s="6"/>
      <c r="G14" s="6"/>
      <c r="H14" s="6"/>
      <c r="I14" s="36" t="str">
        <f t="shared" si="0"/>
        <v> </v>
      </c>
    </row>
    <row r="15" spans="1:9" ht="15.75">
      <c r="A15" s="6"/>
      <c r="B15" s="6"/>
      <c r="C15" s="8"/>
      <c r="D15" s="6"/>
      <c r="E15" s="8"/>
      <c r="F15" s="6"/>
      <c r="G15" s="6"/>
      <c r="H15" s="6"/>
      <c r="I15" s="36" t="str">
        <f t="shared" si="0"/>
        <v> </v>
      </c>
    </row>
    <row r="16" spans="1:9" ht="15.75">
      <c r="A16" s="6"/>
      <c r="B16" s="6"/>
      <c r="C16" s="8"/>
      <c r="D16" s="6"/>
      <c r="E16" s="8"/>
      <c r="F16" s="6"/>
      <c r="G16" s="6"/>
      <c r="H16" s="6"/>
      <c r="I16" s="36" t="str">
        <f t="shared" si="0"/>
        <v> </v>
      </c>
    </row>
    <row r="17" spans="1:9" ht="15.75">
      <c r="A17" s="6"/>
      <c r="B17" s="6"/>
      <c r="C17" s="8"/>
      <c r="D17" s="6"/>
      <c r="E17" s="8"/>
      <c r="F17" s="6"/>
      <c r="G17" s="6"/>
      <c r="H17" s="6"/>
      <c r="I17" s="36" t="str">
        <f t="shared" si="0"/>
        <v> </v>
      </c>
    </row>
    <row r="18" spans="1:9" ht="15.75">
      <c r="A18" s="6"/>
      <c r="B18" s="6"/>
      <c r="C18" s="8"/>
      <c r="D18" s="6"/>
      <c r="E18" s="8"/>
      <c r="F18" s="6"/>
      <c r="G18" s="6"/>
      <c r="H18" s="6"/>
      <c r="I18" s="36" t="str">
        <f t="shared" si="0"/>
        <v> </v>
      </c>
    </row>
    <row r="19" spans="1:9" ht="15.75">
      <c r="A19" s="6"/>
      <c r="B19" s="6"/>
      <c r="C19" s="8"/>
      <c r="D19" s="6"/>
      <c r="E19" s="8"/>
      <c r="F19" s="6"/>
      <c r="G19" s="6"/>
      <c r="H19" s="6"/>
      <c r="I19" s="36" t="str">
        <f t="shared" si="0"/>
        <v> </v>
      </c>
    </row>
    <row r="20" spans="1:9" ht="15.75">
      <c r="A20" s="6"/>
      <c r="B20" s="6"/>
      <c r="C20" s="8"/>
      <c r="D20" s="6"/>
      <c r="E20" s="8"/>
      <c r="F20" s="6"/>
      <c r="G20" s="6"/>
      <c r="H20" s="6"/>
      <c r="I20" s="36" t="str">
        <f t="shared" si="0"/>
        <v> </v>
      </c>
    </row>
    <row r="21" spans="1:9" ht="15.75">
      <c r="A21" s="6"/>
      <c r="B21" s="6"/>
      <c r="C21" s="8"/>
      <c r="D21" s="6"/>
      <c r="E21" s="8"/>
      <c r="F21" s="6"/>
      <c r="G21" s="6"/>
      <c r="H21" s="6"/>
      <c r="I21" s="36" t="str">
        <f t="shared" si="0"/>
        <v> </v>
      </c>
    </row>
    <row r="22" spans="1:9" ht="15.75">
      <c r="A22" s="6"/>
      <c r="B22" s="6"/>
      <c r="C22" s="8"/>
      <c r="D22" s="6"/>
      <c r="E22" s="8"/>
      <c r="F22" s="6"/>
      <c r="G22" s="6"/>
      <c r="H22" s="6"/>
      <c r="I22" s="36" t="str">
        <f t="shared" si="0"/>
        <v> </v>
      </c>
    </row>
    <row r="23" spans="1:9" ht="15.75">
      <c r="A23" s="6"/>
      <c r="B23" s="6"/>
      <c r="C23" s="8"/>
      <c r="D23" s="6"/>
      <c r="E23" s="8"/>
      <c r="F23" s="6"/>
      <c r="G23" s="6"/>
      <c r="H23" s="6"/>
      <c r="I23" s="36" t="str">
        <f t="shared" si="0"/>
        <v> </v>
      </c>
    </row>
    <row r="24" spans="1:9" ht="15.75">
      <c r="A24" s="6"/>
      <c r="B24" s="6"/>
      <c r="C24" s="8"/>
      <c r="D24" s="6"/>
      <c r="E24" s="8"/>
      <c r="F24" s="6"/>
      <c r="G24" s="6"/>
      <c r="H24" s="6"/>
      <c r="I24" s="36" t="str">
        <f t="shared" si="0"/>
        <v> </v>
      </c>
    </row>
    <row r="25" spans="1:9" ht="15.75">
      <c r="A25" s="6"/>
      <c r="B25" s="6"/>
      <c r="C25" s="8"/>
      <c r="D25" s="6"/>
      <c r="E25" s="8"/>
      <c r="F25" s="6"/>
      <c r="G25" s="6"/>
      <c r="H25" s="6"/>
      <c r="I25" s="36" t="str">
        <f t="shared" si="0"/>
        <v> </v>
      </c>
    </row>
    <row r="26" spans="1:9" ht="15.75">
      <c r="A26" s="6"/>
      <c r="B26" s="6"/>
      <c r="C26" s="8"/>
      <c r="D26" s="6"/>
      <c r="E26" s="8"/>
      <c r="F26" s="6"/>
      <c r="G26" s="6"/>
      <c r="H26" s="6"/>
      <c r="I26" s="36" t="str">
        <f t="shared" si="0"/>
        <v> </v>
      </c>
    </row>
    <row r="27" spans="1:9" ht="15.75">
      <c r="A27" s="6"/>
      <c r="B27" s="6"/>
      <c r="C27" s="8"/>
      <c r="D27" s="6"/>
      <c r="E27" s="8"/>
      <c r="F27" s="6"/>
      <c r="G27" s="6"/>
      <c r="H27" s="6"/>
      <c r="I27" s="36" t="str">
        <f t="shared" si="0"/>
        <v> </v>
      </c>
    </row>
    <row r="28" spans="1:9" ht="15.75">
      <c r="A28" s="6"/>
      <c r="B28" s="6"/>
      <c r="C28" s="8"/>
      <c r="D28" s="6"/>
      <c r="E28" s="8"/>
      <c r="F28" s="6"/>
      <c r="G28" s="6"/>
      <c r="H28" s="6"/>
      <c r="I28" s="36" t="str">
        <f t="shared" si="0"/>
        <v> </v>
      </c>
    </row>
    <row r="29" spans="1:9" ht="15.75">
      <c r="A29" s="6"/>
      <c r="B29" s="6"/>
      <c r="C29" s="8"/>
      <c r="D29" s="6"/>
      <c r="E29" s="8"/>
      <c r="F29" s="6"/>
      <c r="G29" s="6"/>
      <c r="H29" s="6"/>
      <c r="I29" s="36" t="str">
        <f t="shared" si="0"/>
        <v> </v>
      </c>
    </row>
    <row r="30" spans="1:9" ht="15.75">
      <c r="A30" s="6"/>
      <c r="B30" s="6"/>
      <c r="C30" s="8"/>
      <c r="D30" s="6"/>
      <c r="E30" s="8"/>
      <c r="F30" s="6"/>
      <c r="G30" s="6"/>
      <c r="H30" s="6"/>
      <c r="I30" s="36" t="str">
        <f t="shared" si="0"/>
        <v> </v>
      </c>
    </row>
    <row r="31" spans="1:9" ht="15.75">
      <c r="A31" s="6"/>
      <c r="B31" s="6"/>
      <c r="C31" s="8"/>
      <c r="D31" s="6"/>
      <c r="E31" s="8"/>
      <c r="F31" s="6"/>
      <c r="G31" s="6"/>
      <c r="H31" s="6"/>
      <c r="I31" s="36" t="str">
        <f t="shared" si="0"/>
        <v> </v>
      </c>
    </row>
    <row r="32" spans="1:9" ht="15.75">
      <c r="A32" s="6"/>
      <c r="B32" s="6"/>
      <c r="C32" s="8"/>
      <c r="D32" s="6"/>
      <c r="E32" s="8"/>
      <c r="F32" s="6"/>
      <c r="G32" s="6"/>
      <c r="H32" s="6"/>
      <c r="I32" s="36" t="str">
        <f t="shared" si="0"/>
        <v> </v>
      </c>
    </row>
    <row r="33" spans="1:9" ht="15.75">
      <c r="A33" s="6"/>
      <c r="B33" s="6"/>
      <c r="C33" s="8"/>
      <c r="D33" s="6"/>
      <c r="E33" s="8"/>
      <c r="F33" s="6"/>
      <c r="G33" s="6"/>
      <c r="H33" s="6"/>
      <c r="I33" s="36" t="str">
        <f t="shared" si="0"/>
        <v> </v>
      </c>
    </row>
    <row r="34" spans="1:9" ht="15.75">
      <c r="A34" s="6"/>
      <c r="B34" s="6"/>
      <c r="C34" s="8"/>
      <c r="D34" s="6"/>
      <c r="E34" s="8"/>
      <c r="F34" s="6"/>
      <c r="G34" s="6"/>
      <c r="H34" s="6"/>
      <c r="I34" s="36" t="str">
        <f t="shared" si="0"/>
        <v> </v>
      </c>
    </row>
    <row r="35" spans="1:9" ht="15.75">
      <c r="A35" s="6"/>
      <c r="B35" s="6"/>
      <c r="C35" s="8"/>
      <c r="D35" s="6"/>
      <c r="E35" s="8"/>
      <c r="F35" s="6"/>
      <c r="G35" s="6"/>
      <c r="H35" s="6"/>
      <c r="I35" s="36" t="str">
        <f t="shared" si="0"/>
        <v> </v>
      </c>
    </row>
    <row r="36" spans="1:9" ht="15.75">
      <c r="A36" s="6"/>
      <c r="B36" s="6"/>
      <c r="C36" s="8"/>
      <c r="D36" s="6"/>
      <c r="E36" s="8"/>
      <c r="F36" s="6"/>
      <c r="G36" s="6"/>
      <c r="H36" s="6"/>
      <c r="I36" s="36" t="str">
        <f t="shared" si="0"/>
        <v> </v>
      </c>
    </row>
    <row r="37" spans="1:9" ht="15.75">
      <c r="A37" s="21" t="s">
        <v>150</v>
      </c>
      <c r="B37" s="22">
        <f>SUM(B8:B36)</f>
        <v>209364</v>
      </c>
      <c r="C37" s="32">
        <f>SUM(C8:C24)</f>
        <v>5.196</v>
      </c>
      <c r="D37" s="22">
        <f>SUM(D8:D36)</f>
        <v>211046</v>
      </c>
      <c r="E37" s="32">
        <f>SUM(E8:E24)</f>
        <v>4.993</v>
      </c>
      <c r="F37" s="22">
        <f>SUM(F8:F36)</f>
        <v>405052</v>
      </c>
      <c r="G37" s="22">
        <f>SUM(G8:G36)</f>
        <v>206900</v>
      </c>
      <c r="H37" s="22"/>
      <c r="I37" s="32">
        <f>SUM(I8:I24)</f>
        <v>4.499</v>
      </c>
    </row>
    <row r="38" spans="1:9" ht="15.75">
      <c r="A38" s="11"/>
      <c r="B38" s="11"/>
      <c r="C38" s="11"/>
      <c r="D38" s="11"/>
      <c r="E38" s="11"/>
      <c r="F38" s="11"/>
      <c r="G38" s="11"/>
      <c r="H38" s="11"/>
      <c r="I38" s="11"/>
    </row>
    <row r="39" spans="1:9" ht="15.75">
      <c r="A39" s="12" t="s">
        <v>196</v>
      </c>
      <c r="B39" s="11"/>
      <c r="C39" s="11"/>
      <c r="D39" s="11"/>
      <c r="E39" s="11"/>
      <c r="F39" s="11"/>
      <c r="G39" s="11"/>
      <c r="H39" s="11"/>
      <c r="I39" s="11"/>
    </row>
    <row r="40" spans="1:9" ht="15.75">
      <c r="A40" s="11"/>
      <c r="B40" s="11"/>
      <c r="C40" s="11"/>
      <c r="D40" s="11"/>
      <c r="E40" s="11"/>
      <c r="F40" s="11"/>
      <c r="G40" s="11"/>
      <c r="H40" s="11"/>
      <c r="I40" s="11"/>
    </row>
    <row r="41" spans="1:9" ht="15.75">
      <c r="A41" s="23"/>
      <c r="B41" s="11"/>
      <c r="C41" s="11"/>
      <c r="D41" s="11"/>
      <c r="E41" s="11"/>
      <c r="F41" s="11"/>
      <c r="G41" s="11"/>
      <c r="H41" s="11"/>
      <c r="I41" s="11"/>
    </row>
    <row r="42" spans="1:9" ht="15.75">
      <c r="A42" s="13" t="s">
        <v>197</v>
      </c>
      <c r="B42" s="11"/>
      <c r="C42" s="11"/>
      <c r="D42" s="11"/>
      <c r="F42" s="11"/>
      <c r="G42" s="11"/>
      <c r="H42" s="11"/>
      <c r="I42" s="11"/>
    </row>
    <row r="44" spans="1:9" ht="15.75">
      <c r="A44" s="1"/>
      <c r="B44" s="1"/>
      <c r="C44" s="1"/>
      <c r="D44" s="1"/>
      <c r="E44" s="1"/>
      <c r="F44" s="1"/>
      <c r="G44" s="1"/>
      <c r="H44" s="1"/>
      <c r="I44" s="1"/>
    </row>
    <row r="45" spans="1:9" ht="15.75">
      <c r="A45" s="4"/>
      <c r="B45" s="1"/>
      <c r="C45" s="1"/>
      <c r="D45" s="1"/>
      <c r="E45" s="1"/>
      <c r="F45" s="1"/>
      <c r="G45" s="1"/>
      <c r="H45" s="1"/>
      <c r="I45" s="1"/>
    </row>
    <row r="46" spans="1:9" ht="15.75">
      <c r="A46" s="4"/>
      <c r="B46" s="5"/>
      <c r="C46" s="1"/>
      <c r="D46" s="5"/>
      <c r="E46" s="1"/>
      <c r="F46" s="5"/>
      <c r="G46" s="1"/>
      <c r="H46" s="1"/>
      <c r="I46" s="1"/>
    </row>
    <row r="47" spans="1:9" ht="15.75">
      <c r="A47" s="4"/>
      <c r="B47" s="4"/>
      <c r="C47" s="1"/>
      <c r="D47" s="4"/>
      <c r="E47" s="1"/>
      <c r="F47" s="4"/>
      <c r="G47" s="1"/>
      <c r="H47" s="1"/>
      <c r="I47" s="1"/>
    </row>
    <row r="48" spans="1:9" ht="15.75">
      <c r="A48" s="4"/>
      <c r="B48" s="4"/>
      <c r="C48" s="1"/>
      <c r="D48" s="4"/>
      <c r="E48" s="1"/>
      <c r="F48" s="4"/>
      <c r="G48" s="1"/>
      <c r="H48" s="1"/>
      <c r="I48" s="1"/>
    </row>
    <row r="49" spans="1:9" ht="15.75">
      <c r="A49" s="4"/>
      <c r="B49" s="4"/>
      <c r="C49" s="1"/>
      <c r="D49" s="4"/>
      <c r="E49" s="1"/>
      <c r="F49" s="4"/>
      <c r="G49" s="1"/>
      <c r="H49" s="1"/>
      <c r="I49" s="1"/>
    </row>
    <row r="50" spans="1:9" ht="15.75">
      <c r="A50" s="4"/>
      <c r="B50" s="4"/>
      <c r="C50" s="1"/>
      <c r="D50" s="4"/>
      <c r="E50" s="1"/>
      <c r="F50" s="4"/>
      <c r="G50" s="1"/>
      <c r="H50" s="1"/>
      <c r="I50" s="1"/>
    </row>
    <row r="51" spans="1:9" ht="15.75">
      <c r="A51" s="4"/>
      <c r="B51" s="4"/>
      <c r="C51" s="1"/>
      <c r="D51" s="4"/>
      <c r="E51" s="1"/>
      <c r="F51" s="4"/>
      <c r="G51" s="1"/>
      <c r="H51" s="1"/>
      <c r="I51" s="1"/>
    </row>
    <row r="52" spans="1:9" ht="15.75">
      <c r="A52" s="4"/>
      <c r="B52" s="4"/>
      <c r="C52" s="1"/>
      <c r="D52" s="4"/>
      <c r="E52" s="1"/>
      <c r="F52" s="4"/>
      <c r="G52" s="1"/>
      <c r="H52" s="1"/>
      <c r="I52" s="1"/>
    </row>
    <row r="53" spans="1:9" ht="15.75">
      <c r="A53" s="4"/>
      <c r="B53" s="4"/>
      <c r="C53" s="1"/>
      <c r="D53" s="4"/>
      <c r="E53" s="1"/>
      <c r="F53" s="4"/>
      <c r="G53" s="1"/>
      <c r="H53" s="1"/>
      <c r="I53" s="1"/>
    </row>
    <row r="54" spans="1:9" ht="15.75">
      <c r="A54" s="4"/>
      <c r="B54" s="4"/>
      <c r="C54" s="1"/>
      <c r="D54" s="4"/>
      <c r="E54" s="1"/>
      <c r="F54" s="4"/>
      <c r="G54" s="1"/>
      <c r="H54" s="1"/>
      <c r="I54" s="1"/>
    </row>
    <row r="55" spans="1:9" ht="15.75">
      <c r="A55" s="4"/>
      <c r="B55" s="4"/>
      <c r="C55" s="1"/>
      <c r="D55" s="4"/>
      <c r="E55" s="1"/>
      <c r="F55" s="4"/>
      <c r="G55" s="1"/>
      <c r="H55" s="1"/>
      <c r="I55" s="1"/>
    </row>
    <row r="56" spans="1:9" ht="15.75">
      <c r="A56" s="4"/>
      <c r="B56" s="4"/>
      <c r="C56" s="1"/>
      <c r="D56" s="4"/>
      <c r="E56" s="1"/>
      <c r="F56" s="4"/>
      <c r="G56" s="1"/>
      <c r="H56" s="1"/>
      <c r="I56" s="1"/>
    </row>
    <row r="57" spans="1:9" ht="15.75">
      <c r="A57" s="4"/>
      <c r="B57" s="4"/>
      <c r="C57" s="1"/>
      <c r="D57" s="4"/>
      <c r="E57" s="1"/>
      <c r="F57" s="4"/>
      <c r="G57" s="1"/>
      <c r="H57" s="1"/>
      <c r="I57" s="1"/>
    </row>
    <row r="58" spans="2:9" ht="15.75">
      <c r="B58" s="1"/>
      <c r="C58" s="1"/>
      <c r="D58" s="1"/>
      <c r="E58" s="1"/>
      <c r="F58" s="1"/>
      <c r="G58" s="1"/>
      <c r="H58" s="1"/>
      <c r="I58" s="1"/>
    </row>
    <row r="59" spans="2:9" ht="15.75">
      <c r="B59" s="1"/>
      <c r="C59" s="1"/>
      <c r="D59" s="1"/>
      <c r="E59" s="1"/>
      <c r="F59" s="1"/>
      <c r="G59" s="1"/>
      <c r="H59" s="1"/>
      <c r="I59" s="1"/>
    </row>
    <row r="60" spans="2:9" ht="15.75">
      <c r="B60" s="733"/>
      <c r="C60" s="734"/>
      <c r="D60" s="1"/>
      <c r="E60" s="1"/>
      <c r="F60" s="1"/>
      <c r="G60" s="1"/>
      <c r="H60" s="1"/>
      <c r="I60" s="1"/>
    </row>
    <row r="61" spans="2:9" ht="15.75">
      <c r="B61" s="735"/>
      <c r="C61" s="734"/>
      <c r="D61" s="1"/>
      <c r="E61" s="1"/>
      <c r="F61" s="1"/>
      <c r="G61" s="1"/>
      <c r="H61" s="1"/>
      <c r="I61" s="1"/>
    </row>
    <row r="62" spans="1:9" ht="15.75">
      <c r="A62" s="1"/>
      <c r="B62" s="734"/>
      <c r="C62" s="734"/>
      <c r="D62" s="1"/>
      <c r="E62" s="1"/>
      <c r="F62" s="1"/>
      <c r="G62" s="1"/>
      <c r="H62" s="1"/>
      <c r="I62" s="1"/>
    </row>
    <row r="63" spans="1:9" ht="15.75">
      <c r="A63" s="1"/>
      <c r="B63" s="734"/>
      <c r="C63" s="734"/>
      <c r="D63" s="1"/>
      <c r="E63" s="1"/>
      <c r="F63" s="1"/>
      <c r="G63" s="1"/>
      <c r="H63" s="1"/>
      <c r="I63" s="1"/>
    </row>
    <row r="64" spans="1:9" ht="15.75">
      <c r="A64" s="1"/>
      <c r="B64" s="734"/>
      <c r="C64" s="734"/>
      <c r="D64" s="1"/>
      <c r="E64" s="1"/>
      <c r="F64" s="1"/>
      <c r="G64" s="1"/>
      <c r="H64" s="1"/>
      <c r="I64" s="1"/>
    </row>
    <row r="65" spans="1:9" ht="15.75">
      <c r="A65" s="1"/>
      <c r="B65" s="734"/>
      <c r="C65" s="734"/>
      <c r="D65" s="1"/>
      <c r="E65" s="1"/>
      <c r="F65" s="1"/>
      <c r="G65" s="1"/>
      <c r="H65" s="1"/>
      <c r="I65" s="1"/>
    </row>
    <row r="66" spans="1:9" ht="15.75">
      <c r="A66" s="1"/>
      <c r="B66" s="734"/>
      <c r="C66" s="734"/>
      <c r="D66" s="1"/>
      <c r="E66" s="1"/>
      <c r="F66" s="1"/>
      <c r="G66" s="1"/>
      <c r="H66" s="1"/>
      <c r="I66" s="1"/>
    </row>
    <row r="67" spans="1:9" ht="15.75">
      <c r="A67" s="1"/>
      <c r="B67" s="734"/>
      <c r="C67" s="734"/>
      <c r="D67" s="1"/>
      <c r="E67" s="1"/>
      <c r="F67" s="1"/>
      <c r="G67" s="1"/>
      <c r="H67" s="1"/>
      <c r="I67" s="1"/>
    </row>
    <row r="68" spans="1:9" ht="15.75">
      <c r="A68" s="1"/>
      <c r="B68" s="734"/>
      <c r="C68" s="734"/>
      <c r="D68" s="1"/>
      <c r="E68" s="1"/>
      <c r="F68" s="1"/>
      <c r="G68" s="1"/>
      <c r="H68" s="1"/>
      <c r="I68" s="1"/>
    </row>
    <row r="69" spans="1:9" ht="15.75">
      <c r="A69" s="1"/>
      <c r="B69" s="734"/>
      <c r="C69" s="734"/>
      <c r="D69" s="1"/>
      <c r="E69" s="1"/>
      <c r="F69" s="1"/>
      <c r="G69" s="1"/>
      <c r="H69" s="1"/>
      <c r="I69" s="1"/>
    </row>
    <row r="70" spans="1:9" ht="15.75">
      <c r="A70" s="1"/>
      <c r="B70" s="734"/>
      <c r="C70" s="734"/>
      <c r="D70" s="1"/>
      <c r="E70" s="1"/>
      <c r="F70" s="1"/>
      <c r="G70" s="1"/>
      <c r="H70" s="1"/>
      <c r="I70" s="1"/>
    </row>
    <row r="71" spans="1:9" ht="15.75">
      <c r="A71" s="1"/>
      <c r="B71" s="734"/>
      <c r="C71" s="734"/>
      <c r="D71" s="1"/>
      <c r="E71" s="1"/>
      <c r="F71" s="1"/>
      <c r="G71" s="1"/>
      <c r="H71" s="1"/>
      <c r="I71" s="1"/>
    </row>
    <row r="72" spans="1:9" ht="15.75">
      <c r="A72" s="1"/>
      <c r="B72" s="734"/>
      <c r="C72" s="734"/>
      <c r="D72" s="1"/>
      <c r="E72" s="1"/>
      <c r="F72" s="1"/>
      <c r="G72" s="1"/>
      <c r="H72" s="1"/>
      <c r="I72" s="1"/>
    </row>
    <row r="73" spans="1:9" ht="15.75">
      <c r="A73" s="1"/>
      <c r="B73" s="734"/>
      <c r="C73" s="734"/>
      <c r="D73" s="1"/>
      <c r="E73" s="1"/>
      <c r="F73" s="1"/>
      <c r="G73" s="1"/>
      <c r="H73" s="1"/>
      <c r="I73" s="1"/>
    </row>
    <row r="74" spans="1:9" ht="15.75">
      <c r="A74" s="1"/>
      <c r="B74" s="734"/>
      <c r="C74" s="734"/>
      <c r="D74" s="1"/>
      <c r="E74" s="1"/>
      <c r="F74" s="1"/>
      <c r="G74" s="1"/>
      <c r="H74" s="1"/>
      <c r="I74" s="1"/>
    </row>
    <row r="75" spans="1:9" ht="15.75">
      <c r="A75" s="1"/>
      <c r="B75" s="734"/>
      <c r="C75" s="734"/>
      <c r="D75" s="1"/>
      <c r="E75" s="1"/>
      <c r="F75" s="1"/>
      <c r="G75" s="1"/>
      <c r="H75" s="1"/>
      <c r="I75" s="1"/>
    </row>
    <row r="76" spans="1:9" ht="15.75">
      <c r="A76" s="1"/>
      <c r="B76" s="734"/>
      <c r="C76" s="734"/>
      <c r="D76" s="1"/>
      <c r="E76" s="1"/>
      <c r="F76" s="1"/>
      <c r="G76" s="1"/>
      <c r="H76" s="1"/>
      <c r="I76" s="1"/>
    </row>
    <row r="77" spans="1:9" ht="15.75">
      <c r="A77" s="1"/>
      <c r="B77" s="734"/>
      <c r="C77" s="736"/>
      <c r="D77" s="1"/>
      <c r="E77" s="7" t="s">
        <v>1063</v>
      </c>
      <c r="F77" s="1"/>
      <c r="G77" s="1"/>
      <c r="H77" s="1"/>
      <c r="I77" s="1"/>
    </row>
    <row r="78" spans="2:3" ht="15.75">
      <c r="B78" s="737"/>
      <c r="C78" s="737"/>
    </row>
    <row r="79" spans="2:3" ht="15.75">
      <c r="B79" s="737"/>
      <c r="C79" s="737"/>
    </row>
  </sheetData>
  <sheetProtection/>
  <mergeCells count="2">
    <mergeCell ref="G6:G7"/>
    <mergeCell ref="H6:H7"/>
  </mergeCells>
  <printOptions/>
  <pageMargins left="0.54" right="0.38" top="0.74" bottom="0.34" header="0.5" footer="0"/>
  <pageSetup blackAndWhite="1" horizontalDpi="120" verticalDpi="120" orientation="portrait" scale="64" r:id="rId1"/>
  <headerFooter alignWithMargins="0">
    <oddHeader>&amp;RState of Kansas
County
</oddHeader>
  </headerFooter>
</worksheet>
</file>

<file path=xl/worksheets/sheet31.xml><?xml version="1.0" encoding="utf-8"?>
<worksheet xmlns="http://schemas.openxmlformats.org/spreadsheetml/2006/main" xmlns:r="http://schemas.openxmlformats.org/officeDocument/2006/relationships">
  <sheetPr>
    <pageSetUpPr fitToPage="1"/>
  </sheetPr>
  <dimension ref="A1:F51"/>
  <sheetViews>
    <sheetView zoomScalePageLayoutView="0" workbookViewId="0" topLeftCell="A7">
      <selection activeCell="C16" sqref="C16"/>
    </sheetView>
  </sheetViews>
  <sheetFormatPr defaultColWidth="8.796875" defaultRowHeight="15"/>
  <cols>
    <col min="1" max="1" width="9.19921875" style="137" customWidth="1"/>
    <col min="2" max="2" width="18.59765625" style="137" customWidth="1"/>
    <col min="3" max="3" width="11.796875" style="137" customWidth="1"/>
    <col min="4" max="4" width="12.796875" style="137" customWidth="1"/>
    <col min="5" max="5" width="11.796875" style="137" customWidth="1"/>
    <col min="6" max="16384" width="8.8984375" style="137" customWidth="1"/>
  </cols>
  <sheetData>
    <row r="1" spans="1:6" ht="15.75">
      <c r="A1" s="198" t="str">
        <f>inputPrYr!C2</f>
        <v>Sheridan County</v>
      </c>
      <c r="B1" s="60"/>
      <c r="C1" s="60"/>
      <c r="D1" s="60"/>
      <c r="E1" s="60"/>
      <c r="F1" s="290">
        <f>inputPrYr!C4</f>
        <v>2015</v>
      </c>
    </row>
    <row r="2" spans="1:6" ht="15.75">
      <c r="A2" s="60"/>
      <c r="B2" s="60"/>
      <c r="C2" s="60"/>
      <c r="D2" s="60"/>
      <c r="E2" s="60"/>
      <c r="F2" s="60"/>
    </row>
    <row r="3" spans="1:6" ht="15.75">
      <c r="A3" s="60"/>
      <c r="B3" s="775" t="str">
        <f>CONCATENATE("",F1," Neighborhood Revitalization Rebate")</f>
        <v>2015 Neighborhood Revitalization Rebate</v>
      </c>
      <c r="C3" s="820"/>
      <c r="D3" s="820"/>
      <c r="E3" s="820"/>
      <c r="F3" s="60"/>
    </row>
    <row r="4" spans="1:6" ht="15.75">
      <c r="A4" s="60"/>
      <c r="B4" s="60"/>
      <c r="C4" s="60"/>
      <c r="D4" s="60"/>
      <c r="E4" s="60"/>
      <c r="F4" s="60"/>
    </row>
    <row r="5" spans="1:6" ht="51" customHeight="1">
      <c r="A5" s="60"/>
      <c r="B5" s="347" t="str">
        <f>CONCATENATE("Budgeted Funds                       for ",F1,"")</f>
        <v>Budgeted Funds                       for 2015</v>
      </c>
      <c r="C5" s="347" t="str">
        <f>CONCATENATE("",F1-1," Ad Valorem before Rebate**")</f>
        <v>2014 Ad Valorem before Rebate**</v>
      </c>
      <c r="D5" s="348" t="str">
        <f>CONCATENATE("",F1-1," Mil Rate before Rebate")</f>
        <v>2014 Mil Rate before Rebate</v>
      </c>
      <c r="E5" s="349" t="str">
        <f>CONCATENATE("Estimate ",F1," NR Rebate")</f>
        <v>Estimate 2015 NR Rebate</v>
      </c>
      <c r="F5" s="110"/>
    </row>
    <row r="6" spans="1:6" ht="15.75">
      <c r="A6" s="60"/>
      <c r="B6" s="76" t="str">
        <f>inputPrYr!B16</f>
        <v>General</v>
      </c>
      <c r="C6" s="350">
        <v>1907047</v>
      </c>
      <c r="D6" s="351">
        <f aca="true" t="shared" si="0" ref="D6:D29">IF(C6&gt;0,C6/$D$35,"")</f>
        <v>35.896374858542686</v>
      </c>
      <c r="E6" s="244">
        <f aca="true" t="shared" si="1" ref="E6:E29">IF(C6&gt;0,ROUND(D6*$D$39,0),"")</f>
        <v>43471</v>
      </c>
      <c r="F6" s="110"/>
    </row>
    <row r="7" spans="1:6" ht="15.75">
      <c r="A7" s="60"/>
      <c r="B7" s="76" t="str">
        <f>inputPrYr!B18</f>
        <v>Road &amp; Bridge</v>
      </c>
      <c r="C7" s="350">
        <v>1254328</v>
      </c>
      <c r="D7" s="351">
        <f t="shared" si="0"/>
        <v>23.610235135036593</v>
      </c>
      <c r="E7" s="244">
        <f t="shared" si="1"/>
        <v>28592</v>
      </c>
      <c r="F7" s="110"/>
    </row>
    <row r="8" spans="1:6" ht="15.75">
      <c r="A8" s="60"/>
      <c r="B8" s="76" t="str">
        <f>inputPrYr!B19</f>
        <v>Noxious Weed</v>
      </c>
      <c r="C8" s="350">
        <v>129373</v>
      </c>
      <c r="D8" s="351">
        <f t="shared" si="0"/>
        <v>2.4351899583881482</v>
      </c>
      <c r="E8" s="244">
        <f t="shared" si="1"/>
        <v>2949</v>
      </c>
      <c r="F8" s="110"/>
    </row>
    <row r="9" spans="1:6" ht="15.75">
      <c r="A9" s="60"/>
      <c r="B9" s="76" t="str">
        <f>inputPrYr!B20</f>
        <v>Mental Health</v>
      </c>
      <c r="C9" s="350">
        <v>15996</v>
      </c>
      <c r="D9" s="351">
        <f t="shared" si="0"/>
        <v>0.3010929527364815</v>
      </c>
      <c r="E9" s="244">
        <f t="shared" si="1"/>
        <v>365</v>
      </c>
      <c r="F9" s="110"/>
    </row>
    <row r="10" spans="1:6" ht="15.75">
      <c r="A10" s="60"/>
      <c r="B10" s="76" t="str">
        <f>inputPrYr!B21</f>
        <v>Public Health</v>
      </c>
      <c r="C10" s="350">
        <v>26560</v>
      </c>
      <c r="D10" s="351">
        <f t="shared" si="0"/>
        <v>0.4999392863641503</v>
      </c>
      <c r="E10" s="244">
        <f t="shared" si="1"/>
        <v>605</v>
      </c>
      <c r="F10" s="110"/>
    </row>
    <row r="11" spans="1:6" ht="15.75">
      <c r="A11" s="60"/>
      <c r="B11" s="76" t="str">
        <f>inputPrYr!B22</f>
        <v>Council on Aging</v>
      </c>
      <c r="C11" s="352">
        <v>39845</v>
      </c>
      <c r="D11" s="351">
        <f t="shared" si="0"/>
        <v>0.7500030446227247</v>
      </c>
      <c r="E11" s="244">
        <f t="shared" si="1"/>
        <v>908</v>
      </c>
      <c r="F11" s="110"/>
    </row>
    <row r="12" spans="1:6" ht="15.75">
      <c r="A12" s="60"/>
      <c r="B12" s="76" t="str">
        <f>inputPrYr!B23</f>
        <v>Library Service Contract</v>
      </c>
      <c r="C12" s="352">
        <v>15118</v>
      </c>
      <c r="D12" s="351">
        <f t="shared" si="0"/>
        <v>0.28456634530320873</v>
      </c>
      <c r="E12" s="244">
        <f t="shared" si="1"/>
        <v>345</v>
      </c>
      <c r="F12" s="110"/>
    </row>
    <row r="13" spans="1:6" ht="15.75">
      <c r="A13" s="60"/>
      <c r="B13" s="76" t="str">
        <f>inputPrYr!B24</f>
        <v>Hospital Maintenance</v>
      </c>
      <c r="C13" s="352">
        <v>531265</v>
      </c>
      <c r="D13" s="351">
        <f t="shared" si="0"/>
        <v>10.000009223277496</v>
      </c>
      <c r="E13" s="244">
        <f t="shared" si="1"/>
        <v>12110</v>
      </c>
      <c r="F13" s="110"/>
    </row>
    <row r="14" spans="1:6" ht="15.75">
      <c r="A14" s="60"/>
      <c r="B14" s="76" t="str">
        <f>inputPrYr!B25</f>
        <v>Mental Retardation</v>
      </c>
      <c r="C14" s="352">
        <v>42564</v>
      </c>
      <c r="D14" s="351">
        <f t="shared" si="0"/>
        <v>0.8011828232230306</v>
      </c>
      <c r="E14" s="244">
        <f t="shared" si="1"/>
        <v>970</v>
      </c>
      <c r="F14" s="110"/>
    </row>
    <row r="15" spans="1:6" ht="15.75">
      <c r="A15" s="60"/>
      <c r="B15" s="76" t="str">
        <f>inputPrYr!B26</f>
        <v>Pool Lease-Purchase</v>
      </c>
      <c r="C15" s="352">
        <v>67104</v>
      </c>
      <c r="D15" s="351">
        <f t="shared" si="0"/>
        <v>1.2630996186814738</v>
      </c>
      <c r="E15" s="244">
        <f t="shared" si="1"/>
        <v>1530</v>
      </c>
      <c r="F15" s="110"/>
    </row>
    <row r="16" spans="1:6" ht="15.75">
      <c r="A16" s="60"/>
      <c r="B16" s="76">
        <f>inputPrYr!B27</f>
        <v>0</v>
      </c>
      <c r="C16" s="352"/>
      <c r="D16" s="351">
        <f t="shared" si="0"/>
      </c>
      <c r="E16" s="244">
        <f t="shared" si="1"/>
      </c>
      <c r="F16" s="110"/>
    </row>
    <row r="17" spans="1:6" ht="15.75">
      <c r="A17" s="60"/>
      <c r="B17" s="76">
        <f>inputPrYr!B28</f>
        <v>0</v>
      </c>
      <c r="C17" s="352"/>
      <c r="D17" s="351">
        <f t="shared" si="0"/>
      </c>
      <c r="E17" s="244">
        <f t="shared" si="1"/>
      </c>
      <c r="F17" s="110"/>
    </row>
    <row r="18" spans="1:6" ht="15.75">
      <c r="A18" s="60"/>
      <c r="B18" s="76">
        <f>inputPrYr!B29</f>
        <v>0</v>
      </c>
      <c r="C18" s="352"/>
      <c r="D18" s="351">
        <f t="shared" si="0"/>
      </c>
      <c r="E18" s="244">
        <f t="shared" si="1"/>
      </c>
      <c r="F18" s="110"/>
    </row>
    <row r="19" spans="1:6" ht="15.75">
      <c r="A19" s="60"/>
      <c r="B19" s="76">
        <f>inputPrYr!B30</f>
        <v>0</v>
      </c>
      <c r="C19" s="352"/>
      <c r="D19" s="351">
        <f t="shared" si="0"/>
      </c>
      <c r="E19" s="244">
        <f t="shared" si="1"/>
      </c>
      <c r="F19" s="110"/>
    </row>
    <row r="20" spans="1:6" ht="15.75">
      <c r="A20" s="60"/>
      <c r="B20" s="76">
        <f>inputPrYr!B31</f>
        <v>0</v>
      </c>
      <c r="C20" s="352"/>
      <c r="D20" s="351">
        <f t="shared" si="0"/>
      </c>
      <c r="E20" s="244">
        <f t="shared" si="1"/>
      </c>
      <c r="F20" s="110"/>
    </row>
    <row r="21" spans="1:6" ht="15.75">
      <c r="A21" s="60"/>
      <c r="B21" s="76">
        <f>inputPrYr!B32</f>
        <v>0</v>
      </c>
      <c r="C21" s="352"/>
      <c r="D21" s="351">
        <f t="shared" si="0"/>
      </c>
      <c r="E21" s="244">
        <f t="shared" si="1"/>
      </c>
      <c r="F21" s="110"/>
    </row>
    <row r="22" spans="1:6" ht="15.75">
      <c r="A22" s="60"/>
      <c r="B22" s="76">
        <f>inputPrYr!B33</f>
        <v>0</v>
      </c>
      <c r="C22" s="352"/>
      <c r="D22" s="351">
        <f t="shared" si="0"/>
      </c>
      <c r="E22" s="244">
        <f t="shared" si="1"/>
      </c>
      <c r="F22" s="110"/>
    </row>
    <row r="23" spans="1:6" ht="15.75">
      <c r="A23" s="60"/>
      <c r="B23" s="76">
        <f>inputPrYr!B34</f>
        <v>0</v>
      </c>
      <c r="C23" s="352"/>
      <c r="D23" s="351">
        <f t="shared" si="0"/>
      </c>
      <c r="E23" s="244">
        <f t="shared" si="1"/>
      </c>
      <c r="F23" s="110"/>
    </row>
    <row r="24" spans="1:6" ht="15.75">
      <c r="A24" s="60"/>
      <c r="B24" s="76">
        <f>inputPrYr!B35</f>
        <v>0</v>
      </c>
      <c r="C24" s="352"/>
      <c r="D24" s="351">
        <f t="shared" si="0"/>
      </c>
      <c r="E24" s="244">
        <f t="shared" si="1"/>
      </c>
      <c r="F24" s="110"/>
    </row>
    <row r="25" spans="1:6" ht="15.75">
      <c r="A25" s="60"/>
      <c r="B25" s="76">
        <f>inputPrYr!B36</f>
        <v>0</v>
      </c>
      <c r="C25" s="352"/>
      <c r="D25" s="351">
        <f t="shared" si="0"/>
      </c>
      <c r="E25" s="244">
        <f t="shared" si="1"/>
      </c>
      <c r="F25" s="110"/>
    </row>
    <row r="26" spans="1:6" ht="15.75">
      <c r="A26" s="60"/>
      <c r="B26" s="76">
        <f>inputPrYr!B37</f>
        <v>0</v>
      </c>
      <c r="C26" s="352"/>
      <c r="D26" s="351">
        <f t="shared" si="0"/>
      </c>
      <c r="E26" s="244">
        <f t="shared" si="1"/>
      </c>
      <c r="F26" s="110"/>
    </row>
    <row r="27" spans="1:6" ht="15.75">
      <c r="A27" s="60"/>
      <c r="B27" s="76">
        <f>inputPrYr!B38</f>
        <v>0</v>
      </c>
      <c r="C27" s="352"/>
      <c r="D27" s="351">
        <f t="shared" si="0"/>
      </c>
      <c r="E27" s="244">
        <f t="shared" si="1"/>
      </c>
      <c r="F27" s="110"/>
    </row>
    <row r="28" spans="1:6" ht="15.75">
      <c r="A28" s="60"/>
      <c r="B28" s="76">
        <f>inputPrYr!B39</f>
        <v>0</v>
      </c>
      <c r="C28" s="352"/>
      <c r="D28" s="351">
        <f t="shared" si="0"/>
      </c>
      <c r="E28" s="244">
        <f t="shared" si="1"/>
      </c>
      <c r="F28" s="110"/>
    </row>
    <row r="29" spans="1:6" ht="15.75">
      <c r="A29" s="60"/>
      <c r="B29" s="76">
        <f>inputPrYr!B40</f>
        <v>0</v>
      </c>
      <c r="C29" s="352"/>
      <c r="D29" s="351">
        <f t="shared" si="0"/>
      </c>
      <c r="E29" s="244">
        <f t="shared" si="1"/>
      </c>
      <c r="F29" s="110"/>
    </row>
    <row r="30" spans="1:6" ht="16.5" thickBot="1">
      <c r="A30" s="60"/>
      <c r="B30" s="81" t="s">
        <v>145</v>
      </c>
      <c r="C30" s="353">
        <f>SUM(C6:C29)</f>
        <v>4029200</v>
      </c>
      <c r="D30" s="354">
        <f>SUM(D6:D29)</f>
        <v>75.841693246176</v>
      </c>
      <c r="E30" s="353">
        <f>SUM(E6:E29)</f>
        <v>91845</v>
      </c>
      <c r="F30" s="110"/>
    </row>
    <row r="31" spans="1:6" ht="16.5" thickTop="1">
      <c r="A31" s="60"/>
      <c r="B31" s="60"/>
      <c r="C31" s="60"/>
      <c r="D31" s="60"/>
      <c r="E31" s="60"/>
      <c r="F31" s="110"/>
    </row>
    <row r="32" spans="1:6" ht="15.75">
      <c r="A32" s="60"/>
      <c r="B32" s="60"/>
      <c r="C32" s="60"/>
      <c r="D32" s="60"/>
      <c r="E32" s="60"/>
      <c r="F32" s="110"/>
    </row>
    <row r="33" spans="1:6" ht="15.75">
      <c r="A33" s="821" t="str">
        <f>CONCATENATE("",F1-1," July 1 Valuation:")</f>
        <v>2014 July 1 Valuation:</v>
      </c>
      <c r="B33" s="800"/>
      <c r="C33" s="821"/>
      <c r="D33" s="355">
        <f>inputOth!E6</f>
        <v>53126451</v>
      </c>
      <c r="E33" s="60"/>
      <c r="F33" s="110"/>
    </row>
    <row r="34" spans="1:6" ht="15.75">
      <c r="A34" s="60"/>
      <c r="B34" s="60"/>
      <c r="C34" s="60"/>
      <c r="D34" s="60"/>
      <c r="E34" s="60"/>
      <c r="F34" s="110"/>
    </row>
    <row r="35" spans="1:6" ht="15.75">
      <c r="A35" s="60"/>
      <c r="B35" s="821" t="s">
        <v>368</v>
      </c>
      <c r="C35" s="821"/>
      <c r="D35" s="356">
        <f>IF(D33&gt;0,(D33*0.001),"")</f>
        <v>53126.451</v>
      </c>
      <c r="E35" s="60"/>
      <c r="F35" s="110"/>
    </row>
    <row r="36" spans="1:6" ht="15.75">
      <c r="A36" s="60"/>
      <c r="B36" s="252"/>
      <c r="C36" s="252"/>
      <c r="D36" s="357"/>
      <c r="E36" s="60"/>
      <c r="F36" s="110"/>
    </row>
    <row r="37" spans="1:6" ht="15.75">
      <c r="A37" s="819" t="s">
        <v>369</v>
      </c>
      <c r="B37" s="768"/>
      <c r="C37" s="768"/>
      <c r="D37" s="358">
        <f>inputOth!E12</f>
        <v>1211004</v>
      </c>
      <c r="E37" s="126"/>
      <c r="F37" s="126"/>
    </row>
    <row r="38" spans="1:6" ht="15">
      <c r="A38" s="126"/>
      <c r="B38" s="126"/>
      <c r="C38" s="126"/>
      <c r="D38" s="359"/>
      <c r="E38" s="126"/>
      <c r="F38" s="126"/>
    </row>
    <row r="39" spans="1:6" ht="15.75">
      <c r="A39" s="126"/>
      <c r="B39" s="819" t="s">
        <v>370</v>
      </c>
      <c r="C39" s="800"/>
      <c r="D39" s="360">
        <f>IF(D37&gt;0,(D37*0.001),"")</f>
        <v>1211.0040000000001</v>
      </c>
      <c r="E39" s="126"/>
      <c r="F39" s="126"/>
    </row>
    <row r="40" spans="1:6" ht="15">
      <c r="A40" s="126"/>
      <c r="B40" s="126"/>
      <c r="C40" s="126"/>
      <c r="D40" s="126"/>
      <c r="E40" s="126"/>
      <c r="F40" s="126"/>
    </row>
    <row r="41" spans="1:6" ht="15">
      <c r="A41" s="126"/>
      <c r="B41" s="126"/>
      <c r="C41" s="126"/>
      <c r="D41" s="126"/>
      <c r="E41" s="126"/>
      <c r="F41" s="126"/>
    </row>
    <row r="42" spans="1:6" ht="15.75">
      <c r="A42" s="25" t="str">
        <f>CONCATENATE("**This information comes from the ",F1," Budget Summary page.  See instructions tab #11 for completing")</f>
        <v>**This information comes from the 2015 Budget Summary page.  See instructions tab #11 for completing</v>
      </c>
      <c r="B42" s="126"/>
      <c r="C42" s="126"/>
      <c r="D42" s="126"/>
      <c r="E42" s="126"/>
      <c r="F42" s="126"/>
    </row>
    <row r="43" spans="1:6" ht="15.75">
      <c r="A43" s="25" t="s">
        <v>609</v>
      </c>
      <c r="B43" s="126"/>
      <c r="C43" s="126"/>
      <c r="D43" s="126"/>
      <c r="E43" s="126"/>
      <c r="F43" s="126"/>
    </row>
    <row r="44" spans="1:6" ht="15.75">
      <c r="A44" s="25"/>
      <c r="B44" s="126"/>
      <c r="C44" s="126"/>
      <c r="D44" s="126"/>
      <c r="E44" s="126"/>
      <c r="F44" s="126"/>
    </row>
    <row r="45" spans="1:6" ht="15.75">
      <c r="A45" s="25"/>
      <c r="B45" s="126"/>
      <c r="C45" s="126"/>
      <c r="D45" s="126"/>
      <c r="E45" s="126"/>
      <c r="F45" s="126"/>
    </row>
    <row r="46" spans="1:6" ht="15.75">
      <c r="A46" s="25"/>
      <c r="B46" s="126"/>
      <c r="C46" s="126"/>
      <c r="D46" s="126"/>
      <c r="E46" s="126"/>
      <c r="F46" s="126"/>
    </row>
    <row r="47" spans="1:6" ht="15.75">
      <c r="A47" s="25"/>
      <c r="B47" s="126"/>
      <c r="C47" s="126"/>
      <c r="D47" s="126"/>
      <c r="E47" s="126"/>
      <c r="F47" s="126"/>
    </row>
    <row r="48" spans="1:6" ht="15">
      <c r="A48" s="126"/>
      <c r="B48" s="126"/>
      <c r="C48" s="126"/>
      <c r="D48" s="126"/>
      <c r="E48" s="126"/>
      <c r="F48" s="126"/>
    </row>
    <row r="49" spans="1:6" ht="15">
      <c r="A49" s="126"/>
      <c r="B49" s="126"/>
      <c r="C49" s="126"/>
      <c r="D49" s="126"/>
      <c r="E49" s="126"/>
      <c r="F49" s="126"/>
    </row>
    <row r="50" spans="1:6" ht="15.75">
      <c r="A50" s="126"/>
      <c r="B50" s="286"/>
      <c r="C50" s="720" t="s">
        <v>1082</v>
      </c>
      <c r="D50" s="126"/>
      <c r="E50" s="126"/>
      <c r="F50" s="126"/>
    </row>
    <row r="51" spans="1:6" ht="15.75">
      <c r="A51" s="110"/>
      <c r="B51" s="60"/>
      <c r="C51" s="60"/>
      <c r="D51" s="361"/>
      <c r="E51" s="110"/>
      <c r="F51" s="110"/>
    </row>
  </sheetData>
  <sheetProtection/>
  <mergeCells count="5">
    <mergeCell ref="B39:C39"/>
    <mergeCell ref="B3:E3"/>
    <mergeCell ref="A33:C33"/>
    <mergeCell ref="B35:C35"/>
    <mergeCell ref="A37:C37"/>
  </mergeCells>
  <printOptions/>
  <pageMargins left="0.75" right="0.75" top="1" bottom="1" header="0.5" footer="0.5"/>
  <pageSetup blackAndWhite="1" fitToHeight="1" fitToWidth="1" horizontalDpi="600" verticalDpi="600" orientation="portrait" scale="83" r:id="rId1"/>
  <headerFooter alignWithMargins="0">
    <oddHeader>&amp;RState of Kansas
County</oddHeader>
  </headerFooter>
</worksheet>
</file>

<file path=xl/worksheets/sheet32.xml><?xml version="1.0" encoding="utf-8"?>
<worksheet xmlns="http://schemas.openxmlformats.org/spreadsheetml/2006/main" xmlns:r="http://schemas.openxmlformats.org/officeDocument/2006/relationships">
  <dimension ref="C2:I7"/>
  <sheetViews>
    <sheetView zoomScalePageLayoutView="0" workbookViewId="0" topLeftCell="A1">
      <selection activeCell="U73" sqref="U73"/>
    </sheetView>
  </sheetViews>
  <sheetFormatPr defaultColWidth="8.796875" defaultRowHeight="15"/>
  <sheetData>
    <row r="2" spans="3:9" ht="15.75">
      <c r="C2" s="694"/>
      <c r="D2" s="694"/>
      <c r="E2" s="694"/>
      <c r="F2" s="694"/>
      <c r="G2" s="694"/>
      <c r="H2" s="694"/>
      <c r="I2" s="698">
        <f>inputPrYr!C4</f>
        <v>2015</v>
      </c>
    </row>
    <row r="3" spans="3:9" ht="15.75" thickBot="1">
      <c r="C3" s="694"/>
      <c r="D3" s="694"/>
      <c r="E3" s="694"/>
      <c r="F3" s="694"/>
      <c r="G3" s="694"/>
      <c r="H3" s="694"/>
      <c r="I3" s="694"/>
    </row>
    <row r="4" spans="3:9" ht="19.5" thickBot="1">
      <c r="C4" s="825" t="s">
        <v>865</v>
      </c>
      <c r="D4" s="826"/>
      <c r="E4" s="826"/>
      <c r="F4" s="826"/>
      <c r="G4" s="826"/>
      <c r="H4" s="826"/>
      <c r="I4" s="827"/>
    </row>
    <row r="5" spans="3:9" ht="16.5" thickBot="1">
      <c r="C5" s="695"/>
      <c r="D5" s="695"/>
      <c r="E5" s="696"/>
      <c r="F5" s="697"/>
      <c r="G5" s="695"/>
      <c r="H5" s="695"/>
      <c r="I5" s="695"/>
    </row>
    <row r="6" spans="3:9" ht="15.75">
      <c r="C6" s="828" t="str">
        <f>CONCATENATE("Notice of Vote - ",inputPrYr!C2)</f>
        <v>Notice of Vote - Sheridan County</v>
      </c>
      <c r="D6" s="829"/>
      <c r="E6" s="829"/>
      <c r="F6" s="829"/>
      <c r="G6" s="829"/>
      <c r="H6" s="829"/>
      <c r="I6" s="830"/>
    </row>
    <row r="7" spans="3:9" ht="60.75" customHeight="1" thickBot="1">
      <c r="C7" s="822"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23"/>
      <c r="E7" s="823"/>
      <c r="F7" s="823"/>
      <c r="G7" s="823"/>
      <c r="H7" s="823"/>
      <c r="I7" s="824"/>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C2:H12"/>
  <sheetViews>
    <sheetView zoomScalePageLayoutView="0" workbookViewId="0" topLeftCell="A1">
      <selection activeCell="U79" sqref="U79"/>
    </sheetView>
  </sheetViews>
  <sheetFormatPr defaultColWidth="8.796875" defaultRowHeight="15"/>
  <cols>
    <col min="5" max="5" width="12.19921875" style="0" customWidth="1"/>
    <col min="7" max="7" width="3.296875" style="0" customWidth="1"/>
  </cols>
  <sheetData>
    <row r="2" spans="3:8" ht="15.75">
      <c r="C2" s="694"/>
      <c r="D2" s="694"/>
      <c r="E2" s="694"/>
      <c r="F2" s="694"/>
      <c r="G2" s="694"/>
      <c r="H2" s="698">
        <f>inputPrYr!C4</f>
        <v>2015</v>
      </c>
    </row>
    <row r="3" spans="3:8" ht="15.75" thickBot="1">
      <c r="C3" s="694"/>
      <c r="D3" s="694"/>
      <c r="E3" s="694"/>
      <c r="F3" s="694"/>
      <c r="G3" s="694"/>
      <c r="H3" s="694"/>
    </row>
    <row r="4" spans="3:8" ht="19.5" thickBot="1">
      <c r="C4" s="831" t="s">
        <v>866</v>
      </c>
      <c r="D4" s="832"/>
      <c r="E4" s="832"/>
      <c r="F4" s="832"/>
      <c r="G4" s="832"/>
      <c r="H4" s="833"/>
    </row>
    <row r="5" spans="3:8" ht="16.5" thickBot="1">
      <c r="C5" s="700"/>
      <c r="D5" s="700"/>
      <c r="E5" s="700"/>
      <c r="F5" s="700"/>
      <c r="G5" s="700"/>
      <c r="H5" s="700"/>
    </row>
    <row r="6" spans="3:8" ht="15.75">
      <c r="C6" s="828" t="str">
        <f>CONCATENATE("Notice of Vote - ",inputPrYr!C2)</f>
        <v>Notice of Vote - Sheridan County</v>
      </c>
      <c r="D6" s="829"/>
      <c r="E6" s="829"/>
      <c r="F6" s="829"/>
      <c r="G6" s="829"/>
      <c r="H6" s="830"/>
    </row>
    <row r="7" spans="3:8" ht="15.75">
      <c r="C7" s="834" t="s">
        <v>867</v>
      </c>
      <c r="D7" s="835"/>
      <c r="E7" s="835"/>
      <c r="F7" s="835"/>
      <c r="G7" s="835"/>
      <c r="H7" s="836"/>
    </row>
    <row r="8" spans="3:8" ht="15.75">
      <c r="C8" s="834" t="s">
        <v>868</v>
      </c>
      <c r="D8" s="835"/>
      <c r="E8" s="835"/>
      <c r="F8" s="835"/>
      <c r="G8" s="835"/>
      <c r="H8" s="836"/>
    </row>
    <row r="9" spans="3:8" ht="15.75">
      <c r="C9" s="703" t="str">
        <f>CONCATENATE(H2-1," Budget")</f>
        <v>2014 Budget</v>
      </c>
      <c r="D9" s="705" t="s">
        <v>236</v>
      </c>
      <c r="E9" s="706">
        <f>inputPrYr!E41</f>
        <v>4538667</v>
      </c>
      <c r="F9" s="701"/>
      <c r="G9" s="701"/>
      <c r="H9" s="702"/>
    </row>
    <row r="10" spans="3:8" ht="15.75">
      <c r="C10" s="703" t="str">
        <f>CONCATENATE(H2," Budget")</f>
        <v>2015 Budget</v>
      </c>
      <c r="D10" s="705" t="s">
        <v>236</v>
      </c>
      <c r="E10" s="707">
        <f>cert!E44</f>
        <v>4121963.37</v>
      </c>
      <c r="F10" s="701"/>
      <c r="G10" s="701"/>
      <c r="H10" s="702"/>
    </row>
    <row r="11" spans="3:8" ht="15.75">
      <c r="C11" s="703"/>
      <c r="D11" s="701"/>
      <c r="E11" s="701" t="s">
        <v>869</v>
      </c>
      <c r="F11" s="708"/>
      <c r="G11" s="704" t="s">
        <v>870</v>
      </c>
      <c r="H11" s="709"/>
    </row>
    <row r="12" spans="3:8" ht="16.5" thickBot="1">
      <c r="C12" s="710"/>
      <c r="D12" s="711"/>
      <c r="E12" s="711"/>
      <c r="F12" s="711"/>
      <c r="G12" s="711"/>
      <c r="H12" s="712"/>
    </row>
  </sheetData>
  <sheetProtection sheet="1" objects="1" scenarios="1"/>
  <mergeCells count="4">
    <mergeCell ref="C4:H4"/>
    <mergeCell ref="C6:H6"/>
    <mergeCell ref="C7:H7"/>
    <mergeCell ref="C8:H8"/>
  </mergeCells>
  <printOptions/>
  <pageMargins left="0.7" right="0.7" top="0.75" bottom="0.75" header="0.3" footer="0.3"/>
  <pageSetup horizontalDpi="600" verticalDpi="600" orientation="landscape" r:id="rId1"/>
</worksheet>
</file>

<file path=xl/worksheets/sheet3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2" sqref="A2"/>
    </sheetView>
  </sheetViews>
  <sheetFormatPr defaultColWidth="8.796875" defaultRowHeight="15"/>
  <cols>
    <col min="1" max="1" width="71.296875" style="0" customWidth="1"/>
  </cols>
  <sheetData>
    <row r="3" spans="1:12" ht="15">
      <c r="A3" s="382" t="s">
        <v>385</v>
      </c>
      <c r="B3" s="382"/>
      <c r="C3" s="382"/>
      <c r="D3" s="382"/>
      <c r="E3" s="382"/>
      <c r="F3" s="382"/>
      <c r="G3" s="382"/>
      <c r="H3" s="382"/>
      <c r="I3" s="382"/>
      <c r="J3" s="382"/>
      <c r="K3" s="382"/>
      <c r="L3" s="382"/>
    </row>
    <row r="5" ht="15">
      <c r="A5" s="383" t="s">
        <v>386</v>
      </c>
    </row>
    <row r="6" ht="15">
      <c r="A6" s="383" t="str">
        <f>CONCATENATE(inputPrYr!C4-2," 'total expenditures' exceed your ",inputPrYr!C4-2," 'budget authority.'")</f>
        <v>2013 'total expenditures' exceed your 2013 'budget authority.'</v>
      </c>
    </row>
    <row r="7" ht="15">
      <c r="A7" s="383"/>
    </row>
    <row r="8" ht="15">
      <c r="A8" s="383" t="s">
        <v>387</v>
      </c>
    </row>
    <row r="9" ht="15">
      <c r="A9" s="383" t="s">
        <v>388</v>
      </c>
    </row>
    <row r="10" ht="15">
      <c r="A10" s="383" t="s">
        <v>389</v>
      </c>
    </row>
    <row r="11" ht="15">
      <c r="A11" s="383"/>
    </row>
    <row r="12" ht="15">
      <c r="A12" s="383"/>
    </row>
    <row r="13" ht="15">
      <c r="A13" s="384" t="s">
        <v>390</v>
      </c>
    </row>
    <row r="15" ht="15">
      <c r="A15" s="383" t="s">
        <v>391</v>
      </c>
    </row>
    <row r="16" ht="15">
      <c r="A16" s="383" t="str">
        <f>CONCATENATE("(i.e. an audit has not been completed, or the ",inputPrYr!C4," adopted")</f>
        <v>(i.e. an audit has not been completed, or the 2015 adopted</v>
      </c>
    </row>
    <row r="17" ht="15">
      <c r="A17" s="383" t="s">
        <v>392</v>
      </c>
    </row>
    <row r="18" ht="15">
      <c r="A18" s="383" t="s">
        <v>393</v>
      </c>
    </row>
    <row r="19" ht="15">
      <c r="A19" s="383" t="s">
        <v>394</v>
      </c>
    </row>
    <row r="21" ht="15">
      <c r="A21" s="384" t="s">
        <v>395</v>
      </c>
    </row>
    <row r="22" ht="15">
      <c r="A22" s="384"/>
    </row>
    <row r="23" ht="15">
      <c r="A23" s="383" t="s">
        <v>396</v>
      </c>
    </row>
    <row r="24" ht="15">
      <c r="A24" s="383" t="s">
        <v>397</v>
      </c>
    </row>
    <row r="25" ht="15">
      <c r="A25" s="383" t="str">
        <f>CONCATENATE("particular fund.  If your ",inputPrYr!C4-2," budget was amended, did you")</f>
        <v>particular fund.  If your 2013 budget was amended, did you</v>
      </c>
    </row>
    <row r="26" ht="15">
      <c r="A26" s="383" t="s">
        <v>398</v>
      </c>
    </row>
    <row r="27" ht="15">
      <c r="A27" s="383"/>
    </row>
    <row r="28" ht="15">
      <c r="A28" s="383" t="str">
        <f>CONCATENATE("Next, look to see if any of your ",inputPrYr!C4-2," expenditures can be")</f>
        <v>Next, look to see if any of your 2013 expenditures can be</v>
      </c>
    </row>
    <row r="29" ht="15">
      <c r="A29" s="383" t="s">
        <v>399</v>
      </c>
    </row>
    <row r="30" ht="15">
      <c r="A30" s="383" t="s">
        <v>400</v>
      </c>
    </row>
    <row r="31" ht="15">
      <c r="A31" s="383" t="s">
        <v>401</v>
      </c>
    </row>
    <row r="32" ht="15">
      <c r="A32" s="383"/>
    </row>
    <row r="33" ht="15">
      <c r="A33" s="383" t="str">
        <f>CONCATENATE("Additionally, do your ",inputPrYr!C4-2," receipts contain a reimbursement")</f>
        <v>Additionally, do your 2013 receipts contain a reimbursement</v>
      </c>
    </row>
    <row r="34" ht="15">
      <c r="A34" s="383" t="s">
        <v>402</v>
      </c>
    </row>
    <row r="35" ht="15">
      <c r="A35" s="383" t="s">
        <v>403</v>
      </c>
    </row>
    <row r="36" ht="15">
      <c r="A36" s="383"/>
    </row>
    <row r="37" ht="15">
      <c r="A37" s="383" t="s">
        <v>404</v>
      </c>
    </row>
    <row r="38" ht="15">
      <c r="A38" s="383" t="s">
        <v>405</v>
      </c>
    </row>
    <row r="39" ht="15">
      <c r="A39" s="383" t="s">
        <v>406</v>
      </c>
    </row>
    <row r="40" ht="15">
      <c r="A40" s="383" t="s">
        <v>407</v>
      </c>
    </row>
    <row r="41" ht="15">
      <c r="A41" s="383" t="s">
        <v>408</v>
      </c>
    </row>
    <row r="42" ht="15">
      <c r="A42" s="383" t="s">
        <v>409</v>
      </c>
    </row>
    <row r="43" ht="15">
      <c r="A43" s="383" t="s">
        <v>410</v>
      </c>
    </row>
    <row r="44" ht="15">
      <c r="A44" s="383" t="s">
        <v>411</v>
      </c>
    </row>
    <row r="45" ht="15">
      <c r="A45" s="383"/>
    </row>
    <row r="46" ht="15">
      <c r="A46" s="383" t="s">
        <v>412</v>
      </c>
    </row>
    <row r="47" ht="15">
      <c r="A47" s="383" t="s">
        <v>413</v>
      </c>
    </row>
    <row r="48" ht="15">
      <c r="A48" s="383" t="s">
        <v>414</v>
      </c>
    </row>
    <row r="49" ht="15">
      <c r="A49" s="383"/>
    </row>
    <row r="50" ht="15">
      <c r="A50" s="383" t="s">
        <v>415</v>
      </c>
    </row>
    <row r="51" ht="15">
      <c r="A51" s="383" t="s">
        <v>416</v>
      </c>
    </row>
    <row r="52" ht="15">
      <c r="A52" s="383" t="s">
        <v>417</v>
      </c>
    </row>
    <row r="53" ht="15">
      <c r="A53" s="383"/>
    </row>
    <row r="54" ht="15">
      <c r="A54" s="384" t="s">
        <v>418</v>
      </c>
    </row>
    <row r="55" ht="15">
      <c r="A55" s="383"/>
    </row>
    <row r="56" ht="15">
      <c r="A56" s="383" t="s">
        <v>419</v>
      </c>
    </row>
    <row r="57" ht="15">
      <c r="A57" s="383" t="s">
        <v>420</v>
      </c>
    </row>
    <row r="58" ht="15">
      <c r="A58" s="383" t="s">
        <v>421</v>
      </c>
    </row>
    <row r="59" ht="15">
      <c r="A59" s="383" t="s">
        <v>422</v>
      </c>
    </row>
    <row r="60" ht="15">
      <c r="A60" s="383" t="s">
        <v>423</v>
      </c>
    </row>
    <row r="61" ht="15">
      <c r="A61" s="383" t="s">
        <v>424</v>
      </c>
    </row>
    <row r="62" ht="15">
      <c r="A62" s="383" t="s">
        <v>425</v>
      </c>
    </row>
    <row r="63" ht="15">
      <c r="A63" s="383" t="s">
        <v>426</v>
      </c>
    </row>
    <row r="64" ht="15">
      <c r="A64" s="383" t="s">
        <v>427</v>
      </c>
    </row>
    <row r="65" ht="15">
      <c r="A65" s="383" t="s">
        <v>428</v>
      </c>
    </row>
    <row r="66" ht="15">
      <c r="A66" s="383" t="s">
        <v>429</v>
      </c>
    </row>
    <row r="67" ht="15">
      <c r="A67" s="383" t="s">
        <v>430</v>
      </c>
    </row>
    <row r="68" ht="15">
      <c r="A68" s="383" t="s">
        <v>431</v>
      </c>
    </row>
    <row r="69" ht="15">
      <c r="A69" s="383"/>
    </row>
    <row r="70" ht="15">
      <c r="A70" s="383" t="s">
        <v>432</v>
      </c>
    </row>
    <row r="71" ht="15">
      <c r="A71" s="383" t="s">
        <v>433</v>
      </c>
    </row>
    <row r="72" ht="15">
      <c r="A72" s="383" t="s">
        <v>434</v>
      </c>
    </row>
    <row r="73" ht="15">
      <c r="A73" s="383"/>
    </row>
    <row r="74" ht="15">
      <c r="A74" s="384" t="str">
        <f>CONCATENATE("What if the ",inputPrYr!C4-2," financial records have been closed?")</f>
        <v>What if the 2013 financial records have been closed?</v>
      </c>
    </row>
    <row r="76" ht="15">
      <c r="A76" s="383" t="s">
        <v>435</v>
      </c>
    </row>
    <row r="77" ht="15">
      <c r="A77" s="383" t="str">
        <f>CONCATENATE("(i.e. an audit for ",inputPrYr!C4-2," has been completed, or the ",inputPrYr!C4)</f>
        <v>(i.e. an audit for 2013 has been completed, or the 2015</v>
      </c>
    </row>
    <row r="78" ht="15">
      <c r="A78" s="383" t="s">
        <v>436</v>
      </c>
    </row>
    <row r="79" ht="15">
      <c r="A79" s="383" t="s">
        <v>437</v>
      </c>
    </row>
    <row r="80" ht="15">
      <c r="A80" s="383"/>
    </row>
    <row r="81" ht="15">
      <c r="A81" s="383" t="s">
        <v>438</v>
      </c>
    </row>
    <row r="82" ht="15">
      <c r="A82" s="383" t="s">
        <v>439</v>
      </c>
    </row>
    <row r="83" ht="15">
      <c r="A83" s="383" t="s">
        <v>440</v>
      </c>
    </row>
    <row r="84" ht="15">
      <c r="A84" s="383"/>
    </row>
    <row r="85" ht="15">
      <c r="A85" s="383" t="s">
        <v>441</v>
      </c>
    </row>
  </sheetData>
  <sheetProtection sheet="1"/>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2" sqref="A2"/>
    </sheetView>
  </sheetViews>
  <sheetFormatPr defaultColWidth="8.796875" defaultRowHeight="15"/>
  <cols>
    <col min="1" max="1" width="71.296875" style="0" customWidth="1"/>
  </cols>
  <sheetData>
    <row r="3" spans="1:10" ht="15">
      <c r="A3" s="382" t="s">
        <v>442</v>
      </c>
      <c r="B3" s="382"/>
      <c r="C3" s="382"/>
      <c r="D3" s="382"/>
      <c r="E3" s="382"/>
      <c r="F3" s="382"/>
      <c r="G3" s="382"/>
      <c r="H3" s="385"/>
      <c r="I3" s="385"/>
      <c r="J3" s="385"/>
    </row>
    <row r="5" ht="15">
      <c r="A5" s="383" t="s">
        <v>443</v>
      </c>
    </row>
    <row r="6" ht="15">
      <c r="A6" t="str">
        <f>CONCATENATE(inputPrYr!C4-2," expenditures show that you finished the year with a ")</f>
        <v>2013 expenditures show that you finished the year with a </v>
      </c>
    </row>
    <row r="7" ht="15">
      <c r="A7" t="s">
        <v>444</v>
      </c>
    </row>
    <row r="9" ht="15">
      <c r="A9" t="s">
        <v>445</v>
      </c>
    </row>
    <row r="10" ht="15">
      <c r="A10" t="s">
        <v>446</v>
      </c>
    </row>
    <row r="11" ht="15">
      <c r="A11" t="s">
        <v>447</v>
      </c>
    </row>
    <row r="13" ht="15">
      <c r="A13" s="384" t="s">
        <v>448</v>
      </c>
    </row>
    <row r="14" ht="15">
      <c r="A14" s="384"/>
    </row>
    <row r="15" ht="15">
      <c r="A15" s="383" t="s">
        <v>449</v>
      </c>
    </row>
    <row r="16" ht="15">
      <c r="A16" s="383" t="s">
        <v>450</v>
      </c>
    </row>
    <row r="17" ht="15">
      <c r="A17" s="383" t="s">
        <v>451</v>
      </c>
    </row>
    <row r="18" ht="15">
      <c r="A18" s="383"/>
    </row>
    <row r="19" ht="15">
      <c r="A19" s="384" t="s">
        <v>452</v>
      </c>
    </row>
    <row r="20" ht="15">
      <c r="A20" s="384"/>
    </row>
    <row r="21" ht="15">
      <c r="A21" s="383" t="s">
        <v>453</v>
      </c>
    </row>
    <row r="22" ht="15">
      <c r="A22" s="383" t="s">
        <v>454</v>
      </c>
    </row>
    <row r="23" ht="15">
      <c r="A23" s="383" t="s">
        <v>455</v>
      </c>
    </row>
    <row r="24" ht="15">
      <c r="A24" s="383"/>
    </row>
    <row r="25" ht="15">
      <c r="A25" s="384" t="s">
        <v>456</v>
      </c>
    </row>
    <row r="26" ht="15">
      <c r="A26" s="384"/>
    </row>
    <row r="27" ht="15">
      <c r="A27" s="383" t="s">
        <v>457</v>
      </c>
    </row>
    <row r="28" ht="15">
      <c r="A28" s="383" t="s">
        <v>458</v>
      </c>
    </row>
    <row r="29" ht="15">
      <c r="A29" s="383" t="s">
        <v>459</v>
      </c>
    </row>
    <row r="30" ht="15">
      <c r="A30" s="383"/>
    </row>
    <row r="31" ht="15">
      <c r="A31" s="384" t="s">
        <v>460</v>
      </c>
    </row>
    <row r="32" ht="15">
      <c r="A32" s="384"/>
    </row>
    <row r="33" spans="1:8" ht="15">
      <c r="A33" s="383" t="str">
        <f>CONCATENATE("If your financial records for ",inputPrYr!C4-2," are not closed")</f>
        <v>If your financial records for 2013 are not closed</v>
      </c>
      <c r="B33" s="383"/>
      <c r="C33" s="383"/>
      <c r="D33" s="383"/>
      <c r="E33" s="383"/>
      <c r="F33" s="383"/>
      <c r="G33" s="383"/>
      <c r="H33" s="383"/>
    </row>
    <row r="34" spans="1:8" ht="15">
      <c r="A34" s="383" t="str">
        <f>CONCATENATE("(i.e. an audit has not been completed, or the ",inputPrYr!C4," adopted ")</f>
        <v>(i.e. an audit has not been completed, or the 2015 adopted </v>
      </c>
      <c r="B34" s="383"/>
      <c r="C34" s="383"/>
      <c r="D34" s="383"/>
      <c r="E34" s="383"/>
      <c r="F34" s="383"/>
      <c r="G34" s="383"/>
      <c r="H34" s="383"/>
    </row>
    <row r="35" spans="1:8" ht="15">
      <c r="A35" s="383" t="s">
        <v>461</v>
      </c>
      <c r="B35" s="383"/>
      <c r="C35" s="383"/>
      <c r="D35" s="383"/>
      <c r="E35" s="383"/>
      <c r="F35" s="383"/>
      <c r="G35" s="383"/>
      <c r="H35" s="383"/>
    </row>
    <row r="36" spans="1:8" ht="15">
      <c r="A36" s="383" t="s">
        <v>462</v>
      </c>
      <c r="B36" s="383"/>
      <c r="C36" s="383"/>
      <c r="D36" s="383"/>
      <c r="E36" s="383"/>
      <c r="F36" s="383"/>
      <c r="G36" s="383"/>
      <c r="H36" s="383"/>
    </row>
    <row r="37" spans="1:8" ht="15">
      <c r="A37" s="383" t="s">
        <v>463</v>
      </c>
      <c r="B37" s="383"/>
      <c r="C37" s="383"/>
      <c r="D37" s="383"/>
      <c r="E37" s="383"/>
      <c r="F37" s="383"/>
      <c r="G37" s="383"/>
      <c r="H37" s="383"/>
    </row>
    <row r="38" spans="1:8" ht="15">
      <c r="A38" s="383" t="s">
        <v>464</v>
      </c>
      <c r="B38" s="383"/>
      <c r="C38" s="383"/>
      <c r="D38" s="383"/>
      <c r="E38" s="383"/>
      <c r="F38" s="383"/>
      <c r="G38" s="383"/>
      <c r="H38" s="383"/>
    </row>
    <row r="39" spans="1:8" ht="15">
      <c r="A39" s="383" t="s">
        <v>465</v>
      </c>
      <c r="B39" s="383"/>
      <c r="C39" s="383"/>
      <c r="D39" s="383"/>
      <c r="E39" s="383"/>
      <c r="F39" s="383"/>
      <c r="G39" s="383"/>
      <c r="H39" s="383"/>
    </row>
    <row r="40" spans="1:8" ht="15">
      <c r="A40" s="383"/>
      <c r="B40" s="383"/>
      <c r="C40" s="383"/>
      <c r="D40" s="383"/>
      <c r="E40" s="383"/>
      <c r="F40" s="383"/>
      <c r="G40" s="383"/>
      <c r="H40" s="383"/>
    </row>
    <row r="41" spans="1:8" ht="15">
      <c r="A41" s="383" t="s">
        <v>466</v>
      </c>
      <c r="B41" s="383"/>
      <c r="C41" s="383"/>
      <c r="D41" s="383"/>
      <c r="E41" s="383"/>
      <c r="F41" s="383"/>
      <c r="G41" s="383"/>
      <c r="H41" s="383"/>
    </row>
    <row r="42" spans="1:8" ht="15">
      <c r="A42" s="383" t="s">
        <v>467</v>
      </c>
      <c r="B42" s="383"/>
      <c r="C42" s="383"/>
      <c r="D42" s="383"/>
      <c r="E42" s="383"/>
      <c r="F42" s="383"/>
      <c r="G42" s="383"/>
      <c r="H42" s="383"/>
    </row>
    <row r="43" spans="1:8" ht="15">
      <c r="A43" s="383" t="s">
        <v>468</v>
      </c>
      <c r="B43" s="383"/>
      <c r="C43" s="383"/>
      <c r="D43" s="383"/>
      <c r="E43" s="383"/>
      <c r="F43" s="383"/>
      <c r="G43" s="383"/>
      <c r="H43" s="383"/>
    </row>
    <row r="44" spans="1:8" ht="15">
      <c r="A44" s="383" t="s">
        <v>469</v>
      </c>
      <c r="B44" s="383"/>
      <c r="C44" s="383"/>
      <c r="D44" s="383"/>
      <c r="E44" s="383"/>
      <c r="F44" s="383"/>
      <c r="G44" s="383"/>
      <c r="H44" s="383"/>
    </row>
    <row r="45" spans="1:8" ht="15">
      <c r="A45" s="383"/>
      <c r="B45" s="383"/>
      <c r="C45" s="383"/>
      <c r="D45" s="383"/>
      <c r="E45" s="383"/>
      <c r="F45" s="383"/>
      <c r="G45" s="383"/>
      <c r="H45" s="383"/>
    </row>
    <row r="46" spans="1:8" ht="15">
      <c r="A46" s="383" t="s">
        <v>470</v>
      </c>
      <c r="B46" s="383"/>
      <c r="C46" s="383"/>
      <c r="D46" s="383"/>
      <c r="E46" s="383"/>
      <c r="F46" s="383"/>
      <c r="G46" s="383"/>
      <c r="H46" s="383"/>
    </row>
    <row r="47" spans="1:8" ht="15">
      <c r="A47" s="383" t="s">
        <v>471</v>
      </c>
      <c r="B47" s="383"/>
      <c r="C47" s="383"/>
      <c r="D47" s="383"/>
      <c r="E47" s="383"/>
      <c r="F47" s="383"/>
      <c r="G47" s="383"/>
      <c r="H47" s="383"/>
    </row>
    <row r="48" spans="1:8" ht="15">
      <c r="A48" s="383" t="s">
        <v>472</v>
      </c>
      <c r="B48" s="383"/>
      <c r="C48" s="383"/>
      <c r="D48" s="383"/>
      <c r="E48" s="383"/>
      <c r="F48" s="383"/>
      <c r="G48" s="383"/>
      <c r="H48" s="383"/>
    </row>
    <row r="49" spans="1:8" ht="15">
      <c r="A49" s="383" t="s">
        <v>473</v>
      </c>
      <c r="B49" s="383"/>
      <c r="C49" s="383"/>
      <c r="D49" s="383"/>
      <c r="E49" s="383"/>
      <c r="F49" s="383"/>
      <c r="G49" s="383"/>
      <c r="H49" s="383"/>
    </row>
    <row r="50" spans="1:8" ht="15">
      <c r="A50" s="383" t="s">
        <v>474</v>
      </c>
      <c r="B50" s="383"/>
      <c r="C50" s="383"/>
      <c r="D50" s="383"/>
      <c r="E50" s="383"/>
      <c r="F50" s="383"/>
      <c r="G50" s="383"/>
      <c r="H50" s="383"/>
    </row>
    <row r="51" spans="1:8" ht="15">
      <c r="A51" s="383"/>
      <c r="B51" s="383"/>
      <c r="C51" s="383"/>
      <c r="D51" s="383"/>
      <c r="E51" s="383"/>
      <c r="F51" s="383"/>
      <c r="G51" s="383"/>
      <c r="H51" s="383"/>
    </row>
    <row r="52" spans="1:8" ht="15">
      <c r="A52" s="384" t="s">
        <v>475</v>
      </c>
      <c r="B52" s="384"/>
      <c r="C52" s="384"/>
      <c r="D52" s="384"/>
      <c r="E52" s="384"/>
      <c r="F52" s="384"/>
      <c r="G52" s="384"/>
      <c r="H52" s="383"/>
    </row>
    <row r="53" spans="1:8" ht="15">
      <c r="A53" s="384" t="s">
        <v>476</v>
      </c>
      <c r="B53" s="384"/>
      <c r="C53" s="384"/>
      <c r="D53" s="384"/>
      <c r="E53" s="384"/>
      <c r="F53" s="384"/>
      <c r="G53" s="384"/>
      <c r="H53" s="383"/>
    </row>
    <row r="54" spans="1:8" ht="15">
      <c r="A54" s="383"/>
      <c r="B54" s="383"/>
      <c r="C54" s="383"/>
      <c r="D54" s="383"/>
      <c r="E54" s="383"/>
      <c r="F54" s="383"/>
      <c r="G54" s="383"/>
      <c r="H54" s="383"/>
    </row>
    <row r="55" spans="1:8" ht="15">
      <c r="A55" s="383" t="s">
        <v>477</v>
      </c>
      <c r="B55" s="383"/>
      <c r="C55" s="383"/>
      <c r="D55" s="383"/>
      <c r="E55" s="383"/>
      <c r="F55" s="383"/>
      <c r="G55" s="383"/>
      <c r="H55" s="383"/>
    </row>
    <row r="56" spans="1:8" ht="15">
      <c r="A56" s="383" t="s">
        <v>478</v>
      </c>
      <c r="B56" s="383"/>
      <c r="C56" s="383"/>
      <c r="D56" s="383"/>
      <c r="E56" s="383"/>
      <c r="F56" s="383"/>
      <c r="G56" s="383"/>
      <c r="H56" s="383"/>
    </row>
    <row r="57" spans="1:8" ht="15">
      <c r="A57" s="383" t="s">
        <v>479</v>
      </c>
      <c r="B57" s="383"/>
      <c r="C57" s="383"/>
      <c r="D57" s="383"/>
      <c r="E57" s="383"/>
      <c r="F57" s="383"/>
      <c r="G57" s="383"/>
      <c r="H57" s="383"/>
    </row>
    <row r="58" spans="1:8" ht="15">
      <c r="A58" s="383" t="s">
        <v>480</v>
      </c>
      <c r="B58" s="383"/>
      <c r="C58" s="383"/>
      <c r="D58" s="383"/>
      <c r="E58" s="383"/>
      <c r="F58" s="383"/>
      <c r="G58" s="383"/>
      <c r="H58" s="383"/>
    </row>
    <row r="59" spans="1:8" ht="15">
      <c r="A59" s="383"/>
      <c r="B59" s="383"/>
      <c r="C59" s="383"/>
      <c r="D59" s="383"/>
      <c r="E59" s="383"/>
      <c r="F59" s="383"/>
      <c r="G59" s="383"/>
      <c r="H59" s="383"/>
    </row>
    <row r="60" spans="1:8" ht="15">
      <c r="A60" s="383" t="s">
        <v>481</v>
      </c>
      <c r="B60" s="383"/>
      <c r="C60" s="383"/>
      <c r="D60" s="383"/>
      <c r="E60" s="383"/>
      <c r="F60" s="383"/>
      <c r="G60" s="383"/>
      <c r="H60" s="383"/>
    </row>
    <row r="61" spans="1:8" ht="15">
      <c r="A61" s="383" t="s">
        <v>482</v>
      </c>
      <c r="B61" s="383"/>
      <c r="C61" s="383"/>
      <c r="D61" s="383"/>
      <c r="E61" s="383"/>
      <c r="F61" s="383"/>
      <c r="G61" s="383"/>
      <c r="H61" s="383"/>
    </row>
    <row r="62" spans="1:8" ht="15">
      <c r="A62" s="383" t="s">
        <v>483</v>
      </c>
      <c r="B62" s="383"/>
      <c r="C62" s="383"/>
      <c r="D62" s="383"/>
      <c r="E62" s="383"/>
      <c r="F62" s="383"/>
      <c r="G62" s="383"/>
      <c r="H62" s="383"/>
    </row>
    <row r="63" spans="1:8" ht="15">
      <c r="A63" s="383" t="s">
        <v>484</v>
      </c>
      <c r="B63" s="383"/>
      <c r="C63" s="383"/>
      <c r="D63" s="383"/>
      <c r="E63" s="383"/>
      <c r="F63" s="383"/>
      <c r="G63" s="383"/>
      <c r="H63" s="383"/>
    </row>
    <row r="64" spans="1:8" ht="15">
      <c r="A64" s="383" t="s">
        <v>485</v>
      </c>
      <c r="B64" s="383"/>
      <c r="C64" s="383"/>
      <c r="D64" s="383"/>
      <c r="E64" s="383"/>
      <c r="F64" s="383"/>
      <c r="G64" s="383"/>
      <c r="H64" s="383"/>
    </row>
    <row r="65" spans="1:8" ht="15">
      <c r="A65" s="383" t="s">
        <v>486</v>
      </c>
      <c r="B65" s="383"/>
      <c r="C65" s="383"/>
      <c r="D65" s="383"/>
      <c r="E65" s="383"/>
      <c r="F65" s="383"/>
      <c r="G65" s="383"/>
      <c r="H65" s="383"/>
    </row>
    <row r="66" spans="1:8" ht="15">
      <c r="A66" s="383"/>
      <c r="B66" s="383"/>
      <c r="C66" s="383"/>
      <c r="D66" s="383"/>
      <c r="E66" s="383"/>
      <c r="F66" s="383"/>
      <c r="G66" s="383"/>
      <c r="H66" s="383"/>
    </row>
    <row r="67" spans="1:8" ht="15">
      <c r="A67" s="383" t="s">
        <v>487</v>
      </c>
      <c r="B67" s="383"/>
      <c r="C67" s="383"/>
      <c r="D67" s="383"/>
      <c r="E67" s="383"/>
      <c r="F67" s="383"/>
      <c r="G67" s="383"/>
      <c r="H67" s="383"/>
    </row>
    <row r="68" spans="1:8" ht="15">
      <c r="A68" s="383" t="s">
        <v>488</v>
      </c>
      <c r="B68" s="383"/>
      <c r="C68" s="383"/>
      <c r="D68" s="383"/>
      <c r="E68" s="383"/>
      <c r="F68" s="383"/>
      <c r="G68" s="383"/>
      <c r="H68" s="383"/>
    </row>
    <row r="69" spans="1:8" ht="15">
      <c r="A69" s="383" t="s">
        <v>489</v>
      </c>
      <c r="B69" s="383"/>
      <c r="C69" s="383"/>
      <c r="D69" s="383"/>
      <c r="E69" s="383"/>
      <c r="F69" s="383"/>
      <c r="G69" s="383"/>
      <c r="H69" s="383"/>
    </row>
    <row r="70" spans="1:8" ht="15">
      <c r="A70" s="383" t="s">
        <v>490</v>
      </c>
      <c r="B70" s="383"/>
      <c r="C70" s="383"/>
      <c r="D70" s="383"/>
      <c r="E70" s="383"/>
      <c r="F70" s="383"/>
      <c r="G70" s="383"/>
      <c r="H70" s="383"/>
    </row>
    <row r="71" spans="1:8" ht="15">
      <c r="A71" s="383" t="s">
        <v>491</v>
      </c>
      <c r="B71" s="383"/>
      <c r="C71" s="383"/>
      <c r="D71" s="383"/>
      <c r="E71" s="383"/>
      <c r="F71" s="383"/>
      <c r="G71" s="383"/>
      <c r="H71" s="383"/>
    </row>
    <row r="72" spans="1:8" ht="15">
      <c r="A72" s="383" t="s">
        <v>492</v>
      </c>
      <c r="B72" s="383"/>
      <c r="C72" s="383"/>
      <c r="D72" s="383"/>
      <c r="E72" s="383"/>
      <c r="F72" s="383"/>
      <c r="G72" s="383"/>
      <c r="H72" s="383"/>
    </row>
    <row r="73" spans="1:8" ht="15">
      <c r="A73" s="383" t="s">
        <v>493</v>
      </c>
      <c r="B73" s="383"/>
      <c r="C73" s="383"/>
      <c r="D73" s="383"/>
      <c r="E73" s="383"/>
      <c r="F73" s="383"/>
      <c r="G73" s="383"/>
      <c r="H73" s="383"/>
    </row>
    <row r="74" spans="1:8" ht="15">
      <c r="A74" s="383"/>
      <c r="B74" s="383"/>
      <c r="C74" s="383"/>
      <c r="D74" s="383"/>
      <c r="E74" s="383"/>
      <c r="F74" s="383"/>
      <c r="G74" s="383"/>
      <c r="H74" s="383"/>
    </row>
    <row r="75" spans="1:8" ht="15">
      <c r="A75" s="383" t="s">
        <v>494</v>
      </c>
      <c r="B75" s="383"/>
      <c r="C75" s="383"/>
      <c r="D75" s="383"/>
      <c r="E75" s="383"/>
      <c r="F75" s="383"/>
      <c r="G75" s="383"/>
      <c r="H75" s="383"/>
    </row>
    <row r="76" spans="1:8" ht="15">
      <c r="A76" s="383" t="s">
        <v>495</v>
      </c>
      <c r="B76" s="383"/>
      <c r="C76" s="383"/>
      <c r="D76" s="383"/>
      <c r="E76" s="383"/>
      <c r="F76" s="383"/>
      <c r="G76" s="383"/>
      <c r="H76" s="383"/>
    </row>
    <row r="77" spans="1:8" ht="15">
      <c r="A77" s="383" t="s">
        <v>496</v>
      </c>
      <c r="B77" s="383"/>
      <c r="C77" s="383"/>
      <c r="D77" s="383"/>
      <c r="E77" s="383"/>
      <c r="F77" s="383"/>
      <c r="G77" s="383"/>
      <c r="H77" s="383"/>
    </row>
    <row r="78" spans="1:8" ht="15">
      <c r="A78" s="383"/>
      <c r="B78" s="383"/>
      <c r="C78" s="383"/>
      <c r="D78" s="383"/>
      <c r="E78" s="383"/>
      <c r="F78" s="383"/>
      <c r="G78" s="383"/>
      <c r="H78" s="383"/>
    </row>
    <row r="79" ht="15">
      <c r="A79" s="383" t="s">
        <v>441</v>
      </c>
    </row>
    <row r="80" ht="15">
      <c r="A80" s="384"/>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1" ht="15">
      <c r="A91"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3" ht="15">
      <c r="A103" s="383"/>
    </row>
    <row r="104" ht="15">
      <c r="A104" s="383"/>
    </row>
    <row r="105" ht="15">
      <c r="A105" s="383"/>
    </row>
    <row r="107" ht="15">
      <c r="A107" s="384"/>
    </row>
    <row r="108" ht="15">
      <c r="A108" s="384"/>
    </row>
    <row r="109" ht="15">
      <c r="A109" s="384"/>
    </row>
  </sheetData>
  <sheetProtection sheet="1"/>
  <printOptions/>
  <pageMargins left="0.7" right="0.7" top="0.75" bottom="0.75" header="0.3" footer="0.3"/>
  <pageSetup horizontalDpi="600" verticalDpi="600" orientation="portrait" r:id="rId1"/>
</worksheet>
</file>

<file path=xl/worksheets/sheet3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2" sqref="A2"/>
    </sheetView>
  </sheetViews>
  <sheetFormatPr defaultColWidth="8.796875" defaultRowHeight="15"/>
  <cols>
    <col min="1" max="1" width="71.296875" style="0" customWidth="1"/>
  </cols>
  <sheetData>
    <row r="3" spans="1:12" ht="15">
      <c r="A3" s="382" t="s">
        <v>497</v>
      </c>
      <c r="B3" s="382"/>
      <c r="C3" s="382"/>
      <c r="D3" s="382"/>
      <c r="E3" s="382"/>
      <c r="F3" s="382"/>
      <c r="G3" s="382"/>
      <c r="H3" s="382"/>
      <c r="I3" s="382"/>
      <c r="J3" s="382"/>
      <c r="K3" s="382"/>
      <c r="L3" s="382"/>
    </row>
    <row r="4" spans="1:12" ht="15">
      <c r="A4" s="382"/>
      <c r="B4" s="382"/>
      <c r="C4" s="382"/>
      <c r="D4" s="382"/>
      <c r="E4" s="382"/>
      <c r="F4" s="382"/>
      <c r="G4" s="382"/>
      <c r="H4" s="382"/>
      <c r="I4" s="382"/>
      <c r="J4" s="382"/>
      <c r="K4" s="382"/>
      <c r="L4" s="382"/>
    </row>
    <row r="5" spans="1:12" ht="15">
      <c r="A5" s="383" t="s">
        <v>386</v>
      </c>
      <c r="I5" s="382"/>
      <c r="J5" s="382"/>
      <c r="K5" s="382"/>
      <c r="L5" s="382"/>
    </row>
    <row r="6" spans="1:12" ht="15">
      <c r="A6" s="383" t="str">
        <f>CONCATENATE("estimated ",inputPrYr!C4-1," 'total expenditures' exceed your ",inputPrYr!C4-1,"")</f>
        <v>estimated 2014 'total expenditures' exceed your 2014</v>
      </c>
      <c r="I6" s="382"/>
      <c r="J6" s="382"/>
      <c r="K6" s="382"/>
      <c r="L6" s="382"/>
    </row>
    <row r="7" spans="1:12" ht="15">
      <c r="A7" s="386" t="s">
        <v>498</v>
      </c>
      <c r="I7" s="382"/>
      <c r="J7" s="382"/>
      <c r="K7" s="382"/>
      <c r="L7" s="382"/>
    </row>
    <row r="8" spans="1:12" ht="15">
      <c r="A8" s="383"/>
      <c r="I8" s="382"/>
      <c r="J8" s="382"/>
      <c r="K8" s="382"/>
      <c r="L8" s="382"/>
    </row>
    <row r="9" spans="1:12" ht="15">
      <c r="A9" s="383" t="s">
        <v>499</v>
      </c>
      <c r="I9" s="382"/>
      <c r="J9" s="382"/>
      <c r="K9" s="382"/>
      <c r="L9" s="382"/>
    </row>
    <row r="10" spans="1:12" ht="15">
      <c r="A10" s="383" t="s">
        <v>500</v>
      </c>
      <c r="I10" s="382"/>
      <c r="J10" s="382"/>
      <c r="K10" s="382"/>
      <c r="L10" s="382"/>
    </row>
    <row r="11" spans="1:12" ht="15">
      <c r="A11" s="383" t="s">
        <v>501</v>
      </c>
      <c r="I11" s="382"/>
      <c r="J11" s="382"/>
      <c r="K11" s="382"/>
      <c r="L11" s="382"/>
    </row>
    <row r="12" spans="1:12" ht="15">
      <c r="A12" s="383" t="s">
        <v>502</v>
      </c>
      <c r="I12" s="382"/>
      <c r="J12" s="382"/>
      <c r="K12" s="382"/>
      <c r="L12" s="382"/>
    </row>
    <row r="13" spans="1:12" ht="15">
      <c r="A13" s="383" t="s">
        <v>503</v>
      </c>
      <c r="I13" s="382"/>
      <c r="J13" s="382"/>
      <c r="K13" s="382"/>
      <c r="L13" s="382"/>
    </row>
    <row r="14" spans="1:12" ht="15">
      <c r="A14" s="382"/>
      <c r="B14" s="382"/>
      <c r="C14" s="382"/>
      <c r="D14" s="382"/>
      <c r="E14" s="382"/>
      <c r="F14" s="382"/>
      <c r="G14" s="382"/>
      <c r="H14" s="382"/>
      <c r="I14" s="382"/>
      <c r="J14" s="382"/>
      <c r="K14" s="382"/>
      <c r="L14" s="382"/>
    </row>
    <row r="15" ht="15">
      <c r="A15" s="384" t="s">
        <v>504</v>
      </c>
    </row>
    <row r="16" ht="15">
      <c r="A16" s="384" t="s">
        <v>505</v>
      </c>
    </row>
    <row r="17" ht="15">
      <c r="A17" s="384"/>
    </row>
    <row r="18" spans="1:7" ht="15">
      <c r="A18" s="383" t="s">
        <v>506</v>
      </c>
      <c r="B18" s="383"/>
      <c r="C18" s="383"/>
      <c r="D18" s="383"/>
      <c r="E18" s="383"/>
      <c r="F18" s="383"/>
      <c r="G18" s="383"/>
    </row>
    <row r="19" spans="1:7" ht="15">
      <c r="A19" s="383" t="str">
        <f>CONCATENATE("your ",inputPrYr!C4-1," numbers to see what steps might be necessary to")</f>
        <v>your 2014 numbers to see what steps might be necessary to</v>
      </c>
      <c r="B19" s="383"/>
      <c r="C19" s="383"/>
      <c r="D19" s="383"/>
      <c r="E19" s="383"/>
      <c r="F19" s="383"/>
      <c r="G19" s="383"/>
    </row>
    <row r="20" spans="1:7" ht="15">
      <c r="A20" s="383" t="s">
        <v>507</v>
      </c>
      <c r="B20" s="383"/>
      <c r="C20" s="383"/>
      <c r="D20" s="383"/>
      <c r="E20" s="383"/>
      <c r="F20" s="383"/>
      <c r="G20" s="383"/>
    </row>
    <row r="21" spans="1:7" ht="15">
      <c r="A21" s="383" t="s">
        <v>508</v>
      </c>
      <c r="B21" s="383"/>
      <c r="C21" s="383"/>
      <c r="D21" s="383"/>
      <c r="E21" s="383"/>
      <c r="F21" s="383"/>
      <c r="G21" s="383"/>
    </row>
    <row r="22" ht="15">
      <c r="A22" s="383"/>
    </row>
    <row r="23" ht="15">
      <c r="A23" s="384" t="s">
        <v>509</v>
      </c>
    </row>
    <row r="24" ht="15">
      <c r="A24" s="384"/>
    </row>
    <row r="25" ht="15">
      <c r="A25" s="383" t="s">
        <v>510</v>
      </c>
    </row>
    <row r="26" spans="1:6" ht="15">
      <c r="A26" s="383" t="s">
        <v>511</v>
      </c>
      <c r="B26" s="383"/>
      <c r="C26" s="383"/>
      <c r="D26" s="383"/>
      <c r="E26" s="383"/>
      <c r="F26" s="383"/>
    </row>
    <row r="27" spans="1:6" ht="15">
      <c r="A27" s="383" t="s">
        <v>512</v>
      </c>
      <c r="B27" s="383"/>
      <c r="C27" s="383"/>
      <c r="D27" s="383"/>
      <c r="E27" s="383"/>
      <c r="F27" s="383"/>
    </row>
    <row r="28" spans="1:6" ht="15">
      <c r="A28" s="383" t="s">
        <v>513</v>
      </c>
      <c r="B28" s="383"/>
      <c r="C28" s="383"/>
      <c r="D28" s="383"/>
      <c r="E28" s="383"/>
      <c r="F28" s="383"/>
    </row>
    <row r="29" spans="1:6" ht="15">
      <c r="A29" s="383"/>
      <c r="B29" s="383"/>
      <c r="C29" s="383"/>
      <c r="D29" s="383"/>
      <c r="E29" s="383"/>
      <c r="F29" s="383"/>
    </row>
    <row r="30" spans="1:7" ht="15">
      <c r="A30" s="384" t="s">
        <v>514</v>
      </c>
      <c r="B30" s="384"/>
      <c r="C30" s="384"/>
      <c r="D30" s="384"/>
      <c r="E30" s="384"/>
      <c r="F30" s="384"/>
      <c r="G30" s="384"/>
    </row>
    <row r="31" spans="1:7" ht="15">
      <c r="A31" s="384" t="s">
        <v>515</v>
      </c>
      <c r="B31" s="384"/>
      <c r="C31" s="384"/>
      <c r="D31" s="384"/>
      <c r="E31" s="384"/>
      <c r="F31" s="384"/>
      <c r="G31" s="384"/>
    </row>
    <row r="32" spans="1:6" ht="15">
      <c r="A32" s="383"/>
      <c r="B32" s="383"/>
      <c r="C32" s="383"/>
      <c r="D32" s="383"/>
      <c r="E32" s="383"/>
      <c r="F32" s="383"/>
    </row>
    <row r="33" spans="1:6" ht="15">
      <c r="A33" s="387" t="str">
        <f>CONCATENATE("Well, let's look to see if any of your ",inputPrYr!C4-1," expenditures can")</f>
        <v>Well, let's look to see if any of your 2014 expenditures can</v>
      </c>
      <c r="B33" s="383"/>
      <c r="C33" s="383"/>
      <c r="D33" s="383"/>
      <c r="E33" s="383"/>
      <c r="F33" s="383"/>
    </row>
    <row r="34" spans="1:6" ht="15">
      <c r="A34" s="387" t="s">
        <v>516</v>
      </c>
      <c r="B34" s="383"/>
      <c r="C34" s="383"/>
      <c r="D34" s="383"/>
      <c r="E34" s="383"/>
      <c r="F34" s="383"/>
    </row>
    <row r="35" spans="1:6" ht="15">
      <c r="A35" s="387" t="s">
        <v>400</v>
      </c>
      <c r="B35" s="383"/>
      <c r="C35" s="383"/>
      <c r="D35" s="383"/>
      <c r="E35" s="383"/>
      <c r="F35" s="383"/>
    </row>
    <row r="36" spans="1:6" ht="15">
      <c r="A36" s="387" t="s">
        <v>401</v>
      </c>
      <c r="B36" s="383"/>
      <c r="C36" s="383"/>
      <c r="D36" s="383"/>
      <c r="E36" s="383"/>
      <c r="F36" s="383"/>
    </row>
    <row r="37" spans="1:6" ht="15">
      <c r="A37" s="387"/>
      <c r="B37" s="383"/>
      <c r="C37" s="383"/>
      <c r="D37" s="383"/>
      <c r="E37" s="383"/>
      <c r="F37" s="383"/>
    </row>
    <row r="38" spans="1:6" ht="15">
      <c r="A38" s="387" t="str">
        <f>CONCATENATE("Additionally, do your ",inputPrYr!C4-1," receipts contain a reimbursement")</f>
        <v>Additionally, do your 2014 receipts contain a reimbursement</v>
      </c>
      <c r="B38" s="383"/>
      <c r="C38" s="383"/>
      <c r="D38" s="383"/>
      <c r="E38" s="383"/>
      <c r="F38" s="383"/>
    </row>
    <row r="39" spans="1:6" ht="15">
      <c r="A39" s="387" t="s">
        <v>402</v>
      </c>
      <c r="B39" s="383"/>
      <c r="C39" s="383"/>
      <c r="D39" s="383"/>
      <c r="E39" s="383"/>
      <c r="F39" s="383"/>
    </row>
    <row r="40" spans="1:6" ht="15">
      <c r="A40" s="387" t="s">
        <v>403</v>
      </c>
      <c r="B40" s="383"/>
      <c r="C40" s="383"/>
      <c r="D40" s="383"/>
      <c r="E40" s="383"/>
      <c r="F40" s="383"/>
    </row>
    <row r="41" spans="1:6" ht="15">
      <c r="A41" s="387"/>
      <c r="B41" s="383"/>
      <c r="C41" s="383"/>
      <c r="D41" s="383"/>
      <c r="E41" s="383"/>
      <c r="F41" s="383"/>
    </row>
    <row r="42" spans="1:6" ht="15">
      <c r="A42" s="387" t="s">
        <v>404</v>
      </c>
      <c r="B42" s="383"/>
      <c r="C42" s="383"/>
      <c r="D42" s="383"/>
      <c r="E42" s="383"/>
      <c r="F42" s="383"/>
    </row>
    <row r="43" spans="1:6" ht="15">
      <c r="A43" s="387" t="s">
        <v>405</v>
      </c>
      <c r="B43" s="383"/>
      <c r="C43" s="383"/>
      <c r="D43" s="383"/>
      <c r="E43" s="383"/>
      <c r="F43" s="383"/>
    </row>
    <row r="44" spans="1:6" ht="15">
      <c r="A44" s="387" t="s">
        <v>406</v>
      </c>
      <c r="B44" s="383"/>
      <c r="C44" s="383"/>
      <c r="D44" s="383"/>
      <c r="E44" s="383"/>
      <c r="F44" s="383"/>
    </row>
    <row r="45" spans="1:6" ht="15">
      <c r="A45" s="387" t="s">
        <v>517</v>
      </c>
      <c r="B45" s="383"/>
      <c r="C45" s="383"/>
      <c r="D45" s="383"/>
      <c r="E45" s="383"/>
      <c r="F45" s="383"/>
    </row>
    <row r="46" spans="1:6" ht="15">
      <c r="A46" s="387" t="s">
        <v>408</v>
      </c>
      <c r="B46" s="383"/>
      <c r="C46" s="383"/>
      <c r="D46" s="383"/>
      <c r="E46" s="383"/>
      <c r="F46" s="383"/>
    </row>
    <row r="47" spans="1:6" ht="15">
      <c r="A47" s="387" t="s">
        <v>518</v>
      </c>
      <c r="B47" s="383"/>
      <c r="C47" s="383"/>
      <c r="D47" s="383"/>
      <c r="E47" s="383"/>
      <c r="F47" s="383"/>
    </row>
    <row r="48" spans="1:6" ht="15">
      <c r="A48" s="387" t="s">
        <v>519</v>
      </c>
      <c r="B48" s="383"/>
      <c r="C48" s="383"/>
      <c r="D48" s="383"/>
      <c r="E48" s="383"/>
      <c r="F48" s="383"/>
    </row>
    <row r="49" spans="1:6" ht="15">
      <c r="A49" s="387" t="s">
        <v>411</v>
      </c>
      <c r="B49" s="383"/>
      <c r="C49" s="383"/>
      <c r="D49" s="383"/>
      <c r="E49" s="383"/>
      <c r="F49" s="383"/>
    </row>
    <row r="50" spans="1:6" ht="15">
      <c r="A50" s="387"/>
      <c r="B50" s="383"/>
      <c r="C50" s="383"/>
      <c r="D50" s="383"/>
      <c r="E50" s="383"/>
      <c r="F50" s="383"/>
    </row>
    <row r="51" spans="1:6" ht="15">
      <c r="A51" s="387" t="s">
        <v>412</v>
      </c>
      <c r="B51" s="383"/>
      <c r="C51" s="383"/>
      <c r="D51" s="383"/>
      <c r="E51" s="383"/>
      <c r="F51" s="383"/>
    </row>
    <row r="52" spans="1:6" ht="15">
      <c r="A52" s="387" t="s">
        <v>413</v>
      </c>
      <c r="B52" s="383"/>
      <c r="C52" s="383"/>
      <c r="D52" s="383"/>
      <c r="E52" s="383"/>
      <c r="F52" s="383"/>
    </row>
    <row r="53" spans="1:6" ht="15">
      <c r="A53" s="387" t="s">
        <v>414</v>
      </c>
      <c r="B53" s="383"/>
      <c r="C53" s="383"/>
      <c r="D53" s="383"/>
      <c r="E53" s="383"/>
      <c r="F53" s="383"/>
    </row>
    <row r="54" spans="1:6" ht="15">
      <c r="A54" s="387"/>
      <c r="B54" s="383"/>
      <c r="C54" s="383"/>
      <c r="D54" s="383"/>
      <c r="E54" s="383"/>
      <c r="F54" s="383"/>
    </row>
    <row r="55" spans="1:6" ht="15">
      <c r="A55" s="387" t="s">
        <v>520</v>
      </c>
      <c r="B55" s="383"/>
      <c r="C55" s="383"/>
      <c r="D55" s="383"/>
      <c r="E55" s="383"/>
      <c r="F55" s="383"/>
    </row>
    <row r="56" spans="1:6" ht="15">
      <c r="A56" s="387" t="s">
        <v>521</v>
      </c>
      <c r="B56" s="383"/>
      <c r="C56" s="383"/>
      <c r="D56" s="383"/>
      <c r="E56" s="383"/>
      <c r="F56" s="383"/>
    </row>
    <row r="57" spans="1:6" ht="15">
      <c r="A57" s="387" t="s">
        <v>522</v>
      </c>
      <c r="B57" s="383"/>
      <c r="C57" s="383"/>
      <c r="D57" s="383"/>
      <c r="E57" s="383"/>
      <c r="F57" s="383"/>
    </row>
    <row r="58" spans="1:6" ht="15">
      <c r="A58" s="387" t="s">
        <v>523</v>
      </c>
      <c r="B58" s="383"/>
      <c r="C58" s="383"/>
      <c r="D58" s="383"/>
      <c r="E58" s="383"/>
      <c r="F58" s="383"/>
    </row>
    <row r="59" spans="1:6" ht="15">
      <c r="A59" s="387" t="s">
        <v>524</v>
      </c>
      <c r="B59" s="383"/>
      <c r="C59" s="383"/>
      <c r="D59" s="383"/>
      <c r="E59" s="383"/>
      <c r="F59" s="383"/>
    </row>
    <row r="60" spans="1:6" ht="15">
      <c r="A60" s="387"/>
      <c r="B60" s="383"/>
      <c r="C60" s="383"/>
      <c r="D60" s="383"/>
      <c r="E60" s="383"/>
      <c r="F60" s="383"/>
    </row>
    <row r="61" spans="1:6" ht="15">
      <c r="A61" s="388" t="s">
        <v>525</v>
      </c>
      <c r="B61" s="383"/>
      <c r="C61" s="383"/>
      <c r="D61" s="383"/>
      <c r="E61" s="383"/>
      <c r="F61" s="383"/>
    </row>
    <row r="62" spans="1:6" ht="15">
      <c r="A62" s="388" t="s">
        <v>526</v>
      </c>
      <c r="B62" s="383"/>
      <c r="C62" s="383"/>
      <c r="D62" s="383"/>
      <c r="E62" s="383"/>
      <c r="F62" s="383"/>
    </row>
    <row r="63" spans="1:6" ht="15">
      <c r="A63" s="388" t="s">
        <v>527</v>
      </c>
      <c r="B63" s="383"/>
      <c r="C63" s="383"/>
      <c r="D63" s="383"/>
      <c r="E63" s="383"/>
      <c r="F63" s="383"/>
    </row>
    <row r="64" ht="15">
      <c r="A64" s="388" t="s">
        <v>528</v>
      </c>
    </row>
    <row r="65" ht="15">
      <c r="A65" s="388" t="s">
        <v>529</v>
      </c>
    </row>
    <row r="66" ht="15">
      <c r="A66" s="388" t="s">
        <v>530</v>
      </c>
    </row>
    <row r="68" ht="15">
      <c r="A68" s="383" t="s">
        <v>531</v>
      </c>
    </row>
    <row r="69" ht="15">
      <c r="A69" s="383" t="s">
        <v>532</v>
      </c>
    </row>
    <row r="70" ht="15">
      <c r="A70" s="383" t="s">
        <v>533</v>
      </c>
    </row>
    <row r="71" ht="15">
      <c r="A71" s="383" t="s">
        <v>534</v>
      </c>
    </row>
    <row r="72" ht="15">
      <c r="A72" s="383" t="s">
        <v>535</v>
      </c>
    </row>
    <row r="73" ht="15">
      <c r="A73" s="383" t="s">
        <v>536</v>
      </c>
    </row>
    <row r="75" ht="15">
      <c r="A75" s="383" t="s">
        <v>441</v>
      </c>
    </row>
  </sheetData>
  <sheetProtection sheet="1"/>
  <printOptions/>
  <pageMargins left="0.7" right="0.7" top="0.75" bottom="0.75" header="0.3" footer="0.3"/>
  <pageSetup horizontalDpi="600" verticalDpi="600" orientation="portrait" r:id="rId1"/>
</worksheet>
</file>

<file path=xl/worksheets/sheet3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2" sqref="A2"/>
    </sheetView>
  </sheetViews>
  <sheetFormatPr defaultColWidth="8.796875" defaultRowHeight="15"/>
  <cols>
    <col min="1" max="1" width="71.296875" style="0" customWidth="1"/>
  </cols>
  <sheetData>
    <row r="3" spans="1:7" ht="15">
      <c r="A3" s="382" t="s">
        <v>537</v>
      </c>
      <c r="B3" s="382"/>
      <c r="C3" s="382"/>
      <c r="D3" s="382"/>
      <c r="E3" s="382"/>
      <c r="F3" s="382"/>
      <c r="G3" s="382"/>
    </row>
    <row r="4" spans="1:7" ht="15">
      <c r="A4" s="382"/>
      <c r="B4" s="382"/>
      <c r="C4" s="382"/>
      <c r="D4" s="382"/>
      <c r="E4" s="382"/>
      <c r="F4" s="382"/>
      <c r="G4" s="382"/>
    </row>
    <row r="5" ht="15">
      <c r="A5" s="383" t="s">
        <v>443</v>
      </c>
    </row>
    <row r="6" ht="15">
      <c r="A6" s="383" t="str">
        <f>CONCATENATE(inputPrYr!C4-1," estimated expenditures show that at the end of this year")</f>
        <v>2014 estimated expenditures show that at the end of this year</v>
      </c>
    </row>
    <row r="7" ht="15">
      <c r="A7" s="383" t="s">
        <v>538</v>
      </c>
    </row>
    <row r="8" ht="15">
      <c r="A8" s="383" t="s">
        <v>539</v>
      </c>
    </row>
    <row r="10" ht="15">
      <c r="A10" t="s">
        <v>445</v>
      </c>
    </row>
    <row r="11" ht="15">
      <c r="A11" t="s">
        <v>446</v>
      </c>
    </row>
    <row r="12" ht="15">
      <c r="A12" t="s">
        <v>447</v>
      </c>
    </row>
    <row r="13" spans="1:7" ht="15">
      <c r="A13" s="382"/>
      <c r="B13" s="382"/>
      <c r="C13" s="382"/>
      <c r="D13" s="382"/>
      <c r="E13" s="382"/>
      <c r="F13" s="382"/>
      <c r="G13" s="382"/>
    </row>
    <row r="14" ht="15">
      <c r="A14" s="384" t="s">
        <v>540</v>
      </c>
    </row>
    <row r="15" ht="15">
      <c r="A15" s="383"/>
    </row>
    <row r="16" ht="15">
      <c r="A16" s="383" t="s">
        <v>541</v>
      </c>
    </row>
    <row r="17" ht="15">
      <c r="A17" s="383" t="s">
        <v>542</v>
      </c>
    </row>
    <row r="18" ht="15">
      <c r="A18" s="383" t="s">
        <v>543</v>
      </c>
    </row>
    <row r="19" ht="15">
      <c r="A19" s="383"/>
    </row>
    <row r="20" ht="15">
      <c r="A20" s="383" t="s">
        <v>544</v>
      </c>
    </row>
    <row r="21" ht="15">
      <c r="A21" s="383" t="s">
        <v>545</v>
      </c>
    </row>
    <row r="22" ht="15">
      <c r="A22" s="383" t="s">
        <v>546</v>
      </c>
    </row>
    <row r="23" ht="15">
      <c r="A23" s="383" t="s">
        <v>547</v>
      </c>
    </row>
    <row r="24" ht="15">
      <c r="A24" s="383"/>
    </row>
    <row r="25" ht="15">
      <c r="A25" s="384" t="s">
        <v>509</v>
      </c>
    </row>
    <row r="26" ht="15">
      <c r="A26" s="384"/>
    </row>
    <row r="27" ht="15">
      <c r="A27" s="383" t="s">
        <v>510</v>
      </c>
    </row>
    <row r="28" spans="1:6" ht="15">
      <c r="A28" s="383" t="s">
        <v>511</v>
      </c>
      <c r="B28" s="383"/>
      <c r="C28" s="383"/>
      <c r="D28" s="383"/>
      <c r="E28" s="383"/>
      <c r="F28" s="383"/>
    </row>
    <row r="29" spans="1:6" ht="15">
      <c r="A29" s="383" t="s">
        <v>512</v>
      </c>
      <c r="B29" s="383"/>
      <c r="C29" s="383"/>
      <c r="D29" s="383"/>
      <c r="E29" s="383"/>
      <c r="F29" s="383"/>
    </row>
    <row r="30" spans="1:6" ht="15">
      <c r="A30" s="383" t="s">
        <v>513</v>
      </c>
      <c r="B30" s="383"/>
      <c r="C30" s="383"/>
      <c r="D30" s="383"/>
      <c r="E30" s="383"/>
      <c r="F30" s="383"/>
    </row>
    <row r="31" ht="15">
      <c r="A31" s="383"/>
    </row>
    <row r="32" spans="1:7" ht="15">
      <c r="A32" s="384" t="s">
        <v>514</v>
      </c>
      <c r="B32" s="384"/>
      <c r="C32" s="384"/>
      <c r="D32" s="384"/>
      <c r="E32" s="384"/>
      <c r="F32" s="384"/>
      <c r="G32" s="384"/>
    </row>
    <row r="33" spans="1:7" ht="15">
      <c r="A33" s="384" t="s">
        <v>515</v>
      </c>
      <c r="B33" s="384"/>
      <c r="C33" s="384"/>
      <c r="D33" s="384"/>
      <c r="E33" s="384"/>
      <c r="F33" s="384"/>
      <c r="G33" s="384"/>
    </row>
    <row r="34" spans="1:7" ht="15">
      <c r="A34" s="384"/>
      <c r="B34" s="384"/>
      <c r="C34" s="384"/>
      <c r="D34" s="384"/>
      <c r="E34" s="384"/>
      <c r="F34" s="384"/>
      <c r="G34" s="384"/>
    </row>
    <row r="35" spans="1:7" ht="15">
      <c r="A35" s="383" t="s">
        <v>548</v>
      </c>
      <c r="B35" s="383"/>
      <c r="C35" s="383"/>
      <c r="D35" s="383"/>
      <c r="E35" s="383"/>
      <c r="F35" s="383"/>
      <c r="G35" s="383"/>
    </row>
    <row r="36" spans="1:7" ht="15">
      <c r="A36" s="383" t="s">
        <v>549</v>
      </c>
      <c r="B36" s="383"/>
      <c r="C36" s="383"/>
      <c r="D36" s="383"/>
      <c r="E36" s="383"/>
      <c r="F36" s="383"/>
      <c r="G36" s="383"/>
    </row>
    <row r="37" spans="1:7" ht="15">
      <c r="A37" s="383" t="s">
        <v>550</v>
      </c>
      <c r="B37" s="383"/>
      <c r="C37" s="383"/>
      <c r="D37" s="383"/>
      <c r="E37" s="383"/>
      <c r="F37" s="383"/>
      <c r="G37" s="383"/>
    </row>
    <row r="38" spans="1:7" ht="15">
      <c r="A38" s="383" t="s">
        <v>551</v>
      </c>
      <c r="B38" s="383"/>
      <c r="C38" s="383"/>
      <c r="D38" s="383"/>
      <c r="E38" s="383"/>
      <c r="F38" s="383"/>
      <c r="G38" s="383"/>
    </row>
    <row r="39" spans="1:7" ht="15">
      <c r="A39" s="383" t="s">
        <v>552</v>
      </c>
      <c r="B39" s="383"/>
      <c r="C39" s="383"/>
      <c r="D39" s="383"/>
      <c r="E39" s="383"/>
      <c r="F39" s="383"/>
      <c r="G39" s="383"/>
    </row>
    <row r="40" spans="1:7" ht="15">
      <c r="A40" s="384"/>
      <c r="B40" s="384"/>
      <c r="C40" s="384"/>
      <c r="D40" s="384"/>
      <c r="E40" s="384"/>
      <c r="F40" s="384"/>
      <c r="G40" s="384"/>
    </row>
    <row r="41" spans="1:6" ht="15">
      <c r="A41" s="387" t="str">
        <f>CONCATENATE("So, let's look to see if any of your ",inputPrYr!C4-1," expenditures can")</f>
        <v>So, let's look to see if any of your 2014 expenditures can</v>
      </c>
      <c r="B41" s="383"/>
      <c r="C41" s="383"/>
      <c r="D41" s="383"/>
      <c r="E41" s="383"/>
      <c r="F41" s="383"/>
    </row>
    <row r="42" spans="1:6" ht="15">
      <c r="A42" s="387" t="s">
        <v>516</v>
      </c>
      <c r="B42" s="383"/>
      <c r="C42" s="383"/>
      <c r="D42" s="383"/>
      <c r="E42" s="383"/>
      <c r="F42" s="383"/>
    </row>
    <row r="43" spans="1:6" ht="15">
      <c r="A43" s="387" t="s">
        <v>400</v>
      </c>
      <c r="B43" s="383"/>
      <c r="C43" s="383"/>
      <c r="D43" s="383"/>
      <c r="E43" s="383"/>
      <c r="F43" s="383"/>
    </row>
    <row r="44" spans="1:6" ht="15">
      <c r="A44" s="387" t="s">
        <v>401</v>
      </c>
      <c r="B44" s="383"/>
      <c r="C44" s="383"/>
      <c r="D44" s="383"/>
      <c r="E44" s="383"/>
      <c r="F44" s="383"/>
    </row>
    <row r="45" ht="15">
      <c r="A45" s="383"/>
    </row>
    <row r="46" spans="1:6" ht="15">
      <c r="A46" s="387" t="str">
        <f>CONCATENATE("Additionally, do your ",inputPrYr!C4-1," receipts contain a reimbursement")</f>
        <v>Additionally, do your 2014 receipts contain a reimbursement</v>
      </c>
      <c r="B46" s="383"/>
      <c r="C46" s="383"/>
      <c r="D46" s="383"/>
      <c r="E46" s="383"/>
      <c r="F46" s="383"/>
    </row>
    <row r="47" spans="1:6" ht="15">
      <c r="A47" s="387" t="s">
        <v>402</v>
      </c>
      <c r="B47" s="383"/>
      <c r="C47" s="383"/>
      <c r="D47" s="383"/>
      <c r="E47" s="383"/>
      <c r="F47" s="383"/>
    </row>
    <row r="48" spans="1:6" ht="15">
      <c r="A48" s="387" t="s">
        <v>403</v>
      </c>
      <c r="B48" s="383"/>
      <c r="C48" s="383"/>
      <c r="D48" s="383"/>
      <c r="E48" s="383"/>
      <c r="F48" s="383"/>
    </row>
    <row r="49" spans="1:7" ht="15">
      <c r="A49" s="383"/>
      <c r="B49" s="383"/>
      <c r="C49" s="383"/>
      <c r="D49" s="383"/>
      <c r="E49" s="383"/>
      <c r="F49" s="383"/>
      <c r="G49" s="383"/>
    </row>
    <row r="50" spans="1:7" ht="15">
      <c r="A50" s="383" t="s">
        <v>470</v>
      </c>
      <c r="B50" s="383"/>
      <c r="C50" s="383"/>
      <c r="D50" s="383"/>
      <c r="E50" s="383"/>
      <c r="F50" s="383"/>
      <c r="G50" s="383"/>
    </row>
    <row r="51" spans="1:7" ht="15">
      <c r="A51" s="383" t="s">
        <v>471</v>
      </c>
      <c r="B51" s="383"/>
      <c r="C51" s="383"/>
      <c r="D51" s="383"/>
      <c r="E51" s="383"/>
      <c r="F51" s="383"/>
      <c r="G51" s="383"/>
    </row>
    <row r="52" spans="1:7" ht="15">
      <c r="A52" s="383" t="s">
        <v>472</v>
      </c>
      <c r="B52" s="383"/>
      <c r="C52" s="383"/>
      <c r="D52" s="383"/>
      <c r="E52" s="383"/>
      <c r="F52" s="383"/>
      <c r="G52" s="383"/>
    </row>
    <row r="53" spans="1:7" ht="15">
      <c r="A53" s="383" t="s">
        <v>473</v>
      </c>
      <c r="B53" s="383"/>
      <c r="C53" s="383"/>
      <c r="D53" s="383"/>
      <c r="E53" s="383"/>
      <c r="F53" s="383"/>
      <c r="G53" s="383"/>
    </row>
    <row r="54" spans="1:7" ht="15">
      <c r="A54" s="383" t="s">
        <v>474</v>
      </c>
      <c r="B54" s="383"/>
      <c r="C54" s="383"/>
      <c r="D54" s="383"/>
      <c r="E54" s="383"/>
      <c r="F54" s="383"/>
      <c r="G54" s="383"/>
    </row>
    <row r="55" spans="1:7" ht="15">
      <c r="A55" s="383"/>
      <c r="B55" s="383"/>
      <c r="C55" s="383"/>
      <c r="D55" s="383"/>
      <c r="E55" s="383"/>
      <c r="F55" s="383"/>
      <c r="G55" s="383"/>
    </row>
    <row r="56" spans="1:6" ht="15">
      <c r="A56" s="387" t="s">
        <v>412</v>
      </c>
      <c r="B56" s="383"/>
      <c r="C56" s="383"/>
      <c r="D56" s="383"/>
      <c r="E56" s="383"/>
      <c r="F56" s="383"/>
    </row>
    <row r="57" spans="1:6" ht="15">
      <c r="A57" s="387" t="s">
        <v>413</v>
      </c>
      <c r="B57" s="383"/>
      <c r="C57" s="383"/>
      <c r="D57" s="383"/>
      <c r="E57" s="383"/>
      <c r="F57" s="383"/>
    </row>
    <row r="58" spans="1:6" ht="15">
      <c r="A58" s="387" t="s">
        <v>414</v>
      </c>
      <c r="B58" s="383"/>
      <c r="C58" s="383"/>
      <c r="D58" s="383"/>
      <c r="E58" s="383"/>
      <c r="F58" s="383"/>
    </row>
    <row r="59" spans="1:6" ht="15">
      <c r="A59" s="387"/>
      <c r="B59" s="383"/>
      <c r="C59" s="383"/>
      <c r="D59" s="383"/>
      <c r="E59" s="383"/>
      <c r="F59" s="383"/>
    </row>
    <row r="60" spans="1:7" ht="15">
      <c r="A60" s="383" t="s">
        <v>553</v>
      </c>
      <c r="B60" s="383"/>
      <c r="C60" s="383"/>
      <c r="D60" s="383"/>
      <c r="E60" s="383"/>
      <c r="F60" s="383"/>
      <c r="G60" s="383"/>
    </row>
    <row r="61" spans="1:7" ht="15">
      <c r="A61" s="383" t="s">
        <v>554</v>
      </c>
      <c r="B61" s="383"/>
      <c r="C61" s="383"/>
      <c r="D61" s="383"/>
      <c r="E61" s="383"/>
      <c r="F61" s="383"/>
      <c r="G61" s="383"/>
    </row>
    <row r="62" spans="1:7" ht="15">
      <c r="A62" s="383" t="s">
        <v>555</v>
      </c>
      <c r="B62" s="383"/>
      <c r="C62" s="383"/>
      <c r="D62" s="383"/>
      <c r="E62" s="383"/>
      <c r="F62" s="383"/>
      <c r="G62" s="383"/>
    </row>
    <row r="63" spans="1:7" ht="15">
      <c r="A63" s="383" t="s">
        <v>556</v>
      </c>
      <c r="B63" s="383"/>
      <c r="C63" s="383"/>
      <c r="D63" s="383"/>
      <c r="E63" s="383"/>
      <c r="F63" s="383"/>
      <c r="G63" s="383"/>
    </row>
    <row r="64" spans="1:7" ht="15">
      <c r="A64" s="383" t="s">
        <v>557</v>
      </c>
      <c r="B64" s="383"/>
      <c r="C64" s="383"/>
      <c r="D64" s="383"/>
      <c r="E64" s="383"/>
      <c r="F64" s="383"/>
      <c r="G64" s="383"/>
    </row>
    <row r="66" spans="1:6" ht="15">
      <c r="A66" s="387" t="s">
        <v>520</v>
      </c>
      <c r="B66" s="383"/>
      <c r="C66" s="383"/>
      <c r="D66" s="383"/>
      <c r="E66" s="383"/>
      <c r="F66" s="383"/>
    </row>
    <row r="67" spans="1:6" ht="15">
      <c r="A67" s="387" t="s">
        <v>521</v>
      </c>
      <c r="B67" s="383"/>
      <c r="C67" s="383"/>
      <c r="D67" s="383"/>
      <c r="E67" s="383"/>
      <c r="F67" s="383"/>
    </row>
    <row r="68" spans="1:6" ht="15">
      <c r="A68" s="387" t="s">
        <v>522</v>
      </c>
      <c r="B68" s="383"/>
      <c r="C68" s="383"/>
      <c r="D68" s="383"/>
      <c r="E68" s="383"/>
      <c r="F68" s="383"/>
    </row>
    <row r="69" spans="1:6" ht="15">
      <c r="A69" s="387" t="s">
        <v>523</v>
      </c>
      <c r="B69" s="383"/>
      <c r="C69" s="383"/>
      <c r="D69" s="383"/>
      <c r="E69" s="383"/>
      <c r="F69" s="383"/>
    </row>
    <row r="70" spans="1:6" ht="15">
      <c r="A70" s="387" t="s">
        <v>524</v>
      </c>
      <c r="B70" s="383"/>
      <c r="C70" s="383"/>
      <c r="D70" s="383"/>
      <c r="E70" s="383"/>
      <c r="F70" s="383"/>
    </row>
    <row r="71" ht="15">
      <c r="A71" s="383"/>
    </row>
    <row r="72" ht="15">
      <c r="A72" s="383" t="s">
        <v>441</v>
      </c>
    </row>
    <row r="73" ht="15">
      <c r="A73" s="383"/>
    </row>
    <row r="74" ht="15">
      <c r="A74" s="383"/>
    </row>
    <row r="75" ht="15">
      <c r="A75" s="383"/>
    </row>
    <row r="78" ht="15">
      <c r="A78" s="384"/>
    </row>
    <row r="80" ht="15">
      <c r="A80" s="383"/>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2" ht="15">
      <c r="A102" s="383"/>
    </row>
    <row r="103" ht="15">
      <c r="A103" s="383"/>
    </row>
    <row r="104" ht="15">
      <c r="A104" s="383"/>
    </row>
    <row r="105" ht="15">
      <c r="A105" s="383"/>
    </row>
    <row r="106" ht="15">
      <c r="A106" s="383"/>
    </row>
  </sheetData>
  <sheetProtection sheet="1"/>
  <printOptions/>
  <pageMargins left="0.7" right="0.7" top="0.75" bottom="0.75" header="0.3" footer="0.3"/>
  <pageSetup horizontalDpi="600" verticalDpi="600" orientation="portrait" r:id="rId1"/>
</worksheet>
</file>

<file path=xl/worksheets/sheet3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2" sqref="A2"/>
    </sheetView>
  </sheetViews>
  <sheetFormatPr defaultColWidth="8.796875" defaultRowHeight="15"/>
  <cols>
    <col min="1" max="1" width="71.296875" style="0" customWidth="1"/>
  </cols>
  <sheetData>
    <row r="3" spans="1:7" ht="15">
      <c r="A3" s="382" t="s">
        <v>558</v>
      </c>
      <c r="B3" s="382"/>
      <c r="C3" s="382"/>
      <c r="D3" s="382"/>
      <c r="E3" s="382"/>
      <c r="F3" s="382"/>
      <c r="G3" s="382"/>
    </row>
    <row r="4" spans="1:7" ht="15">
      <c r="A4" s="382" t="s">
        <v>559</v>
      </c>
      <c r="B4" s="382"/>
      <c r="C4" s="382"/>
      <c r="D4" s="382"/>
      <c r="E4" s="382"/>
      <c r="F4" s="382"/>
      <c r="G4" s="382"/>
    </row>
    <row r="5" spans="1:7" ht="15">
      <c r="A5" s="382"/>
      <c r="B5" s="382"/>
      <c r="C5" s="382"/>
      <c r="D5" s="382"/>
      <c r="E5" s="382"/>
      <c r="F5" s="382"/>
      <c r="G5" s="382"/>
    </row>
    <row r="6" spans="1:7" ht="15">
      <c r="A6" s="382"/>
      <c r="B6" s="382"/>
      <c r="C6" s="382"/>
      <c r="D6" s="382"/>
      <c r="E6" s="382"/>
      <c r="F6" s="382"/>
      <c r="G6" s="382"/>
    </row>
    <row r="7" ht="15">
      <c r="A7" s="383" t="s">
        <v>386</v>
      </c>
    </row>
    <row r="8" ht="15">
      <c r="A8" s="383" t="str">
        <f>CONCATENATE("estimated ",inputPrYr!C4," 'total expenditures' exceed your ",inputPrYr!C4,"")</f>
        <v>estimated 2015 'total expenditures' exceed your 2015</v>
      </c>
    </row>
    <row r="9" ht="15">
      <c r="A9" s="386" t="s">
        <v>560</v>
      </c>
    </row>
    <row r="10" ht="15">
      <c r="A10" s="383"/>
    </row>
    <row r="11" ht="15">
      <c r="A11" s="383" t="s">
        <v>561</v>
      </c>
    </row>
    <row r="12" ht="15">
      <c r="A12" s="383" t="s">
        <v>562</v>
      </c>
    </row>
    <row r="13" ht="15">
      <c r="A13" s="383" t="s">
        <v>563</v>
      </c>
    </row>
    <row r="14" ht="15">
      <c r="A14" s="383"/>
    </row>
    <row r="15" ht="15">
      <c r="A15" s="384" t="s">
        <v>564</v>
      </c>
    </row>
    <row r="16" spans="1:7" ht="15">
      <c r="A16" s="382"/>
      <c r="B16" s="382"/>
      <c r="C16" s="382"/>
      <c r="D16" s="382"/>
      <c r="E16" s="382"/>
      <c r="F16" s="382"/>
      <c r="G16" s="382"/>
    </row>
    <row r="17" spans="1:8" ht="15">
      <c r="A17" s="389" t="s">
        <v>565</v>
      </c>
      <c r="B17" s="370"/>
      <c r="C17" s="370"/>
      <c r="D17" s="370"/>
      <c r="E17" s="370"/>
      <c r="F17" s="370"/>
      <c r="G17" s="370"/>
      <c r="H17" s="370"/>
    </row>
    <row r="18" spans="1:7" ht="15">
      <c r="A18" s="383" t="s">
        <v>566</v>
      </c>
      <c r="B18" s="390"/>
      <c r="C18" s="390"/>
      <c r="D18" s="390"/>
      <c r="E18" s="390"/>
      <c r="F18" s="390"/>
      <c r="G18" s="390"/>
    </row>
    <row r="19" ht="15">
      <c r="A19" s="383" t="s">
        <v>567</v>
      </c>
    </row>
    <row r="20" ht="15">
      <c r="A20" s="383" t="s">
        <v>568</v>
      </c>
    </row>
    <row r="22" ht="15">
      <c r="A22" s="384" t="s">
        <v>569</v>
      </c>
    </row>
    <row r="24" ht="15">
      <c r="A24" s="383" t="s">
        <v>570</v>
      </c>
    </row>
    <row r="25" ht="15">
      <c r="A25" s="383" t="s">
        <v>571</v>
      </c>
    </row>
    <row r="26" ht="15">
      <c r="A26" s="383" t="s">
        <v>572</v>
      </c>
    </row>
    <row r="28" ht="15">
      <c r="A28" s="384" t="s">
        <v>573</v>
      </c>
    </row>
    <row r="30" ht="15">
      <c r="A30" t="s">
        <v>574</v>
      </c>
    </row>
    <row r="31" ht="15">
      <c r="A31" t="s">
        <v>575</v>
      </c>
    </row>
    <row r="32" ht="15">
      <c r="A32" t="s">
        <v>576</v>
      </c>
    </row>
    <row r="33" ht="15">
      <c r="A33" s="383" t="s">
        <v>577</v>
      </c>
    </row>
    <row r="35" ht="15">
      <c r="A35" t="s">
        <v>578</v>
      </c>
    </row>
    <row r="36" ht="15">
      <c r="A36" t="s">
        <v>579</v>
      </c>
    </row>
    <row r="37" ht="15">
      <c r="A37" t="s">
        <v>580</v>
      </c>
    </row>
    <row r="38" ht="15">
      <c r="A38" t="s">
        <v>581</v>
      </c>
    </row>
    <row r="40" ht="15">
      <c r="A40" t="s">
        <v>582</v>
      </c>
    </row>
    <row r="41" ht="15">
      <c r="A41" t="s">
        <v>583</v>
      </c>
    </row>
    <row r="42" ht="15">
      <c r="A42" t="s">
        <v>584</v>
      </c>
    </row>
    <row r="43" ht="15">
      <c r="A43" t="s">
        <v>585</v>
      </c>
    </row>
    <row r="44" ht="15">
      <c r="A44" t="s">
        <v>586</v>
      </c>
    </row>
    <row r="45" ht="15">
      <c r="A45" t="s">
        <v>587</v>
      </c>
    </row>
    <row r="47" ht="15">
      <c r="A47" t="s">
        <v>588</v>
      </c>
    </row>
    <row r="48" ht="15">
      <c r="A48" t="s">
        <v>589</v>
      </c>
    </row>
    <row r="49" ht="15">
      <c r="A49" s="383" t="s">
        <v>590</v>
      </c>
    </row>
    <row r="50" ht="15">
      <c r="A50" s="383" t="s">
        <v>591</v>
      </c>
    </row>
    <row r="52" ht="15">
      <c r="A52" t="s">
        <v>441</v>
      </c>
    </row>
  </sheetData>
  <sheetProtection sheet="1"/>
  <printOptions/>
  <pageMargins left="0.7" right="0.7" top="0.75" bottom="0.75" header="0.3" footer="0.3"/>
  <pageSetup horizontalDpi="600" verticalDpi="600" orientation="portrait" r:id="rId1"/>
</worksheet>
</file>

<file path=xl/worksheets/sheet39.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74" customWidth="1"/>
    <col min="2" max="2" width="11.19921875" style="500" customWidth="1"/>
    <col min="3" max="3" width="7.3984375" style="500" customWidth="1"/>
    <col min="4" max="4" width="8.8984375" style="500" customWidth="1"/>
    <col min="5" max="5" width="1.59765625" style="500" customWidth="1"/>
    <col min="6" max="6" width="14.296875" style="500" customWidth="1"/>
    <col min="7" max="7" width="2.59765625" style="500" customWidth="1"/>
    <col min="8" max="8" width="9.796875" style="500" customWidth="1"/>
    <col min="9" max="9" width="2" style="500" customWidth="1"/>
    <col min="10" max="10" width="8.59765625" style="500" customWidth="1"/>
    <col min="11" max="11" width="11.69921875" style="500" customWidth="1"/>
    <col min="12" max="12" width="7.59765625" style="474" customWidth="1"/>
    <col min="13" max="14" width="8.8984375" style="474" customWidth="1"/>
    <col min="15" max="15" width="9.8984375" style="474" bestFit="1" customWidth="1"/>
    <col min="16" max="16384" width="8.8984375" style="474" customWidth="1"/>
  </cols>
  <sheetData>
    <row r="1" spans="1:12" ht="14.25">
      <c r="A1" s="499"/>
      <c r="B1" s="499"/>
      <c r="C1" s="499"/>
      <c r="D1" s="499"/>
      <c r="E1" s="499"/>
      <c r="F1" s="499"/>
      <c r="G1" s="499"/>
      <c r="H1" s="499"/>
      <c r="I1" s="499"/>
      <c r="J1" s="499"/>
      <c r="K1" s="499"/>
      <c r="L1" s="499"/>
    </row>
    <row r="2" spans="1:12" ht="14.25">
      <c r="A2" s="499"/>
      <c r="B2" s="499"/>
      <c r="C2" s="499"/>
      <c r="D2" s="499"/>
      <c r="E2" s="499"/>
      <c r="F2" s="499"/>
      <c r="G2" s="499"/>
      <c r="H2" s="499"/>
      <c r="I2" s="499"/>
      <c r="J2" s="499"/>
      <c r="K2" s="499"/>
      <c r="L2" s="499"/>
    </row>
    <row r="3" spans="1:12" ht="14.25">
      <c r="A3" s="499"/>
      <c r="B3" s="499"/>
      <c r="C3" s="499"/>
      <c r="D3" s="499"/>
      <c r="E3" s="499"/>
      <c r="F3" s="499"/>
      <c r="G3" s="499"/>
      <c r="H3" s="499"/>
      <c r="I3" s="499"/>
      <c r="J3" s="499"/>
      <c r="K3" s="499"/>
      <c r="L3" s="499"/>
    </row>
    <row r="4" spans="1:12" ht="14.25">
      <c r="A4" s="499"/>
      <c r="L4" s="499"/>
    </row>
    <row r="5" spans="1:12" ht="15" customHeight="1">
      <c r="A5" s="499"/>
      <c r="L5" s="499"/>
    </row>
    <row r="6" spans="1:12" ht="33" customHeight="1">
      <c r="A6" s="499"/>
      <c r="B6" s="849" t="s">
        <v>687</v>
      </c>
      <c r="C6" s="854"/>
      <c r="D6" s="854"/>
      <c r="E6" s="854"/>
      <c r="F6" s="854"/>
      <c r="G6" s="854"/>
      <c r="H6" s="854"/>
      <c r="I6" s="854"/>
      <c r="J6" s="854"/>
      <c r="K6" s="854"/>
      <c r="L6" s="501"/>
    </row>
    <row r="7" spans="1:12" ht="40.5" customHeight="1">
      <c r="A7" s="499"/>
      <c r="B7" s="863" t="s">
        <v>688</v>
      </c>
      <c r="C7" s="864"/>
      <c r="D7" s="864"/>
      <c r="E7" s="864"/>
      <c r="F7" s="864"/>
      <c r="G7" s="864"/>
      <c r="H7" s="864"/>
      <c r="I7" s="864"/>
      <c r="J7" s="864"/>
      <c r="K7" s="864"/>
      <c r="L7" s="499"/>
    </row>
    <row r="8" spans="1:12" ht="14.25">
      <c r="A8" s="499"/>
      <c r="B8" s="855" t="s">
        <v>689</v>
      </c>
      <c r="C8" s="855"/>
      <c r="D8" s="855"/>
      <c r="E8" s="855"/>
      <c r="F8" s="855"/>
      <c r="G8" s="855"/>
      <c r="H8" s="855"/>
      <c r="I8" s="855"/>
      <c r="J8" s="855"/>
      <c r="K8" s="855"/>
      <c r="L8" s="499"/>
    </row>
    <row r="9" spans="1:12" ht="14.25">
      <c r="A9" s="499"/>
      <c r="L9" s="499"/>
    </row>
    <row r="10" spans="1:12" ht="14.25">
      <c r="A10" s="499"/>
      <c r="B10" s="855" t="s">
        <v>690</v>
      </c>
      <c r="C10" s="855"/>
      <c r="D10" s="855"/>
      <c r="E10" s="855"/>
      <c r="F10" s="855"/>
      <c r="G10" s="855"/>
      <c r="H10" s="855"/>
      <c r="I10" s="855"/>
      <c r="J10" s="855"/>
      <c r="K10" s="855"/>
      <c r="L10" s="499"/>
    </row>
    <row r="11" spans="1:12" ht="14.25">
      <c r="A11" s="499"/>
      <c r="B11" s="560"/>
      <c r="C11" s="560"/>
      <c r="D11" s="560"/>
      <c r="E11" s="560"/>
      <c r="F11" s="560"/>
      <c r="G11" s="560"/>
      <c r="H11" s="560"/>
      <c r="I11" s="560"/>
      <c r="J11" s="560"/>
      <c r="K11" s="560"/>
      <c r="L11" s="499"/>
    </row>
    <row r="12" spans="1:12" ht="32.25" customHeight="1">
      <c r="A12" s="499"/>
      <c r="B12" s="850" t="s">
        <v>691</v>
      </c>
      <c r="C12" s="850"/>
      <c r="D12" s="850"/>
      <c r="E12" s="850"/>
      <c r="F12" s="850"/>
      <c r="G12" s="850"/>
      <c r="H12" s="850"/>
      <c r="I12" s="850"/>
      <c r="J12" s="850"/>
      <c r="K12" s="850"/>
      <c r="L12" s="499"/>
    </row>
    <row r="13" spans="1:12" ht="14.25">
      <c r="A13" s="499"/>
      <c r="L13" s="499"/>
    </row>
    <row r="14" spans="1:12" ht="14.25">
      <c r="A14" s="499"/>
      <c r="B14" s="482" t="s">
        <v>692</v>
      </c>
      <c r="L14" s="499"/>
    </row>
    <row r="15" spans="1:12" ht="14.25">
      <c r="A15" s="499"/>
      <c r="L15" s="499"/>
    </row>
    <row r="16" spans="1:12" ht="14.25">
      <c r="A16" s="499"/>
      <c r="B16" s="500" t="s">
        <v>693</v>
      </c>
      <c r="L16" s="499"/>
    </row>
    <row r="17" spans="1:12" ht="14.25">
      <c r="A17" s="499"/>
      <c r="B17" s="500" t="s">
        <v>694</v>
      </c>
      <c r="L17" s="499"/>
    </row>
    <row r="18" spans="1:12" ht="14.25">
      <c r="A18" s="499"/>
      <c r="L18" s="499"/>
    </row>
    <row r="19" spans="1:12" ht="14.25">
      <c r="A19" s="499"/>
      <c r="B19" s="482" t="s">
        <v>764</v>
      </c>
      <c r="L19" s="499"/>
    </row>
    <row r="20" spans="1:12" ht="14.25">
      <c r="A20" s="499"/>
      <c r="B20" s="482"/>
      <c r="L20" s="499"/>
    </row>
    <row r="21" spans="1:12" ht="14.25">
      <c r="A21" s="499"/>
      <c r="B21" s="500" t="s">
        <v>765</v>
      </c>
      <c r="L21" s="499"/>
    </row>
    <row r="22" spans="1:12" ht="14.25">
      <c r="A22" s="499"/>
      <c r="L22" s="499"/>
    </row>
    <row r="23" spans="1:12" ht="14.25">
      <c r="A23" s="499"/>
      <c r="B23" s="500" t="s">
        <v>695</v>
      </c>
      <c r="E23" s="500" t="s">
        <v>696</v>
      </c>
      <c r="F23" s="851">
        <v>312000000</v>
      </c>
      <c r="G23" s="851"/>
      <c r="L23" s="499"/>
    </row>
    <row r="24" spans="1:12" ht="14.25">
      <c r="A24" s="499"/>
      <c r="L24" s="499"/>
    </row>
    <row r="25" spans="1:12" ht="14.25">
      <c r="A25" s="499"/>
      <c r="C25" s="865">
        <f>F23</f>
        <v>312000000</v>
      </c>
      <c r="D25" s="865"/>
      <c r="E25" s="500" t="s">
        <v>697</v>
      </c>
      <c r="F25" s="502">
        <v>1000</v>
      </c>
      <c r="G25" s="502" t="s">
        <v>696</v>
      </c>
      <c r="H25" s="561">
        <f>F23/F25</f>
        <v>312000</v>
      </c>
      <c r="L25" s="499"/>
    </row>
    <row r="26" spans="1:12" ht="15" thickBot="1">
      <c r="A26" s="499"/>
      <c r="L26" s="499"/>
    </row>
    <row r="27" spans="1:12" ht="14.25">
      <c r="A27" s="499"/>
      <c r="B27" s="483" t="s">
        <v>692</v>
      </c>
      <c r="C27" s="503"/>
      <c r="D27" s="503"/>
      <c r="E27" s="503"/>
      <c r="F27" s="503"/>
      <c r="G27" s="503"/>
      <c r="H27" s="503"/>
      <c r="I27" s="503"/>
      <c r="J27" s="503"/>
      <c r="K27" s="504"/>
      <c r="L27" s="499"/>
    </row>
    <row r="28" spans="1:12" ht="14.25">
      <c r="A28" s="499"/>
      <c r="B28" s="505">
        <f>F23</f>
        <v>312000000</v>
      </c>
      <c r="C28" s="506" t="s">
        <v>698</v>
      </c>
      <c r="D28" s="506"/>
      <c r="E28" s="506" t="s">
        <v>697</v>
      </c>
      <c r="F28" s="564">
        <v>1000</v>
      </c>
      <c r="G28" s="564" t="s">
        <v>696</v>
      </c>
      <c r="H28" s="507">
        <f>B28/F28</f>
        <v>312000</v>
      </c>
      <c r="I28" s="506" t="s">
        <v>699</v>
      </c>
      <c r="J28" s="506"/>
      <c r="K28" s="508"/>
      <c r="L28" s="499"/>
    </row>
    <row r="29" spans="1:12" ht="15" thickBot="1">
      <c r="A29" s="499"/>
      <c r="B29" s="509"/>
      <c r="C29" s="510"/>
      <c r="D29" s="510"/>
      <c r="E29" s="510"/>
      <c r="F29" s="510"/>
      <c r="G29" s="510"/>
      <c r="H29" s="510"/>
      <c r="I29" s="510"/>
      <c r="J29" s="510"/>
      <c r="K29" s="511"/>
      <c r="L29" s="499"/>
    </row>
    <row r="30" spans="1:12" ht="40.5" customHeight="1">
      <c r="A30" s="499"/>
      <c r="B30" s="852" t="s">
        <v>688</v>
      </c>
      <c r="C30" s="852"/>
      <c r="D30" s="852"/>
      <c r="E30" s="852"/>
      <c r="F30" s="852"/>
      <c r="G30" s="852"/>
      <c r="H30" s="852"/>
      <c r="I30" s="852"/>
      <c r="J30" s="852"/>
      <c r="K30" s="852"/>
      <c r="L30" s="499"/>
    </row>
    <row r="31" spans="1:12" ht="14.25">
      <c r="A31" s="499"/>
      <c r="B31" s="855" t="s">
        <v>700</v>
      </c>
      <c r="C31" s="855"/>
      <c r="D31" s="855"/>
      <c r="E31" s="855"/>
      <c r="F31" s="855"/>
      <c r="G31" s="855"/>
      <c r="H31" s="855"/>
      <c r="I31" s="855"/>
      <c r="J31" s="855"/>
      <c r="K31" s="855"/>
      <c r="L31" s="499"/>
    </row>
    <row r="32" spans="1:12" ht="14.25">
      <c r="A32" s="499"/>
      <c r="L32" s="499"/>
    </row>
    <row r="33" spans="1:12" ht="14.25">
      <c r="A33" s="499"/>
      <c r="B33" s="855" t="s">
        <v>701</v>
      </c>
      <c r="C33" s="855"/>
      <c r="D33" s="855"/>
      <c r="E33" s="855"/>
      <c r="F33" s="855"/>
      <c r="G33" s="855"/>
      <c r="H33" s="855"/>
      <c r="I33" s="855"/>
      <c r="J33" s="855"/>
      <c r="K33" s="855"/>
      <c r="L33" s="499"/>
    </row>
    <row r="34" spans="1:12" ht="14.25">
      <c r="A34" s="499"/>
      <c r="L34" s="499"/>
    </row>
    <row r="35" spans="1:12" ht="89.25" customHeight="1">
      <c r="A35" s="499"/>
      <c r="B35" s="850" t="s">
        <v>702</v>
      </c>
      <c r="C35" s="856"/>
      <c r="D35" s="856"/>
      <c r="E35" s="856"/>
      <c r="F35" s="856"/>
      <c r="G35" s="856"/>
      <c r="H35" s="856"/>
      <c r="I35" s="856"/>
      <c r="J35" s="856"/>
      <c r="K35" s="856"/>
      <c r="L35" s="499"/>
    </row>
    <row r="36" spans="1:12" ht="14.25">
      <c r="A36" s="499"/>
      <c r="L36" s="499"/>
    </row>
    <row r="37" spans="1:12" ht="14.25">
      <c r="A37" s="499"/>
      <c r="B37" s="482" t="s">
        <v>703</v>
      </c>
      <c r="L37" s="499"/>
    </row>
    <row r="38" spans="1:12" ht="14.25">
      <c r="A38" s="499"/>
      <c r="L38" s="499"/>
    </row>
    <row r="39" spans="1:12" ht="14.25">
      <c r="A39" s="499"/>
      <c r="B39" s="500" t="s">
        <v>704</v>
      </c>
      <c r="L39" s="499"/>
    </row>
    <row r="40" spans="1:12" ht="14.25">
      <c r="A40" s="499"/>
      <c r="L40" s="499"/>
    </row>
    <row r="41" spans="1:12" ht="14.25">
      <c r="A41" s="499"/>
      <c r="C41" s="857">
        <v>312000000</v>
      </c>
      <c r="D41" s="857"/>
      <c r="E41" s="500" t="s">
        <v>697</v>
      </c>
      <c r="F41" s="502">
        <v>1000</v>
      </c>
      <c r="G41" s="502" t="s">
        <v>696</v>
      </c>
      <c r="H41" s="512">
        <f>C41/F41</f>
        <v>312000</v>
      </c>
      <c r="L41" s="499"/>
    </row>
    <row r="42" spans="1:12" ht="14.25">
      <c r="A42" s="499"/>
      <c r="L42" s="499"/>
    </row>
    <row r="43" spans="1:12" ht="14.25">
      <c r="A43" s="499"/>
      <c r="B43" s="500" t="s">
        <v>705</v>
      </c>
      <c r="L43" s="499"/>
    </row>
    <row r="44" spans="1:12" ht="14.25">
      <c r="A44" s="499"/>
      <c r="L44" s="499"/>
    </row>
    <row r="45" spans="1:12" ht="14.25">
      <c r="A45" s="499"/>
      <c r="B45" s="500" t="s">
        <v>706</v>
      </c>
      <c r="L45" s="499"/>
    </row>
    <row r="46" spans="1:12" ht="15" thickBot="1">
      <c r="A46" s="499"/>
      <c r="L46" s="499"/>
    </row>
    <row r="47" spans="1:12" ht="14.25">
      <c r="A47" s="499"/>
      <c r="B47" s="513" t="s">
        <v>692</v>
      </c>
      <c r="C47" s="503"/>
      <c r="D47" s="503"/>
      <c r="E47" s="503"/>
      <c r="F47" s="503"/>
      <c r="G47" s="503"/>
      <c r="H47" s="503"/>
      <c r="I47" s="503"/>
      <c r="J47" s="503"/>
      <c r="K47" s="504"/>
      <c r="L47" s="499"/>
    </row>
    <row r="48" spans="1:12" ht="14.25">
      <c r="A48" s="499"/>
      <c r="B48" s="858">
        <v>312000000</v>
      </c>
      <c r="C48" s="851"/>
      <c r="D48" s="506" t="s">
        <v>707</v>
      </c>
      <c r="E48" s="506" t="s">
        <v>697</v>
      </c>
      <c r="F48" s="564">
        <v>1000</v>
      </c>
      <c r="G48" s="564" t="s">
        <v>696</v>
      </c>
      <c r="H48" s="507">
        <f>B48/F48</f>
        <v>312000</v>
      </c>
      <c r="I48" s="506" t="s">
        <v>708</v>
      </c>
      <c r="J48" s="506"/>
      <c r="K48" s="508"/>
      <c r="L48" s="499"/>
    </row>
    <row r="49" spans="1:12" ht="14.25">
      <c r="A49" s="499"/>
      <c r="B49" s="514"/>
      <c r="C49" s="506"/>
      <c r="D49" s="506"/>
      <c r="E49" s="506"/>
      <c r="F49" s="506"/>
      <c r="G49" s="506"/>
      <c r="H49" s="506"/>
      <c r="I49" s="506"/>
      <c r="J49" s="506"/>
      <c r="K49" s="508"/>
      <c r="L49" s="499"/>
    </row>
    <row r="50" spans="1:12" ht="14.25">
      <c r="A50" s="499"/>
      <c r="B50" s="515">
        <v>50000</v>
      </c>
      <c r="C50" s="506" t="s">
        <v>709</v>
      </c>
      <c r="D50" s="506"/>
      <c r="E50" s="506" t="s">
        <v>697</v>
      </c>
      <c r="F50" s="507">
        <f>H48</f>
        <v>312000</v>
      </c>
      <c r="G50" s="859" t="s">
        <v>710</v>
      </c>
      <c r="H50" s="860"/>
      <c r="I50" s="564" t="s">
        <v>696</v>
      </c>
      <c r="J50" s="516">
        <f>B50/F50</f>
        <v>0.16025641025641027</v>
      </c>
      <c r="K50" s="508"/>
      <c r="L50" s="499"/>
    </row>
    <row r="51" spans="1:15" ht="15" thickBot="1">
      <c r="A51" s="499"/>
      <c r="B51" s="509"/>
      <c r="C51" s="510"/>
      <c r="D51" s="510"/>
      <c r="E51" s="510"/>
      <c r="F51" s="510"/>
      <c r="G51" s="510"/>
      <c r="H51" s="510"/>
      <c r="I51" s="861" t="s">
        <v>711</v>
      </c>
      <c r="J51" s="861"/>
      <c r="K51" s="862"/>
      <c r="L51" s="499"/>
      <c r="O51" s="517"/>
    </row>
    <row r="52" spans="1:12" ht="40.5" customHeight="1">
      <c r="A52" s="499"/>
      <c r="B52" s="852" t="s">
        <v>688</v>
      </c>
      <c r="C52" s="852"/>
      <c r="D52" s="852"/>
      <c r="E52" s="852"/>
      <c r="F52" s="852"/>
      <c r="G52" s="852"/>
      <c r="H52" s="852"/>
      <c r="I52" s="852"/>
      <c r="J52" s="852"/>
      <c r="K52" s="852"/>
      <c r="L52" s="499"/>
    </row>
    <row r="53" spans="1:12" ht="14.25">
      <c r="A53" s="499"/>
      <c r="B53" s="855" t="s">
        <v>712</v>
      </c>
      <c r="C53" s="855"/>
      <c r="D53" s="855"/>
      <c r="E53" s="855"/>
      <c r="F53" s="855"/>
      <c r="G53" s="855"/>
      <c r="H53" s="855"/>
      <c r="I53" s="855"/>
      <c r="J53" s="855"/>
      <c r="K53" s="855"/>
      <c r="L53" s="499"/>
    </row>
    <row r="54" spans="1:12" ht="14.25">
      <c r="A54" s="499"/>
      <c r="B54" s="560"/>
      <c r="C54" s="560"/>
      <c r="D54" s="560"/>
      <c r="E54" s="560"/>
      <c r="F54" s="560"/>
      <c r="G54" s="560"/>
      <c r="H54" s="560"/>
      <c r="I54" s="560"/>
      <c r="J54" s="560"/>
      <c r="K54" s="560"/>
      <c r="L54" s="499"/>
    </row>
    <row r="55" spans="1:12" ht="14.25">
      <c r="A55" s="499"/>
      <c r="B55" s="849" t="s">
        <v>713</v>
      </c>
      <c r="C55" s="849"/>
      <c r="D55" s="849"/>
      <c r="E55" s="849"/>
      <c r="F55" s="849"/>
      <c r="G55" s="849"/>
      <c r="H55" s="849"/>
      <c r="I55" s="849"/>
      <c r="J55" s="849"/>
      <c r="K55" s="849"/>
      <c r="L55" s="499"/>
    </row>
    <row r="56" spans="1:12" ht="15" customHeight="1">
      <c r="A56" s="499"/>
      <c r="L56" s="499"/>
    </row>
    <row r="57" spans="1:24" ht="74.25" customHeight="1">
      <c r="A57" s="499"/>
      <c r="B57" s="850" t="s">
        <v>714</v>
      </c>
      <c r="C57" s="856"/>
      <c r="D57" s="856"/>
      <c r="E57" s="856"/>
      <c r="F57" s="856"/>
      <c r="G57" s="856"/>
      <c r="H57" s="856"/>
      <c r="I57" s="856"/>
      <c r="J57" s="856"/>
      <c r="K57" s="856"/>
      <c r="L57" s="499"/>
      <c r="M57" s="484"/>
      <c r="N57" s="473"/>
      <c r="O57" s="473"/>
      <c r="P57" s="473"/>
      <c r="Q57" s="473"/>
      <c r="R57" s="473"/>
      <c r="S57" s="473"/>
      <c r="T57" s="473"/>
      <c r="U57" s="473"/>
      <c r="V57" s="473"/>
      <c r="W57" s="473"/>
      <c r="X57" s="473"/>
    </row>
    <row r="58" spans="1:24" ht="15" customHeight="1">
      <c r="A58" s="499"/>
      <c r="B58" s="850"/>
      <c r="C58" s="856"/>
      <c r="D58" s="856"/>
      <c r="E58" s="856"/>
      <c r="F58" s="856"/>
      <c r="G58" s="856"/>
      <c r="H58" s="856"/>
      <c r="I58" s="856"/>
      <c r="J58" s="856"/>
      <c r="K58" s="856"/>
      <c r="L58" s="499"/>
      <c r="M58" s="484"/>
      <c r="N58" s="473"/>
      <c r="O58" s="473"/>
      <c r="P58" s="473"/>
      <c r="Q58" s="473"/>
      <c r="R58" s="473"/>
      <c r="S58" s="473"/>
      <c r="T58" s="473"/>
      <c r="U58" s="473"/>
      <c r="V58" s="473"/>
      <c r="W58" s="473"/>
      <c r="X58" s="473"/>
    </row>
    <row r="59" spans="1:24" ht="14.25">
      <c r="A59" s="499"/>
      <c r="B59" s="482" t="s">
        <v>703</v>
      </c>
      <c r="L59" s="499"/>
      <c r="M59" s="473"/>
      <c r="N59" s="473"/>
      <c r="O59" s="473"/>
      <c r="P59" s="473"/>
      <c r="Q59" s="473"/>
      <c r="R59" s="473"/>
      <c r="S59" s="473"/>
      <c r="T59" s="473"/>
      <c r="U59" s="473"/>
      <c r="V59" s="473"/>
      <c r="W59" s="473"/>
      <c r="X59" s="473"/>
    </row>
    <row r="60" spans="1:24" ht="14.25">
      <c r="A60" s="499"/>
      <c r="L60" s="499"/>
      <c r="M60" s="473"/>
      <c r="N60" s="473"/>
      <c r="O60" s="473"/>
      <c r="P60" s="473"/>
      <c r="Q60" s="473"/>
      <c r="R60" s="473"/>
      <c r="S60" s="473"/>
      <c r="T60" s="473"/>
      <c r="U60" s="473"/>
      <c r="V60" s="473"/>
      <c r="W60" s="473"/>
      <c r="X60" s="473"/>
    </row>
    <row r="61" spans="1:24" ht="14.25">
      <c r="A61" s="499"/>
      <c r="B61" s="500" t="s">
        <v>715</v>
      </c>
      <c r="L61" s="499"/>
      <c r="M61" s="473"/>
      <c r="N61" s="473"/>
      <c r="O61" s="473"/>
      <c r="P61" s="473"/>
      <c r="Q61" s="473"/>
      <c r="R61" s="473"/>
      <c r="S61" s="473"/>
      <c r="T61" s="473"/>
      <c r="U61" s="473"/>
      <c r="V61" s="473"/>
      <c r="W61" s="473"/>
      <c r="X61" s="473"/>
    </row>
    <row r="62" spans="1:24" ht="14.25">
      <c r="A62" s="499"/>
      <c r="B62" s="500" t="s">
        <v>766</v>
      </c>
      <c r="L62" s="499"/>
      <c r="M62" s="473"/>
      <c r="N62" s="473"/>
      <c r="O62" s="473"/>
      <c r="P62" s="473"/>
      <c r="Q62" s="473"/>
      <c r="R62" s="473"/>
      <c r="S62" s="473"/>
      <c r="T62" s="473"/>
      <c r="U62" s="473"/>
      <c r="V62" s="473"/>
      <c r="W62" s="473"/>
      <c r="X62" s="473"/>
    </row>
    <row r="63" spans="1:24" ht="14.25">
      <c r="A63" s="499"/>
      <c r="B63" s="500" t="s">
        <v>767</v>
      </c>
      <c r="L63" s="499"/>
      <c r="M63" s="473"/>
      <c r="N63" s="473"/>
      <c r="O63" s="473"/>
      <c r="P63" s="473"/>
      <c r="Q63" s="473"/>
      <c r="R63" s="473"/>
      <c r="S63" s="473"/>
      <c r="T63" s="473"/>
      <c r="U63" s="473"/>
      <c r="V63" s="473"/>
      <c r="W63" s="473"/>
      <c r="X63" s="473"/>
    </row>
    <row r="64" spans="1:24" ht="14.25">
      <c r="A64" s="499"/>
      <c r="L64" s="499"/>
      <c r="M64" s="473"/>
      <c r="N64" s="473"/>
      <c r="O64" s="473"/>
      <c r="P64" s="473"/>
      <c r="Q64" s="473"/>
      <c r="R64" s="473"/>
      <c r="S64" s="473"/>
      <c r="T64" s="473"/>
      <c r="U64" s="473"/>
      <c r="V64" s="473"/>
      <c r="W64" s="473"/>
      <c r="X64" s="473"/>
    </row>
    <row r="65" spans="1:24" ht="14.25">
      <c r="A65" s="499"/>
      <c r="B65" s="500" t="s">
        <v>716</v>
      </c>
      <c r="L65" s="499"/>
      <c r="M65" s="473"/>
      <c r="N65" s="473"/>
      <c r="O65" s="473"/>
      <c r="P65" s="473"/>
      <c r="Q65" s="473"/>
      <c r="R65" s="473"/>
      <c r="S65" s="473"/>
      <c r="T65" s="473"/>
      <c r="U65" s="473"/>
      <c r="V65" s="473"/>
      <c r="W65" s="473"/>
      <c r="X65" s="473"/>
    </row>
    <row r="66" spans="1:24" ht="14.25">
      <c r="A66" s="499"/>
      <c r="B66" s="500" t="s">
        <v>717</v>
      </c>
      <c r="L66" s="499"/>
      <c r="M66" s="473"/>
      <c r="N66" s="473"/>
      <c r="O66" s="473"/>
      <c r="P66" s="473"/>
      <c r="Q66" s="473"/>
      <c r="R66" s="473"/>
      <c r="S66" s="473"/>
      <c r="T66" s="473"/>
      <c r="U66" s="473"/>
      <c r="V66" s="473"/>
      <c r="W66" s="473"/>
      <c r="X66" s="473"/>
    </row>
    <row r="67" spans="1:24" ht="14.25">
      <c r="A67" s="499"/>
      <c r="L67" s="499"/>
      <c r="M67" s="473"/>
      <c r="N67" s="473"/>
      <c r="O67" s="473"/>
      <c r="P67" s="473"/>
      <c r="Q67" s="473"/>
      <c r="R67" s="473"/>
      <c r="S67" s="473"/>
      <c r="T67" s="473"/>
      <c r="U67" s="473"/>
      <c r="V67" s="473"/>
      <c r="W67" s="473"/>
      <c r="X67" s="473"/>
    </row>
    <row r="68" spans="1:24" ht="14.25">
      <c r="A68" s="499"/>
      <c r="B68" s="500" t="s">
        <v>718</v>
      </c>
      <c r="L68" s="499"/>
      <c r="M68" s="485"/>
      <c r="N68" s="472"/>
      <c r="O68" s="472"/>
      <c r="P68" s="472"/>
      <c r="Q68" s="472"/>
      <c r="R68" s="472"/>
      <c r="S68" s="472"/>
      <c r="T68" s="472"/>
      <c r="U68" s="472"/>
      <c r="V68" s="472"/>
      <c r="W68" s="472"/>
      <c r="X68" s="473"/>
    </row>
    <row r="69" spans="1:24" ht="14.25">
      <c r="A69" s="499"/>
      <c r="B69" s="500" t="s">
        <v>768</v>
      </c>
      <c r="L69" s="499"/>
      <c r="M69" s="473"/>
      <c r="N69" s="473"/>
      <c r="O69" s="473"/>
      <c r="P69" s="473"/>
      <c r="Q69" s="473"/>
      <c r="R69" s="473"/>
      <c r="S69" s="473"/>
      <c r="T69" s="473"/>
      <c r="U69" s="473"/>
      <c r="V69" s="473"/>
      <c r="W69" s="473"/>
      <c r="X69" s="473"/>
    </row>
    <row r="70" spans="1:24" ht="14.25">
      <c r="A70" s="499"/>
      <c r="B70" s="500" t="s">
        <v>769</v>
      </c>
      <c r="L70" s="499"/>
      <c r="M70" s="473"/>
      <c r="N70" s="473"/>
      <c r="O70" s="473"/>
      <c r="P70" s="473"/>
      <c r="Q70" s="473"/>
      <c r="R70" s="473"/>
      <c r="S70" s="473"/>
      <c r="T70" s="473"/>
      <c r="U70" s="473"/>
      <c r="V70" s="473"/>
      <c r="W70" s="473"/>
      <c r="X70" s="473"/>
    </row>
    <row r="71" spans="1:12" ht="15" thickBot="1">
      <c r="A71" s="499"/>
      <c r="B71" s="506"/>
      <c r="C71" s="506"/>
      <c r="D71" s="506"/>
      <c r="E71" s="506"/>
      <c r="F71" s="506"/>
      <c r="G71" s="506"/>
      <c r="H71" s="506"/>
      <c r="I71" s="506"/>
      <c r="J71" s="506"/>
      <c r="K71" s="506"/>
      <c r="L71" s="499"/>
    </row>
    <row r="72" spans="1:12" ht="14.25">
      <c r="A72" s="499"/>
      <c r="B72" s="483" t="s">
        <v>692</v>
      </c>
      <c r="C72" s="503"/>
      <c r="D72" s="503"/>
      <c r="E72" s="503"/>
      <c r="F72" s="503"/>
      <c r="G72" s="503"/>
      <c r="H72" s="503"/>
      <c r="I72" s="503"/>
      <c r="J72" s="503"/>
      <c r="K72" s="504"/>
      <c r="L72" s="518"/>
    </row>
    <row r="73" spans="1:12" ht="14.25">
      <c r="A73" s="499"/>
      <c r="B73" s="514"/>
      <c r="C73" s="506" t="s">
        <v>698</v>
      </c>
      <c r="D73" s="506"/>
      <c r="E73" s="506"/>
      <c r="F73" s="506"/>
      <c r="G73" s="506"/>
      <c r="H73" s="506"/>
      <c r="I73" s="506"/>
      <c r="J73" s="506"/>
      <c r="K73" s="508"/>
      <c r="L73" s="518"/>
    </row>
    <row r="74" spans="1:12" ht="14.25">
      <c r="A74" s="499"/>
      <c r="B74" s="514" t="s">
        <v>719</v>
      </c>
      <c r="C74" s="851">
        <v>312000000</v>
      </c>
      <c r="D74" s="851"/>
      <c r="E74" s="564" t="s">
        <v>697</v>
      </c>
      <c r="F74" s="564">
        <v>1000</v>
      </c>
      <c r="G74" s="564" t="s">
        <v>696</v>
      </c>
      <c r="H74" s="555">
        <f>C74/F74</f>
        <v>312000</v>
      </c>
      <c r="I74" s="506" t="s">
        <v>720</v>
      </c>
      <c r="J74" s="506"/>
      <c r="K74" s="508"/>
      <c r="L74" s="518"/>
    </row>
    <row r="75" spans="1:12" ht="14.25">
      <c r="A75" s="499"/>
      <c r="B75" s="514"/>
      <c r="C75" s="506"/>
      <c r="D75" s="506"/>
      <c r="E75" s="564"/>
      <c r="F75" s="506"/>
      <c r="G75" s="506"/>
      <c r="H75" s="506"/>
      <c r="I75" s="506"/>
      <c r="J75" s="506"/>
      <c r="K75" s="508"/>
      <c r="L75" s="518"/>
    </row>
    <row r="76" spans="1:12" ht="14.25">
      <c r="A76" s="499"/>
      <c r="B76" s="514"/>
      <c r="C76" s="506" t="s">
        <v>721</v>
      </c>
      <c r="D76" s="506"/>
      <c r="E76" s="564"/>
      <c r="F76" s="506" t="s">
        <v>720</v>
      </c>
      <c r="G76" s="506"/>
      <c r="H76" s="506"/>
      <c r="I76" s="506"/>
      <c r="J76" s="506"/>
      <c r="K76" s="508"/>
      <c r="L76" s="518"/>
    </row>
    <row r="77" spans="1:12" ht="14.25">
      <c r="A77" s="499"/>
      <c r="B77" s="514" t="s">
        <v>724</v>
      </c>
      <c r="C77" s="851">
        <v>50000</v>
      </c>
      <c r="D77" s="851"/>
      <c r="E77" s="564" t="s">
        <v>697</v>
      </c>
      <c r="F77" s="555">
        <f>H74</f>
        <v>312000</v>
      </c>
      <c r="G77" s="564" t="s">
        <v>696</v>
      </c>
      <c r="H77" s="516">
        <f>C77/F77</f>
        <v>0.16025641025641027</v>
      </c>
      <c r="I77" s="506" t="s">
        <v>722</v>
      </c>
      <c r="J77" s="506"/>
      <c r="K77" s="508"/>
      <c r="L77" s="518"/>
    </row>
    <row r="78" spans="1:12" ht="14.25">
      <c r="A78" s="499"/>
      <c r="B78" s="514"/>
      <c r="C78" s="506"/>
      <c r="D78" s="506"/>
      <c r="E78" s="564"/>
      <c r="F78" s="506"/>
      <c r="G78" s="506"/>
      <c r="H78" s="506"/>
      <c r="I78" s="506"/>
      <c r="J78" s="506"/>
      <c r="K78" s="508"/>
      <c r="L78" s="518"/>
    </row>
    <row r="79" spans="1:12" ht="14.25">
      <c r="A79" s="499"/>
      <c r="B79" s="519"/>
      <c r="C79" s="520" t="s">
        <v>723</v>
      </c>
      <c r="D79" s="520"/>
      <c r="E79" s="556"/>
      <c r="F79" s="520"/>
      <c r="G79" s="520"/>
      <c r="H79" s="520"/>
      <c r="I79" s="520"/>
      <c r="J79" s="520"/>
      <c r="K79" s="521"/>
      <c r="L79" s="518"/>
    </row>
    <row r="80" spans="1:12" ht="14.25">
      <c r="A80" s="499"/>
      <c r="B80" s="514" t="s">
        <v>749</v>
      </c>
      <c r="C80" s="851">
        <v>100000</v>
      </c>
      <c r="D80" s="851"/>
      <c r="E80" s="564" t="s">
        <v>139</v>
      </c>
      <c r="F80" s="564">
        <v>0.115</v>
      </c>
      <c r="G80" s="564" t="s">
        <v>696</v>
      </c>
      <c r="H80" s="555">
        <f>C80*F80</f>
        <v>11500</v>
      </c>
      <c r="I80" s="506" t="s">
        <v>725</v>
      </c>
      <c r="J80" s="506"/>
      <c r="K80" s="508"/>
      <c r="L80" s="518"/>
    </row>
    <row r="81" spans="1:12" ht="14.25">
      <c r="A81" s="499"/>
      <c r="B81" s="514"/>
      <c r="C81" s="506"/>
      <c r="D81" s="506"/>
      <c r="E81" s="564"/>
      <c r="F81" s="506"/>
      <c r="G81" s="506"/>
      <c r="H81" s="506"/>
      <c r="I81" s="506"/>
      <c r="J81" s="506"/>
      <c r="K81" s="508"/>
      <c r="L81" s="518"/>
    </row>
    <row r="82" spans="1:12" ht="14.25">
      <c r="A82" s="499"/>
      <c r="B82" s="519"/>
      <c r="C82" s="520" t="s">
        <v>726</v>
      </c>
      <c r="D82" s="520"/>
      <c r="E82" s="556"/>
      <c r="F82" s="520" t="s">
        <v>722</v>
      </c>
      <c r="G82" s="520"/>
      <c r="H82" s="520"/>
      <c r="I82" s="520"/>
      <c r="J82" s="520" t="s">
        <v>727</v>
      </c>
      <c r="K82" s="521"/>
      <c r="L82" s="518"/>
    </row>
    <row r="83" spans="1:12" ht="14.25">
      <c r="A83" s="499"/>
      <c r="B83" s="514" t="s">
        <v>750</v>
      </c>
      <c r="C83" s="840">
        <f>H80</f>
        <v>11500</v>
      </c>
      <c r="D83" s="840"/>
      <c r="E83" s="564" t="s">
        <v>139</v>
      </c>
      <c r="F83" s="516">
        <f>H77</f>
        <v>0.16025641025641027</v>
      </c>
      <c r="G83" s="564" t="s">
        <v>697</v>
      </c>
      <c r="H83" s="564">
        <v>1000</v>
      </c>
      <c r="I83" s="564" t="s">
        <v>696</v>
      </c>
      <c r="J83" s="557">
        <f>C83*F83/H83</f>
        <v>1.842948717948718</v>
      </c>
      <c r="K83" s="508"/>
      <c r="L83" s="518"/>
    </row>
    <row r="84" spans="1:12" ht="15" thickBot="1">
      <c r="A84" s="499"/>
      <c r="B84" s="509"/>
      <c r="C84" s="522"/>
      <c r="D84" s="522"/>
      <c r="E84" s="523"/>
      <c r="F84" s="524"/>
      <c r="G84" s="523"/>
      <c r="H84" s="523"/>
      <c r="I84" s="523"/>
      <c r="J84" s="525"/>
      <c r="K84" s="511"/>
      <c r="L84" s="518"/>
    </row>
    <row r="85" spans="1:12" ht="40.5" customHeight="1">
      <c r="A85" s="499"/>
      <c r="B85" s="852" t="s">
        <v>688</v>
      </c>
      <c r="C85" s="852"/>
      <c r="D85" s="852"/>
      <c r="E85" s="852"/>
      <c r="F85" s="852"/>
      <c r="G85" s="852"/>
      <c r="H85" s="852"/>
      <c r="I85" s="852"/>
      <c r="J85" s="852"/>
      <c r="K85" s="852"/>
      <c r="L85" s="499"/>
    </row>
    <row r="86" spans="1:12" ht="14.25">
      <c r="A86" s="499"/>
      <c r="B86" s="849" t="s">
        <v>728</v>
      </c>
      <c r="C86" s="849"/>
      <c r="D86" s="849"/>
      <c r="E86" s="849"/>
      <c r="F86" s="849"/>
      <c r="G86" s="849"/>
      <c r="H86" s="849"/>
      <c r="I86" s="849"/>
      <c r="J86" s="849"/>
      <c r="K86" s="849"/>
      <c r="L86" s="499"/>
    </row>
    <row r="87" spans="1:12" ht="14.25">
      <c r="A87" s="499"/>
      <c r="B87" s="526"/>
      <c r="C87" s="526"/>
      <c r="D87" s="526"/>
      <c r="E87" s="526"/>
      <c r="F87" s="526"/>
      <c r="G87" s="526"/>
      <c r="H87" s="526"/>
      <c r="I87" s="526"/>
      <c r="J87" s="526"/>
      <c r="K87" s="526"/>
      <c r="L87" s="499"/>
    </row>
    <row r="88" spans="1:12" ht="14.25">
      <c r="A88" s="499"/>
      <c r="B88" s="849" t="s">
        <v>729</v>
      </c>
      <c r="C88" s="849"/>
      <c r="D88" s="849"/>
      <c r="E88" s="849"/>
      <c r="F88" s="849"/>
      <c r="G88" s="849"/>
      <c r="H88" s="849"/>
      <c r="I88" s="849"/>
      <c r="J88" s="849"/>
      <c r="K88" s="849"/>
      <c r="L88" s="499"/>
    </row>
    <row r="89" spans="1:12" ht="14.25">
      <c r="A89" s="499"/>
      <c r="B89" s="558"/>
      <c r="C89" s="558"/>
      <c r="D89" s="558"/>
      <c r="E89" s="558"/>
      <c r="F89" s="558"/>
      <c r="G89" s="558"/>
      <c r="H89" s="558"/>
      <c r="I89" s="558"/>
      <c r="J89" s="558"/>
      <c r="K89" s="558"/>
      <c r="L89" s="499"/>
    </row>
    <row r="90" spans="1:12" ht="45" customHeight="1">
      <c r="A90" s="499"/>
      <c r="B90" s="850" t="s">
        <v>730</v>
      </c>
      <c r="C90" s="850"/>
      <c r="D90" s="850"/>
      <c r="E90" s="850"/>
      <c r="F90" s="850"/>
      <c r="G90" s="850"/>
      <c r="H90" s="850"/>
      <c r="I90" s="850"/>
      <c r="J90" s="850"/>
      <c r="K90" s="850"/>
      <c r="L90" s="499"/>
    </row>
    <row r="91" spans="1:12" ht="15" customHeight="1" thickBot="1">
      <c r="A91" s="499"/>
      <c r="L91" s="499"/>
    </row>
    <row r="92" spans="1:12" ht="15" customHeight="1">
      <c r="A92" s="499"/>
      <c r="B92" s="486" t="s">
        <v>692</v>
      </c>
      <c r="C92" s="527"/>
      <c r="D92" s="527"/>
      <c r="E92" s="527"/>
      <c r="F92" s="527"/>
      <c r="G92" s="527"/>
      <c r="H92" s="527"/>
      <c r="I92" s="527"/>
      <c r="J92" s="527"/>
      <c r="K92" s="528"/>
      <c r="L92" s="499"/>
    </row>
    <row r="93" spans="1:12" ht="15" customHeight="1">
      <c r="A93" s="499"/>
      <c r="B93" s="529"/>
      <c r="C93" s="562" t="s">
        <v>698</v>
      </c>
      <c r="D93" s="562"/>
      <c r="E93" s="562"/>
      <c r="F93" s="562"/>
      <c r="G93" s="562"/>
      <c r="H93" s="562"/>
      <c r="I93" s="562"/>
      <c r="J93" s="562"/>
      <c r="K93" s="530"/>
      <c r="L93" s="499"/>
    </row>
    <row r="94" spans="1:12" ht="15" customHeight="1">
      <c r="A94" s="499"/>
      <c r="B94" s="529" t="s">
        <v>719</v>
      </c>
      <c r="C94" s="851">
        <v>312000000</v>
      </c>
      <c r="D94" s="851"/>
      <c r="E94" s="564" t="s">
        <v>697</v>
      </c>
      <c r="F94" s="564">
        <v>1000</v>
      </c>
      <c r="G94" s="564" t="s">
        <v>696</v>
      </c>
      <c r="H94" s="555">
        <f>C94/F94</f>
        <v>312000</v>
      </c>
      <c r="I94" s="562" t="s">
        <v>720</v>
      </c>
      <c r="J94" s="562"/>
      <c r="K94" s="530"/>
      <c r="L94" s="499"/>
    </row>
    <row r="95" spans="1:12" ht="15" customHeight="1">
      <c r="A95" s="499"/>
      <c r="B95" s="529"/>
      <c r="C95" s="562"/>
      <c r="D95" s="562"/>
      <c r="E95" s="564"/>
      <c r="F95" s="562"/>
      <c r="G95" s="562"/>
      <c r="H95" s="562"/>
      <c r="I95" s="562"/>
      <c r="J95" s="562"/>
      <c r="K95" s="530"/>
      <c r="L95" s="499"/>
    </row>
    <row r="96" spans="1:12" ht="15" customHeight="1">
      <c r="A96" s="499"/>
      <c r="B96" s="529"/>
      <c r="C96" s="562" t="s">
        <v>721</v>
      </c>
      <c r="D96" s="562"/>
      <c r="E96" s="564"/>
      <c r="F96" s="562" t="s">
        <v>720</v>
      </c>
      <c r="G96" s="562"/>
      <c r="H96" s="562"/>
      <c r="I96" s="562"/>
      <c r="J96" s="562"/>
      <c r="K96" s="530"/>
      <c r="L96" s="499"/>
    </row>
    <row r="97" spans="1:12" ht="15" customHeight="1">
      <c r="A97" s="499"/>
      <c r="B97" s="529" t="s">
        <v>724</v>
      </c>
      <c r="C97" s="851">
        <v>50000</v>
      </c>
      <c r="D97" s="851"/>
      <c r="E97" s="564" t="s">
        <v>697</v>
      </c>
      <c r="F97" s="555">
        <f>H94</f>
        <v>312000</v>
      </c>
      <c r="G97" s="564" t="s">
        <v>696</v>
      </c>
      <c r="H97" s="516">
        <f>C97/F97</f>
        <v>0.16025641025641027</v>
      </c>
      <c r="I97" s="562" t="s">
        <v>722</v>
      </c>
      <c r="J97" s="562"/>
      <c r="K97" s="530"/>
      <c r="L97" s="499"/>
    </row>
    <row r="98" spans="1:12" ht="15" customHeight="1">
      <c r="A98" s="499"/>
      <c r="B98" s="529"/>
      <c r="C98" s="562"/>
      <c r="D98" s="562"/>
      <c r="E98" s="564"/>
      <c r="F98" s="562"/>
      <c r="G98" s="562"/>
      <c r="H98" s="562"/>
      <c r="I98" s="562"/>
      <c r="J98" s="562"/>
      <c r="K98" s="530"/>
      <c r="L98" s="499"/>
    </row>
    <row r="99" spans="1:12" ht="15" customHeight="1">
      <c r="A99" s="499"/>
      <c r="B99" s="531"/>
      <c r="C99" s="532" t="s">
        <v>731</v>
      </c>
      <c r="D99" s="532"/>
      <c r="E99" s="556"/>
      <c r="F99" s="532"/>
      <c r="G99" s="532"/>
      <c r="H99" s="532"/>
      <c r="I99" s="532"/>
      <c r="J99" s="532"/>
      <c r="K99" s="533"/>
      <c r="L99" s="499"/>
    </row>
    <row r="100" spans="1:12" ht="15" customHeight="1">
      <c r="A100" s="499"/>
      <c r="B100" s="529" t="s">
        <v>749</v>
      </c>
      <c r="C100" s="851">
        <v>2500000</v>
      </c>
      <c r="D100" s="851"/>
      <c r="E100" s="564" t="s">
        <v>139</v>
      </c>
      <c r="F100" s="534">
        <v>0.3</v>
      </c>
      <c r="G100" s="564" t="s">
        <v>696</v>
      </c>
      <c r="H100" s="555">
        <f>C100*F100</f>
        <v>750000</v>
      </c>
      <c r="I100" s="562" t="s">
        <v>725</v>
      </c>
      <c r="J100" s="562"/>
      <c r="K100" s="530"/>
      <c r="L100" s="499"/>
    </row>
    <row r="101" spans="1:12" ht="15" customHeight="1">
      <c r="A101" s="499"/>
      <c r="B101" s="529"/>
      <c r="C101" s="562"/>
      <c r="D101" s="562"/>
      <c r="E101" s="564"/>
      <c r="F101" s="562"/>
      <c r="G101" s="562"/>
      <c r="H101" s="562"/>
      <c r="I101" s="562"/>
      <c r="J101" s="562"/>
      <c r="K101" s="530"/>
      <c r="L101" s="499"/>
    </row>
    <row r="102" spans="1:12" ht="15" customHeight="1">
      <c r="A102" s="499"/>
      <c r="B102" s="531"/>
      <c r="C102" s="532" t="s">
        <v>726</v>
      </c>
      <c r="D102" s="532"/>
      <c r="E102" s="556"/>
      <c r="F102" s="532" t="s">
        <v>722</v>
      </c>
      <c r="G102" s="532"/>
      <c r="H102" s="532"/>
      <c r="I102" s="532"/>
      <c r="J102" s="532" t="s">
        <v>727</v>
      </c>
      <c r="K102" s="533"/>
      <c r="L102" s="499"/>
    </row>
    <row r="103" spans="1:12" ht="15" customHeight="1">
      <c r="A103" s="499"/>
      <c r="B103" s="529" t="s">
        <v>750</v>
      </c>
      <c r="C103" s="840">
        <f>H100</f>
        <v>750000</v>
      </c>
      <c r="D103" s="840"/>
      <c r="E103" s="564" t="s">
        <v>139</v>
      </c>
      <c r="F103" s="516">
        <f>H97</f>
        <v>0.16025641025641027</v>
      </c>
      <c r="G103" s="564" t="s">
        <v>697</v>
      </c>
      <c r="H103" s="564">
        <v>1000</v>
      </c>
      <c r="I103" s="564" t="s">
        <v>696</v>
      </c>
      <c r="J103" s="557">
        <f>C103*F103/H103</f>
        <v>120.19230769230771</v>
      </c>
      <c r="K103" s="530"/>
      <c r="L103" s="499"/>
    </row>
    <row r="104" spans="1:12" ht="15" customHeight="1" thickBot="1">
      <c r="A104" s="499"/>
      <c r="B104" s="535"/>
      <c r="C104" s="522"/>
      <c r="D104" s="522"/>
      <c r="E104" s="523"/>
      <c r="F104" s="524"/>
      <c r="G104" s="523"/>
      <c r="H104" s="523"/>
      <c r="I104" s="523"/>
      <c r="J104" s="525"/>
      <c r="K104" s="563"/>
      <c r="L104" s="499"/>
    </row>
    <row r="105" spans="1:12" ht="40.5" customHeight="1">
      <c r="A105" s="499"/>
      <c r="B105" s="852" t="s">
        <v>688</v>
      </c>
      <c r="C105" s="853"/>
      <c r="D105" s="853"/>
      <c r="E105" s="853"/>
      <c r="F105" s="853"/>
      <c r="G105" s="853"/>
      <c r="H105" s="853"/>
      <c r="I105" s="853"/>
      <c r="J105" s="853"/>
      <c r="K105" s="853"/>
      <c r="L105" s="499"/>
    </row>
    <row r="106" spans="1:12" ht="15" customHeight="1">
      <c r="A106" s="499"/>
      <c r="B106" s="847" t="s">
        <v>732</v>
      </c>
      <c r="C106" s="854"/>
      <c r="D106" s="854"/>
      <c r="E106" s="854"/>
      <c r="F106" s="854"/>
      <c r="G106" s="854"/>
      <c r="H106" s="854"/>
      <c r="I106" s="854"/>
      <c r="J106" s="854"/>
      <c r="K106" s="854"/>
      <c r="L106" s="499"/>
    </row>
    <row r="107" spans="1:12" ht="15" customHeight="1">
      <c r="A107" s="499"/>
      <c r="B107" s="562"/>
      <c r="C107" s="536"/>
      <c r="D107" s="536"/>
      <c r="E107" s="564"/>
      <c r="F107" s="516"/>
      <c r="G107" s="564"/>
      <c r="H107" s="564"/>
      <c r="I107" s="564"/>
      <c r="J107" s="557"/>
      <c r="K107" s="562"/>
      <c r="L107" s="499"/>
    </row>
    <row r="108" spans="1:12" ht="15" customHeight="1">
      <c r="A108" s="499"/>
      <c r="B108" s="847" t="s">
        <v>733</v>
      </c>
      <c r="C108" s="848"/>
      <c r="D108" s="848"/>
      <c r="E108" s="848"/>
      <c r="F108" s="848"/>
      <c r="G108" s="848"/>
      <c r="H108" s="848"/>
      <c r="I108" s="848"/>
      <c r="J108" s="848"/>
      <c r="K108" s="848"/>
      <c r="L108" s="499"/>
    </row>
    <row r="109" spans="1:12" ht="15" customHeight="1">
      <c r="A109" s="499"/>
      <c r="B109" s="562"/>
      <c r="C109" s="536"/>
      <c r="D109" s="536"/>
      <c r="E109" s="564"/>
      <c r="F109" s="516"/>
      <c r="G109" s="564"/>
      <c r="H109" s="564"/>
      <c r="I109" s="564"/>
      <c r="J109" s="557"/>
      <c r="K109" s="562"/>
      <c r="L109" s="499"/>
    </row>
    <row r="110" spans="1:12" ht="59.25" customHeight="1">
      <c r="A110" s="499"/>
      <c r="B110" s="866" t="s">
        <v>734</v>
      </c>
      <c r="C110" s="856"/>
      <c r="D110" s="856"/>
      <c r="E110" s="856"/>
      <c r="F110" s="856"/>
      <c r="G110" s="856"/>
      <c r="H110" s="856"/>
      <c r="I110" s="856"/>
      <c r="J110" s="856"/>
      <c r="K110" s="856"/>
      <c r="L110" s="499"/>
    </row>
    <row r="111" spans="1:12" ht="15" thickBot="1">
      <c r="A111" s="499"/>
      <c r="B111" s="560"/>
      <c r="C111" s="560"/>
      <c r="D111" s="560"/>
      <c r="E111" s="560"/>
      <c r="F111" s="560"/>
      <c r="G111" s="560"/>
      <c r="H111" s="560"/>
      <c r="I111" s="560"/>
      <c r="J111" s="560"/>
      <c r="K111" s="560"/>
      <c r="L111" s="537"/>
    </row>
    <row r="112" spans="1:12" ht="14.25">
      <c r="A112" s="499"/>
      <c r="B112" s="483" t="s">
        <v>692</v>
      </c>
      <c r="C112" s="503"/>
      <c r="D112" s="503"/>
      <c r="E112" s="503"/>
      <c r="F112" s="503"/>
      <c r="G112" s="503"/>
      <c r="H112" s="503"/>
      <c r="I112" s="503"/>
      <c r="J112" s="503"/>
      <c r="K112" s="504"/>
      <c r="L112" s="499"/>
    </row>
    <row r="113" spans="1:12" ht="14.25">
      <c r="A113" s="499"/>
      <c r="B113" s="514"/>
      <c r="C113" s="506" t="s">
        <v>698</v>
      </c>
      <c r="D113" s="506"/>
      <c r="E113" s="506"/>
      <c r="F113" s="506"/>
      <c r="G113" s="506"/>
      <c r="H113" s="506"/>
      <c r="I113" s="506"/>
      <c r="J113" s="506"/>
      <c r="K113" s="508"/>
      <c r="L113" s="499"/>
    </row>
    <row r="114" spans="1:12" ht="14.25">
      <c r="A114" s="499"/>
      <c r="B114" s="514" t="s">
        <v>719</v>
      </c>
      <c r="C114" s="851">
        <v>312000000</v>
      </c>
      <c r="D114" s="851"/>
      <c r="E114" s="564" t="s">
        <v>697</v>
      </c>
      <c r="F114" s="564">
        <v>1000</v>
      </c>
      <c r="G114" s="564" t="s">
        <v>696</v>
      </c>
      <c r="H114" s="555">
        <f>C114/F114</f>
        <v>312000</v>
      </c>
      <c r="I114" s="506" t="s">
        <v>720</v>
      </c>
      <c r="J114" s="506"/>
      <c r="K114" s="508"/>
      <c r="L114" s="499"/>
    </row>
    <row r="115" spans="1:12" ht="14.25">
      <c r="A115" s="499"/>
      <c r="B115" s="514"/>
      <c r="C115" s="506"/>
      <c r="D115" s="506"/>
      <c r="E115" s="564"/>
      <c r="F115" s="506"/>
      <c r="G115" s="506"/>
      <c r="H115" s="506"/>
      <c r="I115" s="506"/>
      <c r="J115" s="506"/>
      <c r="K115" s="508"/>
      <c r="L115" s="499"/>
    </row>
    <row r="116" spans="1:12" ht="14.25">
      <c r="A116" s="499"/>
      <c r="B116" s="514"/>
      <c r="C116" s="506" t="s">
        <v>721</v>
      </c>
      <c r="D116" s="506"/>
      <c r="E116" s="564"/>
      <c r="F116" s="506" t="s">
        <v>720</v>
      </c>
      <c r="G116" s="506"/>
      <c r="H116" s="506"/>
      <c r="I116" s="506"/>
      <c r="J116" s="506"/>
      <c r="K116" s="508"/>
      <c r="L116" s="499"/>
    </row>
    <row r="117" spans="1:12" ht="14.25">
      <c r="A117" s="499"/>
      <c r="B117" s="514" t="s">
        <v>724</v>
      </c>
      <c r="C117" s="851">
        <v>50000</v>
      </c>
      <c r="D117" s="851"/>
      <c r="E117" s="564" t="s">
        <v>697</v>
      </c>
      <c r="F117" s="555">
        <f>H114</f>
        <v>312000</v>
      </c>
      <c r="G117" s="564" t="s">
        <v>696</v>
      </c>
      <c r="H117" s="516">
        <f>C117/F117</f>
        <v>0.16025641025641027</v>
      </c>
      <c r="I117" s="506" t="s">
        <v>722</v>
      </c>
      <c r="J117" s="506"/>
      <c r="K117" s="508"/>
      <c r="L117" s="499"/>
    </row>
    <row r="118" spans="1:12" ht="14.25">
      <c r="A118" s="499"/>
      <c r="B118" s="514"/>
      <c r="C118" s="506"/>
      <c r="D118" s="506"/>
      <c r="E118" s="564"/>
      <c r="F118" s="506"/>
      <c r="G118" s="506"/>
      <c r="H118" s="506"/>
      <c r="I118" s="506"/>
      <c r="J118" s="506"/>
      <c r="K118" s="508"/>
      <c r="L118" s="499"/>
    </row>
    <row r="119" spans="1:12" ht="14.25">
      <c r="A119" s="499"/>
      <c r="B119" s="519"/>
      <c r="C119" s="520" t="s">
        <v>731</v>
      </c>
      <c r="D119" s="520"/>
      <c r="E119" s="556"/>
      <c r="F119" s="520"/>
      <c r="G119" s="520"/>
      <c r="H119" s="520"/>
      <c r="I119" s="520"/>
      <c r="J119" s="520"/>
      <c r="K119" s="521"/>
      <c r="L119" s="499"/>
    </row>
    <row r="120" spans="1:12" ht="14.25">
      <c r="A120" s="499"/>
      <c r="B120" s="514" t="s">
        <v>749</v>
      </c>
      <c r="C120" s="851">
        <v>2500000</v>
      </c>
      <c r="D120" s="851"/>
      <c r="E120" s="564" t="s">
        <v>139</v>
      </c>
      <c r="F120" s="534">
        <v>0.25</v>
      </c>
      <c r="G120" s="564" t="s">
        <v>696</v>
      </c>
      <c r="H120" s="555">
        <f>C120*F120</f>
        <v>625000</v>
      </c>
      <c r="I120" s="506" t="s">
        <v>725</v>
      </c>
      <c r="J120" s="506"/>
      <c r="K120" s="508"/>
      <c r="L120" s="499"/>
    </row>
    <row r="121" spans="1:12" ht="14.25">
      <c r="A121" s="499"/>
      <c r="B121" s="514"/>
      <c r="C121" s="506"/>
      <c r="D121" s="506"/>
      <c r="E121" s="564"/>
      <c r="F121" s="506"/>
      <c r="G121" s="506"/>
      <c r="H121" s="506"/>
      <c r="I121" s="506"/>
      <c r="J121" s="506"/>
      <c r="K121" s="508"/>
      <c r="L121" s="499"/>
    </row>
    <row r="122" spans="1:12" ht="14.25">
      <c r="A122" s="499"/>
      <c r="B122" s="519"/>
      <c r="C122" s="520" t="s">
        <v>726</v>
      </c>
      <c r="D122" s="520"/>
      <c r="E122" s="556"/>
      <c r="F122" s="520" t="s">
        <v>722</v>
      </c>
      <c r="G122" s="520"/>
      <c r="H122" s="520"/>
      <c r="I122" s="520"/>
      <c r="J122" s="520" t="s">
        <v>727</v>
      </c>
      <c r="K122" s="521"/>
      <c r="L122" s="499"/>
    </row>
    <row r="123" spans="1:12" ht="14.25">
      <c r="A123" s="499"/>
      <c r="B123" s="514" t="s">
        <v>750</v>
      </c>
      <c r="C123" s="840">
        <f>H120</f>
        <v>625000</v>
      </c>
      <c r="D123" s="840"/>
      <c r="E123" s="564" t="s">
        <v>139</v>
      </c>
      <c r="F123" s="516">
        <f>H117</f>
        <v>0.16025641025641027</v>
      </c>
      <c r="G123" s="564" t="s">
        <v>697</v>
      </c>
      <c r="H123" s="564">
        <v>1000</v>
      </c>
      <c r="I123" s="564" t="s">
        <v>696</v>
      </c>
      <c r="J123" s="557">
        <f>C123*F123/H123</f>
        <v>100.16025641025642</v>
      </c>
      <c r="K123" s="508"/>
      <c r="L123" s="499"/>
    </row>
    <row r="124" spans="1:12" ht="15" thickBot="1">
      <c r="A124" s="499"/>
      <c r="B124" s="509"/>
      <c r="C124" s="522"/>
      <c r="D124" s="522"/>
      <c r="E124" s="523"/>
      <c r="F124" s="524"/>
      <c r="G124" s="523"/>
      <c r="H124" s="523"/>
      <c r="I124" s="523"/>
      <c r="J124" s="525"/>
      <c r="K124" s="511"/>
      <c r="L124" s="499"/>
    </row>
    <row r="125" spans="1:12" ht="40.5" customHeight="1">
      <c r="A125" s="499"/>
      <c r="B125" s="852" t="s">
        <v>688</v>
      </c>
      <c r="C125" s="852"/>
      <c r="D125" s="852"/>
      <c r="E125" s="852"/>
      <c r="F125" s="852"/>
      <c r="G125" s="852"/>
      <c r="H125" s="852"/>
      <c r="I125" s="852"/>
      <c r="J125" s="852"/>
      <c r="K125" s="852"/>
      <c r="L125" s="537"/>
    </row>
    <row r="126" spans="1:12" ht="14.25">
      <c r="A126" s="499"/>
      <c r="B126" s="849" t="s">
        <v>735</v>
      </c>
      <c r="C126" s="849"/>
      <c r="D126" s="849"/>
      <c r="E126" s="849"/>
      <c r="F126" s="849"/>
      <c r="G126" s="849"/>
      <c r="H126" s="849"/>
      <c r="I126" s="849"/>
      <c r="J126" s="849"/>
      <c r="K126" s="849"/>
      <c r="L126" s="537"/>
    </row>
    <row r="127" spans="1:12" ht="14.25">
      <c r="A127" s="499"/>
      <c r="B127" s="560"/>
      <c r="C127" s="560"/>
      <c r="D127" s="560"/>
      <c r="E127" s="560"/>
      <c r="F127" s="560"/>
      <c r="G127" s="560"/>
      <c r="H127" s="560"/>
      <c r="I127" s="560"/>
      <c r="J127" s="560"/>
      <c r="K127" s="560"/>
      <c r="L127" s="537"/>
    </row>
    <row r="128" spans="1:12" ht="14.25">
      <c r="A128" s="499"/>
      <c r="B128" s="849" t="s">
        <v>736</v>
      </c>
      <c r="C128" s="849"/>
      <c r="D128" s="849"/>
      <c r="E128" s="849"/>
      <c r="F128" s="849"/>
      <c r="G128" s="849"/>
      <c r="H128" s="849"/>
      <c r="I128" s="849"/>
      <c r="J128" s="849"/>
      <c r="K128" s="849"/>
      <c r="L128" s="537"/>
    </row>
    <row r="129" spans="1:12" ht="14.25">
      <c r="A129" s="499"/>
      <c r="B129" s="558"/>
      <c r="C129" s="558"/>
      <c r="D129" s="558"/>
      <c r="E129" s="558"/>
      <c r="F129" s="558"/>
      <c r="G129" s="558"/>
      <c r="H129" s="558"/>
      <c r="I129" s="558"/>
      <c r="J129" s="558"/>
      <c r="K129" s="558"/>
      <c r="L129" s="537"/>
    </row>
    <row r="130" spans="1:12" ht="74.25" customHeight="1">
      <c r="A130" s="499"/>
      <c r="B130" s="850" t="s">
        <v>751</v>
      </c>
      <c r="C130" s="850"/>
      <c r="D130" s="850"/>
      <c r="E130" s="850"/>
      <c r="F130" s="850"/>
      <c r="G130" s="850"/>
      <c r="H130" s="850"/>
      <c r="I130" s="850"/>
      <c r="J130" s="850"/>
      <c r="K130" s="850"/>
      <c r="L130" s="537"/>
    </row>
    <row r="131" spans="1:12" ht="15" thickBot="1">
      <c r="A131" s="499"/>
      <c r="L131" s="499"/>
    </row>
    <row r="132" spans="1:12" ht="14.25">
      <c r="A132" s="499"/>
      <c r="B132" s="483" t="s">
        <v>692</v>
      </c>
      <c r="C132" s="503"/>
      <c r="D132" s="503"/>
      <c r="E132" s="503"/>
      <c r="F132" s="503"/>
      <c r="G132" s="503"/>
      <c r="H132" s="503"/>
      <c r="I132" s="503"/>
      <c r="J132" s="503"/>
      <c r="K132" s="504"/>
      <c r="L132" s="499"/>
    </row>
    <row r="133" spans="1:12" ht="14.25">
      <c r="A133" s="499"/>
      <c r="B133" s="514"/>
      <c r="C133" s="867" t="s">
        <v>737</v>
      </c>
      <c r="D133" s="867"/>
      <c r="E133" s="506"/>
      <c r="F133" s="564" t="s">
        <v>738</v>
      </c>
      <c r="G133" s="506"/>
      <c r="H133" s="867" t="s">
        <v>725</v>
      </c>
      <c r="I133" s="867"/>
      <c r="J133" s="506"/>
      <c r="K133" s="508"/>
      <c r="L133" s="499"/>
    </row>
    <row r="134" spans="1:12" ht="14.25">
      <c r="A134" s="499"/>
      <c r="B134" s="514" t="s">
        <v>719</v>
      </c>
      <c r="C134" s="851">
        <v>100000</v>
      </c>
      <c r="D134" s="851"/>
      <c r="E134" s="564" t="s">
        <v>139</v>
      </c>
      <c r="F134" s="564">
        <v>0.115</v>
      </c>
      <c r="G134" s="564" t="s">
        <v>696</v>
      </c>
      <c r="H134" s="841">
        <f>C134*F134</f>
        <v>11500</v>
      </c>
      <c r="I134" s="841"/>
      <c r="J134" s="506"/>
      <c r="K134" s="508"/>
      <c r="L134" s="499"/>
    </row>
    <row r="135" spans="1:12" ht="14.25">
      <c r="A135" s="499"/>
      <c r="B135" s="514"/>
      <c r="C135" s="506"/>
      <c r="D135" s="506"/>
      <c r="E135" s="506"/>
      <c r="F135" s="506"/>
      <c r="G135" s="506"/>
      <c r="H135" s="506"/>
      <c r="I135" s="506"/>
      <c r="J135" s="506"/>
      <c r="K135" s="508"/>
      <c r="L135" s="499"/>
    </row>
    <row r="136" spans="1:12" ht="14.25">
      <c r="A136" s="499"/>
      <c r="B136" s="519"/>
      <c r="C136" s="842" t="s">
        <v>725</v>
      </c>
      <c r="D136" s="842"/>
      <c r="E136" s="520"/>
      <c r="F136" s="556" t="s">
        <v>739</v>
      </c>
      <c r="G136" s="556"/>
      <c r="H136" s="520"/>
      <c r="I136" s="520"/>
      <c r="J136" s="520" t="s">
        <v>740</v>
      </c>
      <c r="K136" s="521"/>
      <c r="L136" s="499"/>
    </row>
    <row r="137" spans="1:12" ht="14.25">
      <c r="A137" s="499"/>
      <c r="B137" s="514" t="s">
        <v>724</v>
      </c>
      <c r="C137" s="841">
        <f>H134</f>
        <v>11500</v>
      </c>
      <c r="D137" s="841"/>
      <c r="E137" s="564" t="s">
        <v>139</v>
      </c>
      <c r="F137" s="538">
        <v>52.869</v>
      </c>
      <c r="G137" s="564" t="s">
        <v>697</v>
      </c>
      <c r="H137" s="564">
        <v>1000</v>
      </c>
      <c r="I137" s="564" t="s">
        <v>696</v>
      </c>
      <c r="J137" s="539">
        <f>C137*F137/H137</f>
        <v>607.9935</v>
      </c>
      <c r="K137" s="508"/>
      <c r="L137" s="499"/>
    </row>
    <row r="138" spans="1:12" ht="15" thickBot="1">
      <c r="A138" s="499"/>
      <c r="B138" s="509"/>
      <c r="C138" s="540"/>
      <c r="D138" s="540"/>
      <c r="E138" s="523"/>
      <c r="F138" s="541"/>
      <c r="G138" s="523"/>
      <c r="H138" s="523"/>
      <c r="I138" s="523"/>
      <c r="J138" s="542"/>
      <c r="K138" s="511"/>
      <c r="L138" s="499"/>
    </row>
    <row r="139" spans="1:12" ht="40.5" customHeight="1">
      <c r="A139" s="499"/>
      <c r="B139" s="487" t="s">
        <v>688</v>
      </c>
      <c r="C139" s="488"/>
      <c r="D139" s="488"/>
      <c r="E139" s="489"/>
      <c r="F139" s="490"/>
      <c r="G139" s="489"/>
      <c r="H139" s="489"/>
      <c r="I139" s="489"/>
      <c r="J139" s="491"/>
      <c r="K139" s="492"/>
      <c r="L139" s="499"/>
    </row>
    <row r="140" spans="1:12" ht="14.25">
      <c r="A140" s="499"/>
      <c r="B140" s="493" t="s">
        <v>752</v>
      </c>
      <c r="C140" s="494"/>
      <c r="D140" s="494"/>
      <c r="E140" s="495"/>
      <c r="F140" s="496"/>
      <c r="G140" s="495"/>
      <c r="H140" s="495"/>
      <c r="I140" s="495"/>
      <c r="J140" s="497"/>
      <c r="K140" s="498"/>
      <c r="L140" s="499"/>
    </row>
    <row r="141" spans="1:12" ht="14.25">
      <c r="A141" s="499"/>
      <c r="B141" s="514"/>
      <c r="C141" s="555"/>
      <c r="D141" s="555"/>
      <c r="E141" s="564"/>
      <c r="F141" s="543"/>
      <c r="G141" s="564"/>
      <c r="H141" s="564"/>
      <c r="I141" s="564"/>
      <c r="J141" s="539"/>
      <c r="K141" s="508"/>
      <c r="L141" s="499"/>
    </row>
    <row r="142" spans="1:12" ht="14.25">
      <c r="A142" s="499"/>
      <c r="B142" s="493" t="s">
        <v>753</v>
      </c>
      <c r="C142" s="494"/>
      <c r="D142" s="494"/>
      <c r="E142" s="495"/>
      <c r="F142" s="496"/>
      <c r="G142" s="495"/>
      <c r="H142" s="495"/>
      <c r="I142" s="495"/>
      <c r="J142" s="497"/>
      <c r="K142" s="498"/>
      <c r="L142" s="499"/>
    </row>
    <row r="143" spans="1:12" ht="14.25">
      <c r="A143" s="499"/>
      <c r="B143" s="514"/>
      <c r="C143" s="555"/>
      <c r="D143" s="555"/>
      <c r="E143" s="564"/>
      <c r="F143" s="543"/>
      <c r="G143" s="564"/>
      <c r="H143" s="564"/>
      <c r="I143" s="564"/>
      <c r="J143" s="539"/>
      <c r="K143" s="508"/>
      <c r="L143" s="499"/>
    </row>
    <row r="144" spans="1:12" ht="76.5" customHeight="1">
      <c r="A144" s="499"/>
      <c r="B144" s="843" t="s">
        <v>754</v>
      </c>
      <c r="C144" s="844"/>
      <c r="D144" s="844"/>
      <c r="E144" s="844"/>
      <c r="F144" s="844"/>
      <c r="G144" s="844"/>
      <c r="H144" s="844"/>
      <c r="I144" s="844"/>
      <c r="J144" s="844"/>
      <c r="K144" s="845"/>
      <c r="L144" s="499"/>
    </row>
    <row r="145" spans="1:12" ht="15" thickBot="1">
      <c r="A145" s="499"/>
      <c r="B145" s="514"/>
      <c r="C145" s="555"/>
      <c r="D145" s="555"/>
      <c r="E145" s="564"/>
      <c r="F145" s="543"/>
      <c r="G145" s="564"/>
      <c r="H145" s="564"/>
      <c r="I145" s="564"/>
      <c r="J145" s="539"/>
      <c r="K145" s="508"/>
      <c r="L145" s="499"/>
    </row>
    <row r="146" spans="1:12" ht="14.25">
      <c r="A146" s="499"/>
      <c r="B146" s="483" t="s">
        <v>692</v>
      </c>
      <c r="C146" s="544"/>
      <c r="D146" s="544"/>
      <c r="E146" s="545"/>
      <c r="F146" s="546"/>
      <c r="G146" s="545"/>
      <c r="H146" s="545"/>
      <c r="I146" s="545"/>
      <c r="J146" s="547"/>
      <c r="K146" s="504"/>
      <c r="L146" s="499"/>
    </row>
    <row r="147" spans="1:12" ht="14.25">
      <c r="A147" s="499"/>
      <c r="B147" s="514"/>
      <c r="C147" s="841" t="s">
        <v>755</v>
      </c>
      <c r="D147" s="841"/>
      <c r="E147" s="564"/>
      <c r="F147" s="543" t="s">
        <v>756</v>
      </c>
      <c r="G147" s="564"/>
      <c r="H147" s="564"/>
      <c r="I147" s="564"/>
      <c r="J147" s="838" t="s">
        <v>757</v>
      </c>
      <c r="K147" s="846"/>
      <c r="L147" s="499"/>
    </row>
    <row r="148" spans="1:12" ht="14.25">
      <c r="A148" s="499"/>
      <c r="B148" s="514"/>
      <c r="C148" s="837">
        <v>52.869</v>
      </c>
      <c r="D148" s="837"/>
      <c r="E148" s="564" t="s">
        <v>139</v>
      </c>
      <c r="F148" s="559">
        <v>312000000</v>
      </c>
      <c r="G148" s="548" t="s">
        <v>697</v>
      </c>
      <c r="H148" s="564">
        <v>1000</v>
      </c>
      <c r="I148" s="564" t="s">
        <v>696</v>
      </c>
      <c r="J148" s="838">
        <f>C148*(F148/1000)</f>
        <v>16495128</v>
      </c>
      <c r="K148" s="839"/>
      <c r="L148" s="499"/>
    </row>
    <row r="149" spans="1:12" ht="15" thickBot="1">
      <c r="A149" s="499"/>
      <c r="B149" s="509"/>
      <c r="C149" s="540"/>
      <c r="D149" s="540"/>
      <c r="E149" s="523"/>
      <c r="F149" s="541"/>
      <c r="G149" s="523"/>
      <c r="H149" s="523"/>
      <c r="I149" s="523"/>
      <c r="J149" s="542"/>
      <c r="K149" s="511"/>
      <c r="L149" s="499"/>
    </row>
    <row r="150" spans="1:12" ht="15" thickBot="1">
      <c r="A150" s="499"/>
      <c r="B150" s="509"/>
      <c r="C150" s="510"/>
      <c r="D150" s="510"/>
      <c r="E150" s="510"/>
      <c r="F150" s="510"/>
      <c r="G150" s="510"/>
      <c r="H150" s="510"/>
      <c r="I150" s="510"/>
      <c r="J150" s="510"/>
      <c r="K150" s="511"/>
      <c r="L150" s="499"/>
    </row>
    <row r="151" spans="1:12" ht="14.25">
      <c r="A151" s="499"/>
      <c r="B151" s="499"/>
      <c r="C151" s="499"/>
      <c r="D151" s="499"/>
      <c r="E151" s="499"/>
      <c r="F151" s="499"/>
      <c r="G151" s="499"/>
      <c r="H151" s="499"/>
      <c r="I151" s="499"/>
      <c r="J151" s="499"/>
      <c r="K151" s="499"/>
      <c r="L151" s="499"/>
    </row>
    <row r="152" spans="1:12" ht="14.25">
      <c r="A152" s="499"/>
      <c r="B152" s="499"/>
      <c r="C152" s="499"/>
      <c r="D152" s="499"/>
      <c r="E152" s="499"/>
      <c r="F152" s="499"/>
      <c r="G152" s="499"/>
      <c r="H152" s="499"/>
      <c r="I152" s="499"/>
      <c r="J152" s="499"/>
      <c r="K152" s="499"/>
      <c r="L152" s="499"/>
    </row>
    <row r="153" spans="1:12" ht="14.25">
      <c r="A153" s="499"/>
      <c r="B153" s="499"/>
      <c r="C153" s="499"/>
      <c r="D153" s="499"/>
      <c r="E153" s="499"/>
      <c r="F153" s="499"/>
      <c r="G153" s="499"/>
      <c r="H153" s="499"/>
      <c r="I153" s="499"/>
      <c r="J153" s="499"/>
      <c r="K153" s="499"/>
      <c r="L153" s="499"/>
    </row>
    <row r="154" spans="1:12" ht="14.25">
      <c r="A154" s="549"/>
      <c r="B154" s="549"/>
      <c r="C154" s="549"/>
      <c r="D154" s="549"/>
      <c r="E154" s="549"/>
      <c r="F154" s="549"/>
      <c r="G154" s="549"/>
      <c r="H154" s="549"/>
      <c r="I154" s="549"/>
      <c r="J154" s="549"/>
      <c r="K154" s="549"/>
      <c r="L154" s="549"/>
    </row>
    <row r="155" spans="1:12" ht="14.25">
      <c r="A155" s="549"/>
      <c r="B155" s="549"/>
      <c r="C155" s="549"/>
      <c r="D155" s="549"/>
      <c r="E155" s="549"/>
      <c r="F155" s="549"/>
      <c r="G155" s="549"/>
      <c r="H155" s="549"/>
      <c r="I155" s="549"/>
      <c r="J155" s="549"/>
      <c r="K155" s="549"/>
      <c r="L155" s="549"/>
    </row>
    <row r="156" spans="1:12" ht="14.25">
      <c r="A156" s="549"/>
      <c r="B156" s="549"/>
      <c r="C156" s="549"/>
      <c r="D156" s="549"/>
      <c r="E156" s="549"/>
      <c r="F156" s="549"/>
      <c r="G156" s="549"/>
      <c r="H156" s="549"/>
      <c r="I156" s="549"/>
      <c r="J156" s="549"/>
      <c r="K156" s="549"/>
      <c r="L156" s="549"/>
    </row>
    <row r="157" spans="1:12" ht="14.25">
      <c r="A157" s="549"/>
      <c r="B157" s="549"/>
      <c r="C157" s="549"/>
      <c r="D157" s="549"/>
      <c r="E157" s="549"/>
      <c r="F157" s="549"/>
      <c r="G157" s="549"/>
      <c r="H157" s="549"/>
      <c r="I157" s="549"/>
      <c r="J157" s="549"/>
      <c r="K157" s="549"/>
      <c r="L157" s="549"/>
    </row>
    <row r="158" spans="1:12" ht="14.25">
      <c r="A158" s="549"/>
      <c r="B158" s="549"/>
      <c r="C158" s="549"/>
      <c r="D158" s="549"/>
      <c r="E158" s="549"/>
      <c r="F158" s="549"/>
      <c r="G158" s="549"/>
      <c r="H158" s="549"/>
      <c r="I158" s="549"/>
      <c r="J158" s="549"/>
      <c r="K158" s="549"/>
      <c r="L158" s="549"/>
    </row>
    <row r="159" spans="1:12" ht="14.25">
      <c r="A159" s="549"/>
      <c r="B159" s="549"/>
      <c r="C159" s="549"/>
      <c r="D159" s="549"/>
      <c r="E159" s="549"/>
      <c r="F159" s="549"/>
      <c r="G159" s="549"/>
      <c r="H159" s="549"/>
      <c r="I159" s="549"/>
      <c r="J159" s="549"/>
      <c r="K159" s="549"/>
      <c r="L159" s="549"/>
    </row>
    <row r="160" spans="1:12" ht="14.25">
      <c r="A160" s="549"/>
      <c r="B160" s="549"/>
      <c r="C160" s="549"/>
      <c r="D160" s="549"/>
      <c r="E160" s="549"/>
      <c r="F160" s="549"/>
      <c r="G160" s="549"/>
      <c r="H160" s="549"/>
      <c r="I160" s="549"/>
      <c r="J160" s="549"/>
      <c r="K160" s="549"/>
      <c r="L160" s="549"/>
    </row>
    <row r="161" spans="1:12" ht="14.25">
      <c r="A161" s="549"/>
      <c r="B161" s="549"/>
      <c r="C161" s="549"/>
      <c r="D161" s="549"/>
      <c r="E161" s="549"/>
      <c r="F161" s="549"/>
      <c r="G161" s="549"/>
      <c r="H161" s="549"/>
      <c r="I161" s="549"/>
      <c r="J161" s="549"/>
      <c r="K161" s="549"/>
      <c r="L161" s="549"/>
    </row>
    <row r="162" spans="1:12" ht="14.25">
      <c r="A162" s="549"/>
      <c r="B162" s="549"/>
      <c r="C162" s="549"/>
      <c r="D162" s="549"/>
      <c r="E162" s="549"/>
      <c r="F162" s="549"/>
      <c r="G162" s="549"/>
      <c r="H162" s="549"/>
      <c r="I162" s="549"/>
      <c r="J162" s="549"/>
      <c r="K162" s="549"/>
      <c r="L162" s="549"/>
    </row>
    <row r="163" spans="1:12" ht="14.25">
      <c r="A163" s="549"/>
      <c r="B163" s="549"/>
      <c r="C163" s="549"/>
      <c r="D163" s="549"/>
      <c r="E163" s="549"/>
      <c r="F163" s="549"/>
      <c r="G163" s="549"/>
      <c r="H163" s="549"/>
      <c r="I163" s="549"/>
      <c r="J163" s="549"/>
      <c r="K163" s="549"/>
      <c r="L163" s="549"/>
    </row>
    <row r="164" spans="1:12" ht="14.25">
      <c r="A164" s="549"/>
      <c r="B164" s="549"/>
      <c r="C164" s="549"/>
      <c r="D164" s="549"/>
      <c r="E164" s="549"/>
      <c r="F164" s="549"/>
      <c r="G164" s="549"/>
      <c r="H164" s="549"/>
      <c r="I164" s="549"/>
      <c r="J164" s="549"/>
      <c r="K164" s="549"/>
      <c r="L164" s="549"/>
    </row>
    <row r="165" spans="1:12" ht="14.25">
      <c r="A165" s="549"/>
      <c r="B165" s="549"/>
      <c r="C165" s="549"/>
      <c r="D165" s="549"/>
      <c r="E165" s="549"/>
      <c r="F165" s="549"/>
      <c r="G165" s="549"/>
      <c r="H165" s="549"/>
      <c r="I165" s="549"/>
      <c r="J165" s="549"/>
      <c r="K165" s="549"/>
      <c r="L165" s="549"/>
    </row>
    <row r="166" spans="1:12" ht="14.25">
      <c r="A166" s="549"/>
      <c r="B166" s="549"/>
      <c r="C166" s="549"/>
      <c r="D166" s="549"/>
      <c r="E166" s="549"/>
      <c r="F166" s="549"/>
      <c r="G166" s="549"/>
      <c r="H166" s="549"/>
      <c r="I166" s="549"/>
      <c r="J166" s="549"/>
      <c r="K166" s="549"/>
      <c r="L166" s="549"/>
    </row>
    <row r="167" spans="1:12" ht="14.25">
      <c r="A167" s="549"/>
      <c r="B167" s="549"/>
      <c r="C167" s="549"/>
      <c r="D167" s="549"/>
      <c r="E167" s="549"/>
      <c r="F167" s="549"/>
      <c r="G167" s="549"/>
      <c r="H167" s="549"/>
      <c r="I167" s="549"/>
      <c r="J167" s="549"/>
      <c r="K167" s="549"/>
      <c r="L167" s="549"/>
    </row>
    <row r="168" spans="1:12" ht="14.25">
      <c r="A168" s="549"/>
      <c r="B168" s="549"/>
      <c r="C168" s="549"/>
      <c r="D168" s="549"/>
      <c r="E168" s="549"/>
      <c r="F168" s="549"/>
      <c r="G168" s="549"/>
      <c r="H168" s="549"/>
      <c r="I168" s="549"/>
      <c r="J168" s="549"/>
      <c r="K168" s="549"/>
      <c r="L168" s="549"/>
    </row>
    <row r="169" spans="1:12" ht="14.25">
      <c r="A169" s="549"/>
      <c r="B169" s="549"/>
      <c r="C169" s="549"/>
      <c r="D169" s="549"/>
      <c r="E169" s="549"/>
      <c r="F169" s="549"/>
      <c r="G169" s="549"/>
      <c r="H169" s="549"/>
      <c r="I169" s="549"/>
      <c r="J169" s="549"/>
      <c r="K169" s="549"/>
      <c r="L169" s="549"/>
    </row>
    <row r="170" spans="1:12" ht="14.25">
      <c r="A170" s="549"/>
      <c r="B170" s="549"/>
      <c r="C170" s="549"/>
      <c r="D170" s="549"/>
      <c r="E170" s="549"/>
      <c r="F170" s="549"/>
      <c r="G170" s="549"/>
      <c r="H170" s="549"/>
      <c r="I170" s="549"/>
      <c r="J170" s="549"/>
      <c r="K170" s="549"/>
      <c r="L170" s="549"/>
    </row>
    <row r="171" spans="1:12" ht="14.25">
      <c r="A171" s="549"/>
      <c r="B171" s="549"/>
      <c r="C171" s="549"/>
      <c r="D171" s="549"/>
      <c r="E171" s="549"/>
      <c r="F171" s="549"/>
      <c r="G171" s="549"/>
      <c r="H171" s="549"/>
      <c r="I171" s="549"/>
      <c r="J171" s="549"/>
      <c r="K171" s="549"/>
      <c r="L171" s="549"/>
    </row>
    <row r="172" spans="1:12" ht="14.25">
      <c r="A172" s="549"/>
      <c r="B172" s="549"/>
      <c r="C172" s="549"/>
      <c r="D172" s="549"/>
      <c r="E172" s="549"/>
      <c r="F172" s="549"/>
      <c r="G172" s="549"/>
      <c r="H172" s="549"/>
      <c r="I172" s="549"/>
      <c r="J172" s="549"/>
      <c r="K172" s="549"/>
      <c r="L172" s="549"/>
    </row>
    <row r="173" spans="1:12" ht="14.25">
      <c r="A173" s="549"/>
      <c r="B173" s="549"/>
      <c r="C173" s="549"/>
      <c r="D173" s="549"/>
      <c r="E173" s="549"/>
      <c r="F173" s="549"/>
      <c r="G173" s="549"/>
      <c r="H173" s="549"/>
      <c r="I173" s="549"/>
      <c r="J173" s="549"/>
      <c r="K173" s="549"/>
      <c r="L173" s="549"/>
    </row>
    <row r="174" spans="1:12" ht="14.25">
      <c r="A174" s="549"/>
      <c r="B174" s="549"/>
      <c r="C174" s="549"/>
      <c r="D174" s="549"/>
      <c r="E174" s="549"/>
      <c r="F174" s="549"/>
      <c r="G174" s="549"/>
      <c r="H174" s="549"/>
      <c r="I174" s="549"/>
      <c r="J174" s="549"/>
      <c r="K174" s="549"/>
      <c r="L174" s="549"/>
    </row>
    <row r="175" spans="1:12" ht="14.25">
      <c r="A175" s="549"/>
      <c r="B175" s="549"/>
      <c r="C175" s="549"/>
      <c r="D175" s="549"/>
      <c r="E175" s="549"/>
      <c r="F175" s="549"/>
      <c r="G175" s="549"/>
      <c r="H175" s="549"/>
      <c r="I175" s="549"/>
      <c r="J175" s="549"/>
      <c r="K175" s="549"/>
      <c r="L175" s="549"/>
    </row>
    <row r="176" spans="1:12" ht="14.25">
      <c r="A176" s="549"/>
      <c r="B176" s="549"/>
      <c r="C176" s="549"/>
      <c r="D176" s="549"/>
      <c r="E176" s="549"/>
      <c r="F176" s="549"/>
      <c r="G176" s="549"/>
      <c r="H176" s="549"/>
      <c r="I176" s="549"/>
      <c r="J176" s="549"/>
      <c r="K176" s="549"/>
      <c r="L176" s="549"/>
    </row>
    <row r="177" spans="1:12" ht="14.25">
      <c r="A177" s="549"/>
      <c r="B177" s="549"/>
      <c r="C177" s="549"/>
      <c r="D177" s="549"/>
      <c r="E177" s="549"/>
      <c r="F177" s="549"/>
      <c r="G177" s="549"/>
      <c r="H177" s="549"/>
      <c r="I177" s="549"/>
      <c r="J177" s="549"/>
      <c r="K177" s="549"/>
      <c r="L177" s="549"/>
    </row>
    <row r="178" spans="1:12" ht="14.25">
      <c r="A178" s="549"/>
      <c r="B178" s="549"/>
      <c r="C178" s="549"/>
      <c r="D178" s="549"/>
      <c r="E178" s="549"/>
      <c r="F178" s="549"/>
      <c r="G178" s="549"/>
      <c r="H178" s="549"/>
      <c r="I178" s="549"/>
      <c r="J178" s="549"/>
      <c r="K178" s="549"/>
      <c r="L178" s="549"/>
    </row>
    <row r="179" spans="1:12" ht="14.25">
      <c r="A179" s="549"/>
      <c r="B179" s="549"/>
      <c r="C179" s="549"/>
      <c r="D179" s="549"/>
      <c r="E179" s="549"/>
      <c r="F179" s="549"/>
      <c r="G179" s="549"/>
      <c r="H179" s="549"/>
      <c r="I179" s="549"/>
      <c r="J179" s="549"/>
      <c r="K179" s="549"/>
      <c r="L179" s="549"/>
    </row>
    <row r="180" spans="1:12" ht="14.25">
      <c r="A180" s="549"/>
      <c r="B180" s="549"/>
      <c r="C180" s="549"/>
      <c r="D180" s="549"/>
      <c r="E180" s="549"/>
      <c r="F180" s="549"/>
      <c r="G180" s="549"/>
      <c r="H180" s="549"/>
      <c r="I180" s="549"/>
      <c r="J180" s="549"/>
      <c r="K180" s="549"/>
      <c r="L180" s="549"/>
    </row>
    <row r="181" spans="1:12" ht="14.25">
      <c r="A181" s="549"/>
      <c r="B181" s="549"/>
      <c r="C181" s="549"/>
      <c r="D181" s="549"/>
      <c r="E181" s="549"/>
      <c r="F181" s="549"/>
      <c r="G181" s="549"/>
      <c r="H181" s="549"/>
      <c r="I181" s="549"/>
      <c r="J181" s="549"/>
      <c r="K181" s="549"/>
      <c r="L181" s="549"/>
    </row>
    <row r="182" spans="1:12" ht="14.25">
      <c r="A182" s="549"/>
      <c r="B182" s="549"/>
      <c r="C182" s="549"/>
      <c r="D182" s="549"/>
      <c r="E182" s="549"/>
      <c r="F182" s="549"/>
      <c r="G182" s="549"/>
      <c r="H182" s="549"/>
      <c r="I182" s="549"/>
      <c r="J182" s="549"/>
      <c r="K182" s="549"/>
      <c r="L182" s="549"/>
    </row>
    <row r="183" spans="1:12" ht="14.25">
      <c r="A183" s="549"/>
      <c r="B183" s="549"/>
      <c r="C183" s="549"/>
      <c r="D183" s="549"/>
      <c r="E183" s="549"/>
      <c r="F183" s="549"/>
      <c r="G183" s="549"/>
      <c r="H183" s="549"/>
      <c r="I183" s="549"/>
      <c r="J183" s="549"/>
      <c r="K183" s="549"/>
      <c r="L183" s="549"/>
    </row>
    <row r="184" spans="1:12" ht="14.25">
      <c r="A184" s="549"/>
      <c r="B184" s="549"/>
      <c r="C184" s="549"/>
      <c r="D184" s="549"/>
      <c r="E184" s="549"/>
      <c r="F184" s="549"/>
      <c r="G184" s="549"/>
      <c r="H184" s="549"/>
      <c r="I184" s="549"/>
      <c r="J184" s="549"/>
      <c r="K184" s="549"/>
      <c r="L184" s="549"/>
    </row>
    <row r="185" spans="1:12" ht="14.25">
      <c r="A185" s="549"/>
      <c r="B185" s="549"/>
      <c r="C185" s="549"/>
      <c r="D185" s="549"/>
      <c r="E185" s="549"/>
      <c r="F185" s="549"/>
      <c r="G185" s="549"/>
      <c r="H185" s="549"/>
      <c r="I185" s="549"/>
      <c r="J185" s="549"/>
      <c r="K185" s="549"/>
      <c r="L185" s="549"/>
    </row>
    <row r="186" spans="1:12" ht="14.25">
      <c r="A186" s="549"/>
      <c r="B186" s="549"/>
      <c r="C186" s="549"/>
      <c r="D186" s="549"/>
      <c r="E186" s="549"/>
      <c r="F186" s="549"/>
      <c r="G186" s="549"/>
      <c r="H186" s="549"/>
      <c r="I186" s="549"/>
      <c r="J186" s="549"/>
      <c r="K186" s="549"/>
      <c r="L186" s="549"/>
    </row>
    <row r="187" spans="1:12" ht="14.25">
      <c r="A187" s="549"/>
      <c r="B187" s="549"/>
      <c r="C187" s="549"/>
      <c r="D187" s="549"/>
      <c r="E187" s="549"/>
      <c r="F187" s="549"/>
      <c r="G187" s="549"/>
      <c r="H187" s="549"/>
      <c r="I187" s="549"/>
      <c r="J187" s="549"/>
      <c r="K187" s="549"/>
      <c r="L187" s="549"/>
    </row>
    <row r="188" spans="1:12" ht="14.25">
      <c r="A188" s="549"/>
      <c r="B188" s="549"/>
      <c r="C188" s="549"/>
      <c r="D188" s="549"/>
      <c r="E188" s="549"/>
      <c r="F188" s="549"/>
      <c r="G188" s="549"/>
      <c r="H188" s="549"/>
      <c r="I188" s="549"/>
      <c r="J188" s="549"/>
      <c r="K188" s="549"/>
      <c r="L188" s="549"/>
    </row>
    <row r="189" spans="1:12" ht="14.25">
      <c r="A189" s="549"/>
      <c r="B189" s="549"/>
      <c r="C189" s="549"/>
      <c r="D189" s="549"/>
      <c r="E189" s="549"/>
      <c r="F189" s="549"/>
      <c r="G189" s="549"/>
      <c r="H189" s="549"/>
      <c r="I189" s="549"/>
      <c r="J189" s="549"/>
      <c r="K189" s="549"/>
      <c r="L189" s="549"/>
    </row>
    <row r="190" spans="1:12" ht="14.25">
      <c r="A190" s="549"/>
      <c r="B190" s="549"/>
      <c r="C190" s="549"/>
      <c r="D190" s="549"/>
      <c r="E190" s="549"/>
      <c r="F190" s="549"/>
      <c r="G190" s="549"/>
      <c r="H190" s="549"/>
      <c r="I190" s="549"/>
      <c r="J190" s="549"/>
      <c r="K190" s="549"/>
      <c r="L190" s="549"/>
    </row>
    <row r="191" spans="1:12" ht="14.25">
      <c r="A191" s="549"/>
      <c r="B191" s="549"/>
      <c r="C191" s="549"/>
      <c r="D191" s="549"/>
      <c r="E191" s="549"/>
      <c r="F191" s="549"/>
      <c r="G191" s="549"/>
      <c r="H191" s="549"/>
      <c r="I191" s="549"/>
      <c r="J191" s="549"/>
      <c r="K191" s="549"/>
      <c r="L191" s="549"/>
    </row>
    <row r="192" spans="1:12" ht="14.25">
      <c r="A192" s="549"/>
      <c r="B192" s="549"/>
      <c r="C192" s="549"/>
      <c r="D192" s="549"/>
      <c r="E192" s="549"/>
      <c r="F192" s="549"/>
      <c r="G192" s="549"/>
      <c r="H192" s="549"/>
      <c r="I192" s="549"/>
      <c r="J192" s="549"/>
      <c r="K192" s="549"/>
      <c r="L192" s="549"/>
    </row>
    <row r="193" spans="1:12" ht="14.25">
      <c r="A193" s="549"/>
      <c r="B193" s="549"/>
      <c r="C193" s="549"/>
      <c r="D193" s="549"/>
      <c r="E193" s="549"/>
      <c r="F193" s="549"/>
      <c r="G193" s="549"/>
      <c r="H193" s="549"/>
      <c r="I193" s="549"/>
      <c r="J193" s="549"/>
      <c r="K193" s="549"/>
      <c r="L193" s="549"/>
    </row>
    <row r="194" spans="1:12" ht="14.25">
      <c r="A194" s="549"/>
      <c r="B194" s="549"/>
      <c r="C194" s="549"/>
      <c r="D194" s="549"/>
      <c r="E194" s="549"/>
      <c r="F194" s="549"/>
      <c r="G194" s="549"/>
      <c r="H194" s="549"/>
      <c r="I194" s="549"/>
      <c r="J194" s="549"/>
      <c r="K194" s="549"/>
      <c r="L194" s="549"/>
    </row>
    <row r="195" spans="1:12" ht="14.25">
      <c r="A195" s="549"/>
      <c r="B195" s="549"/>
      <c r="C195" s="549"/>
      <c r="D195" s="549"/>
      <c r="E195" s="549"/>
      <c r="F195" s="549"/>
      <c r="G195" s="549"/>
      <c r="H195" s="549"/>
      <c r="I195" s="549"/>
      <c r="J195" s="549"/>
      <c r="K195" s="549"/>
      <c r="L195" s="549"/>
    </row>
    <row r="196" spans="1:12" ht="14.25">
      <c r="A196" s="549"/>
      <c r="B196" s="549"/>
      <c r="C196" s="549"/>
      <c r="D196" s="549"/>
      <c r="E196" s="549"/>
      <c r="F196" s="549"/>
      <c r="G196" s="549"/>
      <c r="H196" s="549"/>
      <c r="I196" s="549"/>
      <c r="J196" s="549"/>
      <c r="K196" s="549"/>
      <c r="L196" s="549"/>
    </row>
    <row r="197" spans="1:12" ht="14.25">
      <c r="A197" s="549"/>
      <c r="B197" s="549"/>
      <c r="C197" s="549"/>
      <c r="D197" s="549"/>
      <c r="E197" s="549"/>
      <c r="F197" s="549"/>
      <c r="G197" s="549"/>
      <c r="H197" s="549"/>
      <c r="I197" s="549"/>
      <c r="J197" s="549"/>
      <c r="K197" s="549"/>
      <c r="L197" s="549"/>
    </row>
    <row r="198" spans="1:12" ht="14.25">
      <c r="A198" s="549"/>
      <c r="B198" s="549"/>
      <c r="C198" s="549"/>
      <c r="D198" s="549"/>
      <c r="E198" s="549"/>
      <c r="F198" s="549"/>
      <c r="G198" s="549"/>
      <c r="H198" s="549"/>
      <c r="I198" s="549"/>
      <c r="J198" s="549"/>
      <c r="K198" s="549"/>
      <c r="L198" s="549"/>
    </row>
    <row r="199" spans="1:12" ht="14.25">
      <c r="A199" s="549"/>
      <c r="B199" s="549"/>
      <c r="C199" s="549"/>
      <c r="D199" s="549"/>
      <c r="E199" s="549"/>
      <c r="F199" s="549"/>
      <c r="G199" s="549"/>
      <c r="H199" s="549"/>
      <c r="I199" s="549"/>
      <c r="J199" s="549"/>
      <c r="K199" s="549"/>
      <c r="L199" s="549"/>
    </row>
    <row r="200" spans="1:12" ht="14.25">
      <c r="A200" s="549"/>
      <c r="B200" s="549"/>
      <c r="C200" s="549"/>
      <c r="D200" s="549"/>
      <c r="E200" s="549"/>
      <c r="F200" s="549"/>
      <c r="G200" s="549"/>
      <c r="H200" s="549"/>
      <c r="I200" s="549"/>
      <c r="J200" s="549"/>
      <c r="K200" s="549"/>
      <c r="L200" s="549"/>
    </row>
    <row r="201" spans="1:12" ht="14.25">
      <c r="A201" s="549"/>
      <c r="B201" s="549"/>
      <c r="C201" s="549"/>
      <c r="D201" s="549"/>
      <c r="E201" s="549"/>
      <c r="F201" s="549"/>
      <c r="G201" s="549"/>
      <c r="H201" s="549"/>
      <c r="I201" s="549"/>
      <c r="J201" s="549"/>
      <c r="K201" s="549"/>
      <c r="L201" s="549"/>
    </row>
    <row r="202" spans="1:12" ht="14.25">
      <c r="A202" s="549"/>
      <c r="B202" s="549"/>
      <c r="C202" s="549"/>
      <c r="D202" s="549"/>
      <c r="E202" s="549"/>
      <c r="F202" s="549"/>
      <c r="G202" s="549"/>
      <c r="H202" s="549"/>
      <c r="I202" s="549"/>
      <c r="J202" s="549"/>
      <c r="K202" s="549"/>
      <c r="L202" s="549"/>
    </row>
    <row r="203" spans="1:12" ht="14.25">
      <c r="A203" s="549"/>
      <c r="B203" s="549"/>
      <c r="C203" s="549"/>
      <c r="D203" s="549"/>
      <c r="E203" s="549"/>
      <c r="F203" s="549"/>
      <c r="G203" s="549"/>
      <c r="H203" s="549"/>
      <c r="I203" s="549"/>
      <c r="J203" s="549"/>
      <c r="K203" s="549"/>
      <c r="L203" s="549"/>
    </row>
    <row r="204" spans="1:12" ht="14.25">
      <c r="A204" s="549"/>
      <c r="B204" s="549"/>
      <c r="C204" s="549"/>
      <c r="D204" s="549"/>
      <c r="E204" s="549"/>
      <c r="F204" s="549"/>
      <c r="G204" s="549"/>
      <c r="H204" s="549"/>
      <c r="I204" s="549"/>
      <c r="J204" s="549"/>
      <c r="K204" s="549"/>
      <c r="L204" s="549"/>
    </row>
    <row r="205" spans="1:12" ht="14.25">
      <c r="A205" s="549"/>
      <c r="B205" s="549"/>
      <c r="C205" s="549"/>
      <c r="D205" s="549"/>
      <c r="E205" s="549"/>
      <c r="F205" s="549"/>
      <c r="G205" s="549"/>
      <c r="H205" s="549"/>
      <c r="I205" s="549"/>
      <c r="J205" s="549"/>
      <c r="K205" s="549"/>
      <c r="L205" s="549"/>
    </row>
    <row r="206" spans="1:12" ht="14.25">
      <c r="A206" s="549"/>
      <c r="B206" s="549"/>
      <c r="C206" s="549"/>
      <c r="D206" s="549"/>
      <c r="E206" s="549"/>
      <c r="F206" s="549"/>
      <c r="G206" s="549"/>
      <c r="H206" s="549"/>
      <c r="I206" s="549"/>
      <c r="J206" s="549"/>
      <c r="K206" s="549"/>
      <c r="L206" s="549"/>
    </row>
    <row r="207" spans="1:12" ht="14.25">
      <c r="A207" s="549"/>
      <c r="B207" s="549"/>
      <c r="C207" s="549"/>
      <c r="D207" s="549"/>
      <c r="E207" s="549"/>
      <c r="F207" s="549"/>
      <c r="G207" s="549"/>
      <c r="H207" s="549"/>
      <c r="I207" s="549"/>
      <c r="J207" s="549"/>
      <c r="K207" s="549"/>
      <c r="L207" s="549"/>
    </row>
    <row r="208" spans="1:12" ht="14.25">
      <c r="A208" s="549"/>
      <c r="B208" s="549"/>
      <c r="C208" s="549"/>
      <c r="D208" s="549"/>
      <c r="E208" s="549"/>
      <c r="F208" s="549"/>
      <c r="G208" s="549"/>
      <c r="H208" s="549"/>
      <c r="I208" s="549"/>
      <c r="J208" s="549"/>
      <c r="K208" s="549"/>
      <c r="L208" s="549"/>
    </row>
    <row r="209" spans="1:12" ht="14.25">
      <c r="A209" s="549"/>
      <c r="B209" s="549"/>
      <c r="C209" s="549"/>
      <c r="D209" s="549"/>
      <c r="E209" s="549"/>
      <c r="F209" s="549"/>
      <c r="G209" s="549"/>
      <c r="H209" s="549"/>
      <c r="I209" s="549"/>
      <c r="J209" s="549"/>
      <c r="K209" s="549"/>
      <c r="L209" s="549"/>
    </row>
    <row r="210" spans="1:12" ht="14.25">
      <c r="A210" s="549"/>
      <c r="B210" s="549"/>
      <c r="C210" s="549"/>
      <c r="D210" s="549"/>
      <c r="E210" s="549"/>
      <c r="F210" s="549"/>
      <c r="G210" s="549"/>
      <c r="H210" s="549"/>
      <c r="I210" s="549"/>
      <c r="J210" s="549"/>
      <c r="K210" s="549"/>
      <c r="L210" s="549"/>
    </row>
    <row r="211" spans="1:12" ht="14.25">
      <c r="A211" s="549"/>
      <c r="B211" s="549"/>
      <c r="C211" s="549"/>
      <c r="D211" s="549"/>
      <c r="E211" s="549"/>
      <c r="F211" s="549"/>
      <c r="G211" s="549"/>
      <c r="H211" s="549"/>
      <c r="I211" s="549"/>
      <c r="J211" s="549"/>
      <c r="K211" s="549"/>
      <c r="L211" s="549"/>
    </row>
    <row r="212" spans="1:12" ht="14.25">
      <c r="A212" s="549"/>
      <c r="B212" s="549"/>
      <c r="C212" s="549"/>
      <c r="D212" s="549"/>
      <c r="E212" s="549"/>
      <c r="F212" s="549"/>
      <c r="G212" s="549"/>
      <c r="H212" s="549"/>
      <c r="I212" s="549"/>
      <c r="J212" s="549"/>
      <c r="K212" s="549"/>
      <c r="L212" s="549"/>
    </row>
    <row r="213" spans="1:12" ht="14.25">
      <c r="A213" s="549"/>
      <c r="B213" s="549"/>
      <c r="C213" s="549"/>
      <c r="D213" s="549"/>
      <c r="E213" s="549"/>
      <c r="F213" s="549"/>
      <c r="G213" s="549"/>
      <c r="H213" s="549"/>
      <c r="I213" s="549"/>
      <c r="J213" s="549"/>
      <c r="K213" s="549"/>
      <c r="L213" s="549"/>
    </row>
    <row r="214" spans="1:12" ht="14.25">
      <c r="A214" s="549"/>
      <c r="B214" s="549"/>
      <c r="C214" s="549"/>
      <c r="D214" s="549"/>
      <c r="E214" s="549"/>
      <c r="F214" s="549"/>
      <c r="G214" s="549"/>
      <c r="H214" s="549"/>
      <c r="I214" s="549"/>
      <c r="J214" s="549"/>
      <c r="K214" s="549"/>
      <c r="L214" s="549"/>
    </row>
    <row r="215" spans="1:12" ht="14.25">
      <c r="A215" s="549"/>
      <c r="B215" s="549"/>
      <c r="C215" s="549"/>
      <c r="D215" s="549"/>
      <c r="E215" s="549"/>
      <c r="F215" s="549"/>
      <c r="G215" s="549"/>
      <c r="H215" s="549"/>
      <c r="I215" s="549"/>
      <c r="J215" s="549"/>
      <c r="K215" s="549"/>
      <c r="L215" s="549"/>
    </row>
    <row r="216" spans="1:12" ht="14.25">
      <c r="A216" s="549"/>
      <c r="B216" s="549"/>
      <c r="C216" s="549"/>
      <c r="D216" s="549"/>
      <c r="E216" s="549"/>
      <c r="F216" s="549"/>
      <c r="G216" s="549"/>
      <c r="H216" s="549"/>
      <c r="I216" s="549"/>
      <c r="J216" s="549"/>
      <c r="K216" s="549"/>
      <c r="L216" s="549"/>
    </row>
    <row r="217" spans="1:12" ht="14.25">
      <c r="A217" s="549"/>
      <c r="B217" s="549"/>
      <c r="C217" s="549"/>
      <c r="D217" s="549"/>
      <c r="E217" s="549"/>
      <c r="F217" s="549"/>
      <c r="G217" s="549"/>
      <c r="H217" s="549"/>
      <c r="I217" s="549"/>
      <c r="J217" s="549"/>
      <c r="K217" s="549"/>
      <c r="L217" s="549"/>
    </row>
    <row r="218" spans="1:12" ht="14.25">
      <c r="A218" s="549"/>
      <c r="B218" s="549"/>
      <c r="C218" s="549"/>
      <c r="D218" s="549"/>
      <c r="E218" s="549"/>
      <c r="F218" s="549"/>
      <c r="G218" s="549"/>
      <c r="H218" s="549"/>
      <c r="I218" s="549"/>
      <c r="J218" s="549"/>
      <c r="K218" s="549"/>
      <c r="L218" s="549"/>
    </row>
    <row r="219" spans="1:12" ht="14.25">
      <c r="A219" s="549"/>
      <c r="B219" s="549"/>
      <c r="C219" s="549"/>
      <c r="D219" s="549"/>
      <c r="E219" s="549"/>
      <c r="F219" s="549"/>
      <c r="G219" s="549"/>
      <c r="H219" s="549"/>
      <c r="I219" s="549"/>
      <c r="J219" s="549"/>
      <c r="K219" s="549"/>
      <c r="L219" s="549"/>
    </row>
    <row r="220" spans="1:12" ht="14.25">
      <c r="A220" s="549"/>
      <c r="B220" s="549"/>
      <c r="C220" s="549"/>
      <c r="D220" s="549"/>
      <c r="E220" s="549"/>
      <c r="F220" s="549"/>
      <c r="G220" s="549"/>
      <c r="H220" s="549"/>
      <c r="I220" s="549"/>
      <c r="J220" s="549"/>
      <c r="K220" s="549"/>
      <c r="L220" s="549"/>
    </row>
    <row r="221" spans="1:12" ht="14.25">
      <c r="A221" s="549"/>
      <c r="B221" s="549"/>
      <c r="C221" s="549"/>
      <c r="D221" s="549"/>
      <c r="E221" s="549"/>
      <c r="F221" s="549"/>
      <c r="G221" s="549"/>
      <c r="H221" s="549"/>
      <c r="I221" s="549"/>
      <c r="J221" s="549"/>
      <c r="K221" s="549"/>
      <c r="L221" s="549"/>
    </row>
    <row r="222" spans="1:12" ht="14.25">
      <c r="A222" s="549"/>
      <c r="B222" s="549"/>
      <c r="C222" s="549"/>
      <c r="D222" s="549"/>
      <c r="E222" s="549"/>
      <c r="F222" s="549"/>
      <c r="G222" s="549"/>
      <c r="H222" s="549"/>
      <c r="I222" s="549"/>
      <c r="J222" s="549"/>
      <c r="K222" s="549"/>
      <c r="L222" s="549"/>
    </row>
    <row r="223" spans="1:12" ht="14.25">
      <c r="A223" s="549"/>
      <c r="B223" s="549"/>
      <c r="C223" s="549"/>
      <c r="D223" s="549"/>
      <c r="E223" s="549"/>
      <c r="F223" s="549"/>
      <c r="G223" s="549"/>
      <c r="H223" s="549"/>
      <c r="I223" s="549"/>
      <c r="J223" s="549"/>
      <c r="K223" s="549"/>
      <c r="L223" s="549"/>
    </row>
    <row r="224" spans="1:12" ht="14.25">
      <c r="A224" s="549"/>
      <c r="B224" s="549"/>
      <c r="C224" s="549"/>
      <c r="D224" s="549"/>
      <c r="E224" s="549"/>
      <c r="F224" s="549"/>
      <c r="G224" s="549"/>
      <c r="H224" s="549"/>
      <c r="I224" s="549"/>
      <c r="J224" s="549"/>
      <c r="K224" s="549"/>
      <c r="L224" s="549"/>
    </row>
    <row r="225" spans="1:12" ht="14.25">
      <c r="A225" s="549"/>
      <c r="B225" s="549"/>
      <c r="C225" s="549"/>
      <c r="D225" s="549"/>
      <c r="E225" s="549"/>
      <c r="F225" s="549"/>
      <c r="G225" s="549"/>
      <c r="H225" s="549"/>
      <c r="I225" s="549"/>
      <c r="J225" s="549"/>
      <c r="K225" s="549"/>
      <c r="L225" s="549"/>
    </row>
    <row r="226" spans="1:12" ht="14.25">
      <c r="A226" s="549"/>
      <c r="B226" s="549"/>
      <c r="C226" s="549"/>
      <c r="D226" s="549"/>
      <c r="E226" s="549"/>
      <c r="F226" s="549"/>
      <c r="G226" s="549"/>
      <c r="H226" s="549"/>
      <c r="I226" s="549"/>
      <c r="J226" s="549"/>
      <c r="K226" s="549"/>
      <c r="L226" s="549"/>
    </row>
    <row r="227" spans="1:12" ht="14.25">
      <c r="A227" s="549"/>
      <c r="B227" s="549"/>
      <c r="C227" s="549"/>
      <c r="D227" s="549"/>
      <c r="E227" s="549"/>
      <c r="F227" s="549"/>
      <c r="G227" s="549"/>
      <c r="H227" s="549"/>
      <c r="I227" s="549"/>
      <c r="J227" s="549"/>
      <c r="K227" s="549"/>
      <c r="L227" s="549"/>
    </row>
    <row r="228" spans="1:12" ht="14.25">
      <c r="A228" s="549"/>
      <c r="B228" s="549"/>
      <c r="C228" s="549"/>
      <c r="D228" s="549"/>
      <c r="E228" s="549"/>
      <c r="F228" s="549"/>
      <c r="G228" s="549"/>
      <c r="H228" s="549"/>
      <c r="I228" s="549"/>
      <c r="J228" s="549"/>
      <c r="K228" s="549"/>
      <c r="L228" s="549"/>
    </row>
    <row r="229" spans="1:12" ht="14.25">
      <c r="A229" s="549"/>
      <c r="B229" s="549"/>
      <c r="C229" s="549"/>
      <c r="D229" s="549"/>
      <c r="E229" s="549"/>
      <c r="F229" s="549"/>
      <c r="G229" s="549"/>
      <c r="H229" s="549"/>
      <c r="I229" s="549"/>
      <c r="J229" s="549"/>
      <c r="K229" s="549"/>
      <c r="L229" s="549"/>
    </row>
    <row r="230" spans="1:12" ht="14.25">
      <c r="A230" s="549"/>
      <c r="B230" s="549"/>
      <c r="C230" s="549"/>
      <c r="D230" s="549"/>
      <c r="E230" s="549"/>
      <c r="F230" s="549"/>
      <c r="G230" s="549"/>
      <c r="H230" s="549"/>
      <c r="I230" s="549"/>
      <c r="J230" s="549"/>
      <c r="K230" s="549"/>
      <c r="L230" s="549"/>
    </row>
    <row r="231" spans="1:12" ht="14.25">
      <c r="A231" s="549"/>
      <c r="B231" s="549"/>
      <c r="C231" s="549"/>
      <c r="D231" s="549"/>
      <c r="E231" s="549"/>
      <c r="F231" s="549"/>
      <c r="G231" s="549"/>
      <c r="H231" s="549"/>
      <c r="I231" s="549"/>
      <c r="J231" s="549"/>
      <c r="K231" s="549"/>
      <c r="L231" s="549"/>
    </row>
    <row r="232" spans="1:12" ht="14.25">
      <c r="A232" s="549"/>
      <c r="B232" s="549"/>
      <c r="C232" s="549"/>
      <c r="D232" s="549"/>
      <c r="E232" s="549"/>
      <c r="F232" s="549"/>
      <c r="G232" s="549"/>
      <c r="H232" s="549"/>
      <c r="I232" s="549"/>
      <c r="J232" s="549"/>
      <c r="K232" s="549"/>
      <c r="L232" s="549"/>
    </row>
    <row r="233" spans="1:12" ht="14.25">
      <c r="A233" s="549"/>
      <c r="B233" s="549"/>
      <c r="C233" s="549"/>
      <c r="D233" s="549"/>
      <c r="E233" s="549"/>
      <c r="F233" s="549"/>
      <c r="G233" s="549"/>
      <c r="H233" s="549"/>
      <c r="I233" s="549"/>
      <c r="J233" s="549"/>
      <c r="K233" s="549"/>
      <c r="L233" s="549"/>
    </row>
    <row r="234" spans="1:12" ht="14.25">
      <c r="A234" s="549"/>
      <c r="B234" s="549"/>
      <c r="C234" s="549"/>
      <c r="D234" s="549"/>
      <c r="E234" s="549"/>
      <c r="F234" s="549"/>
      <c r="G234" s="549"/>
      <c r="H234" s="549"/>
      <c r="I234" s="549"/>
      <c r="J234" s="549"/>
      <c r="K234" s="549"/>
      <c r="L234" s="549"/>
    </row>
    <row r="235" spans="1:12" ht="14.25">
      <c r="A235" s="549"/>
      <c r="B235" s="549"/>
      <c r="C235" s="549"/>
      <c r="D235" s="549"/>
      <c r="E235" s="549"/>
      <c r="F235" s="549"/>
      <c r="G235" s="549"/>
      <c r="H235" s="549"/>
      <c r="I235" s="549"/>
      <c r="J235" s="549"/>
      <c r="K235" s="549"/>
      <c r="L235" s="549"/>
    </row>
    <row r="236" spans="1:12" ht="14.25">
      <c r="A236" s="549"/>
      <c r="B236" s="549"/>
      <c r="C236" s="549"/>
      <c r="D236" s="549"/>
      <c r="E236" s="549"/>
      <c r="F236" s="549"/>
      <c r="G236" s="549"/>
      <c r="H236" s="549"/>
      <c r="I236" s="549"/>
      <c r="J236" s="549"/>
      <c r="K236" s="549"/>
      <c r="L236" s="549"/>
    </row>
    <row r="237" spans="1:12" ht="14.25">
      <c r="A237" s="549"/>
      <c r="B237" s="549"/>
      <c r="C237" s="549"/>
      <c r="D237" s="549"/>
      <c r="E237" s="549"/>
      <c r="F237" s="549"/>
      <c r="G237" s="549"/>
      <c r="H237" s="549"/>
      <c r="I237" s="549"/>
      <c r="J237" s="549"/>
      <c r="K237" s="549"/>
      <c r="L237" s="549"/>
    </row>
    <row r="238" spans="1:12" ht="14.25">
      <c r="A238" s="549"/>
      <c r="B238" s="549"/>
      <c r="C238" s="549"/>
      <c r="D238" s="549"/>
      <c r="E238" s="549"/>
      <c r="F238" s="549"/>
      <c r="G238" s="549"/>
      <c r="H238" s="549"/>
      <c r="I238" s="549"/>
      <c r="J238" s="549"/>
      <c r="K238" s="549"/>
      <c r="L238" s="549"/>
    </row>
    <row r="239" spans="1:12" ht="14.25">
      <c r="A239" s="549"/>
      <c r="B239" s="549"/>
      <c r="C239" s="549"/>
      <c r="D239" s="549"/>
      <c r="E239" s="549"/>
      <c r="F239" s="549"/>
      <c r="G239" s="549"/>
      <c r="H239" s="549"/>
      <c r="I239" s="549"/>
      <c r="J239" s="549"/>
      <c r="K239" s="549"/>
      <c r="L239" s="549"/>
    </row>
    <row r="240" spans="1:12" ht="14.25">
      <c r="A240" s="549"/>
      <c r="B240" s="549"/>
      <c r="C240" s="549"/>
      <c r="D240" s="549"/>
      <c r="E240" s="549"/>
      <c r="F240" s="549"/>
      <c r="G240" s="549"/>
      <c r="H240" s="549"/>
      <c r="I240" s="549"/>
      <c r="J240" s="549"/>
      <c r="K240" s="549"/>
      <c r="L240" s="549"/>
    </row>
    <row r="241" spans="1:12" ht="14.25">
      <c r="A241" s="549"/>
      <c r="B241" s="549"/>
      <c r="C241" s="549"/>
      <c r="D241" s="549"/>
      <c r="E241" s="549"/>
      <c r="F241" s="549"/>
      <c r="G241" s="549"/>
      <c r="H241" s="549"/>
      <c r="I241" s="549"/>
      <c r="J241" s="549"/>
      <c r="K241" s="549"/>
      <c r="L241" s="549"/>
    </row>
    <row r="242" spans="1:12" ht="14.25">
      <c r="A242" s="549"/>
      <c r="B242" s="549"/>
      <c r="C242" s="549"/>
      <c r="D242" s="549"/>
      <c r="E242" s="549"/>
      <c r="F242" s="549"/>
      <c r="G242" s="549"/>
      <c r="H242" s="549"/>
      <c r="I242" s="549"/>
      <c r="J242" s="549"/>
      <c r="K242" s="549"/>
      <c r="L242" s="549"/>
    </row>
    <row r="243" spans="1:12" ht="14.25">
      <c r="A243" s="549"/>
      <c r="B243" s="549"/>
      <c r="C243" s="549"/>
      <c r="D243" s="549"/>
      <c r="E243" s="549"/>
      <c r="F243" s="549"/>
      <c r="G243" s="549"/>
      <c r="H243" s="549"/>
      <c r="I243" s="549"/>
      <c r="J243" s="549"/>
      <c r="K243" s="549"/>
      <c r="L243" s="549"/>
    </row>
    <row r="244" spans="1:12" ht="14.25">
      <c r="A244" s="549"/>
      <c r="B244" s="549"/>
      <c r="C244" s="549"/>
      <c r="D244" s="549"/>
      <c r="E244" s="549"/>
      <c r="F244" s="549"/>
      <c r="G244" s="549"/>
      <c r="H244" s="549"/>
      <c r="I244" s="549"/>
      <c r="J244" s="549"/>
      <c r="K244" s="549"/>
      <c r="L244" s="549"/>
    </row>
    <row r="245" spans="1:12" ht="14.25">
      <c r="A245" s="549"/>
      <c r="B245" s="549"/>
      <c r="C245" s="549"/>
      <c r="D245" s="549"/>
      <c r="E245" s="549"/>
      <c r="F245" s="549"/>
      <c r="G245" s="549"/>
      <c r="H245" s="549"/>
      <c r="I245" s="549"/>
      <c r="J245" s="549"/>
      <c r="K245" s="549"/>
      <c r="L245" s="549"/>
    </row>
    <row r="246" spans="1:12" ht="14.25">
      <c r="A246" s="549"/>
      <c r="B246" s="549"/>
      <c r="C246" s="549"/>
      <c r="D246" s="549"/>
      <c r="E246" s="549"/>
      <c r="F246" s="549"/>
      <c r="G246" s="549"/>
      <c r="H246" s="549"/>
      <c r="I246" s="549"/>
      <c r="J246" s="549"/>
      <c r="K246" s="549"/>
      <c r="L246" s="549"/>
    </row>
    <row r="247" spans="1:12" ht="14.25">
      <c r="A247" s="549"/>
      <c r="B247" s="549"/>
      <c r="C247" s="549"/>
      <c r="D247" s="549"/>
      <c r="E247" s="549"/>
      <c r="F247" s="549"/>
      <c r="G247" s="549"/>
      <c r="H247" s="549"/>
      <c r="I247" s="549"/>
      <c r="J247" s="549"/>
      <c r="K247" s="549"/>
      <c r="L247" s="549"/>
    </row>
    <row r="248" spans="1:12" ht="14.25">
      <c r="A248" s="549"/>
      <c r="B248" s="549"/>
      <c r="C248" s="549"/>
      <c r="D248" s="549"/>
      <c r="E248" s="549"/>
      <c r="F248" s="549"/>
      <c r="G248" s="549"/>
      <c r="H248" s="549"/>
      <c r="I248" s="549"/>
      <c r="J248" s="549"/>
      <c r="K248" s="549"/>
      <c r="L248" s="549"/>
    </row>
    <row r="249" spans="1:12" ht="14.25">
      <c r="A249" s="549"/>
      <c r="B249" s="549"/>
      <c r="C249" s="549"/>
      <c r="D249" s="549"/>
      <c r="E249" s="549"/>
      <c r="F249" s="549"/>
      <c r="G249" s="549"/>
      <c r="H249" s="549"/>
      <c r="I249" s="549"/>
      <c r="J249" s="549"/>
      <c r="K249" s="549"/>
      <c r="L249" s="549"/>
    </row>
    <row r="250" spans="1:12" ht="14.25">
      <c r="A250" s="549"/>
      <c r="B250" s="549"/>
      <c r="C250" s="549"/>
      <c r="D250" s="549"/>
      <c r="E250" s="549"/>
      <c r="F250" s="549"/>
      <c r="G250" s="549"/>
      <c r="H250" s="549"/>
      <c r="I250" s="549"/>
      <c r="J250" s="549"/>
      <c r="K250" s="549"/>
      <c r="L250" s="549"/>
    </row>
    <row r="251" spans="1:12" ht="14.25">
      <c r="A251" s="549"/>
      <c r="B251" s="549"/>
      <c r="C251" s="549"/>
      <c r="D251" s="549"/>
      <c r="E251" s="549"/>
      <c r="F251" s="549"/>
      <c r="G251" s="549"/>
      <c r="H251" s="549"/>
      <c r="I251" s="549"/>
      <c r="J251" s="549"/>
      <c r="K251" s="549"/>
      <c r="L251" s="549"/>
    </row>
    <row r="252" spans="1:12" ht="14.25">
      <c r="A252" s="549"/>
      <c r="B252" s="549"/>
      <c r="C252" s="549"/>
      <c r="D252" s="549"/>
      <c r="E252" s="549"/>
      <c r="F252" s="549"/>
      <c r="G252" s="549"/>
      <c r="H252" s="549"/>
      <c r="I252" s="549"/>
      <c r="J252" s="549"/>
      <c r="K252" s="549"/>
      <c r="L252" s="549"/>
    </row>
    <row r="253" spans="1:12" ht="14.25">
      <c r="A253" s="549"/>
      <c r="B253" s="549"/>
      <c r="C253" s="549"/>
      <c r="D253" s="549"/>
      <c r="E253" s="549"/>
      <c r="F253" s="549"/>
      <c r="G253" s="549"/>
      <c r="H253" s="549"/>
      <c r="I253" s="549"/>
      <c r="J253" s="549"/>
      <c r="K253" s="549"/>
      <c r="L253" s="549"/>
    </row>
    <row r="254" spans="1:12" ht="14.25">
      <c r="A254" s="549"/>
      <c r="B254" s="549"/>
      <c r="C254" s="549"/>
      <c r="D254" s="549"/>
      <c r="E254" s="549"/>
      <c r="F254" s="549"/>
      <c r="G254" s="549"/>
      <c r="H254" s="549"/>
      <c r="I254" s="549"/>
      <c r="J254" s="549"/>
      <c r="K254" s="549"/>
      <c r="L254" s="549"/>
    </row>
    <row r="255" spans="1:12" ht="14.25">
      <c r="A255" s="549"/>
      <c r="B255" s="549"/>
      <c r="C255" s="549"/>
      <c r="D255" s="549"/>
      <c r="E255" s="549"/>
      <c r="F255" s="549"/>
      <c r="G255" s="549"/>
      <c r="H255" s="549"/>
      <c r="I255" s="549"/>
      <c r="J255" s="549"/>
      <c r="K255" s="549"/>
      <c r="L255" s="549"/>
    </row>
    <row r="256" spans="1:12" ht="14.25">
      <c r="A256" s="549"/>
      <c r="B256" s="549"/>
      <c r="C256" s="549"/>
      <c r="D256" s="549"/>
      <c r="E256" s="549"/>
      <c r="F256" s="549"/>
      <c r="G256" s="549"/>
      <c r="H256" s="549"/>
      <c r="I256" s="549"/>
      <c r="J256" s="549"/>
      <c r="K256" s="549"/>
      <c r="L256" s="549"/>
    </row>
    <row r="257" spans="1:12" ht="14.25">
      <c r="A257" s="549"/>
      <c r="B257" s="549"/>
      <c r="C257" s="549"/>
      <c r="D257" s="549"/>
      <c r="E257" s="549"/>
      <c r="F257" s="549"/>
      <c r="G257" s="549"/>
      <c r="H257" s="549"/>
      <c r="I257" s="549"/>
      <c r="J257" s="549"/>
      <c r="K257" s="549"/>
      <c r="L257" s="549"/>
    </row>
    <row r="258" spans="1:12" ht="14.25">
      <c r="A258" s="549"/>
      <c r="B258" s="549"/>
      <c r="C258" s="549"/>
      <c r="D258" s="549"/>
      <c r="E258" s="549"/>
      <c r="F258" s="549"/>
      <c r="G258" s="549"/>
      <c r="H258" s="549"/>
      <c r="I258" s="549"/>
      <c r="J258" s="549"/>
      <c r="K258" s="549"/>
      <c r="L258" s="549"/>
    </row>
    <row r="259" spans="1:12" ht="14.25">
      <c r="A259" s="549"/>
      <c r="B259" s="549"/>
      <c r="C259" s="549"/>
      <c r="D259" s="549"/>
      <c r="E259" s="549"/>
      <c r="F259" s="549"/>
      <c r="G259" s="549"/>
      <c r="H259" s="549"/>
      <c r="I259" s="549"/>
      <c r="J259" s="549"/>
      <c r="K259" s="549"/>
      <c r="L259" s="549"/>
    </row>
    <row r="260" spans="1:12" ht="14.25">
      <c r="A260" s="549"/>
      <c r="B260" s="549"/>
      <c r="C260" s="549"/>
      <c r="D260" s="549"/>
      <c r="E260" s="549"/>
      <c r="F260" s="549"/>
      <c r="G260" s="549"/>
      <c r="H260" s="549"/>
      <c r="I260" s="549"/>
      <c r="J260" s="549"/>
      <c r="K260" s="549"/>
      <c r="L260" s="549"/>
    </row>
    <row r="261" spans="1:12" ht="14.25">
      <c r="A261" s="549"/>
      <c r="B261" s="549"/>
      <c r="C261" s="549"/>
      <c r="D261" s="549"/>
      <c r="E261" s="549"/>
      <c r="F261" s="549"/>
      <c r="G261" s="549"/>
      <c r="H261" s="549"/>
      <c r="I261" s="549"/>
      <c r="J261" s="549"/>
      <c r="K261" s="549"/>
      <c r="L261" s="549"/>
    </row>
    <row r="262" spans="1:12" ht="14.25">
      <c r="A262" s="549"/>
      <c r="B262" s="549"/>
      <c r="C262" s="549"/>
      <c r="D262" s="549"/>
      <c r="E262" s="549"/>
      <c r="F262" s="549"/>
      <c r="G262" s="549"/>
      <c r="H262" s="549"/>
      <c r="I262" s="549"/>
      <c r="J262" s="549"/>
      <c r="K262" s="549"/>
      <c r="L262" s="549"/>
    </row>
    <row r="263" spans="1:12" ht="14.25">
      <c r="A263" s="549"/>
      <c r="B263" s="549"/>
      <c r="C263" s="549"/>
      <c r="D263" s="549"/>
      <c r="E263" s="549"/>
      <c r="F263" s="549"/>
      <c r="G263" s="549"/>
      <c r="H263" s="549"/>
      <c r="I263" s="549"/>
      <c r="J263" s="549"/>
      <c r="K263" s="549"/>
      <c r="L263" s="549"/>
    </row>
    <row r="264" spans="1:12" ht="14.25">
      <c r="A264" s="549"/>
      <c r="B264" s="549"/>
      <c r="C264" s="549"/>
      <c r="D264" s="549"/>
      <c r="E264" s="549"/>
      <c r="F264" s="549"/>
      <c r="G264" s="549"/>
      <c r="H264" s="549"/>
      <c r="I264" s="549"/>
      <c r="J264" s="549"/>
      <c r="K264" s="549"/>
      <c r="L264" s="549"/>
    </row>
    <row r="265" spans="1:12" ht="14.25">
      <c r="A265" s="549"/>
      <c r="B265" s="549"/>
      <c r="C265" s="549"/>
      <c r="D265" s="549"/>
      <c r="E265" s="549"/>
      <c r="F265" s="549"/>
      <c r="G265" s="549"/>
      <c r="H265" s="549"/>
      <c r="I265" s="549"/>
      <c r="J265" s="549"/>
      <c r="K265" s="549"/>
      <c r="L265" s="549"/>
    </row>
    <row r="266" spans="1:12" ht="14.25">
      <c r="A266" s="549"/>
      <c r="B266" s="549"/>
      <c r="C266" s="549"/>
      <c r="D266" s="549"/>
      <c r="E266" s="549"/>
      <c r="F266" s="549"/>
      <c r="G266" s="549"/>
      <c r="H266" s="549"/>
      <c r="I266" s="549"/>
      <c r="J266" s="549"/>
      <c r="K266" s="549"/>
      <c r="L266" s="549"/>
    </row>
    <row r="267" spans="1:12" ht="14.25">
      <c r="A267" s="549"/>
      <c r="B267" s="549"/>
      <c r="C267" s="549"/>
      <c r="D267" s="549"/>
      <c r="E267" s="549"/>
      <c r="F267" s="549"/>
      <c r="G267" s="549"/>
      <c r="H267" s="549"/>
      <c r="I267" s="549"/>
      <c r="J267" s="549"/>
      <c r="K267" s="549"/>
      <c r="L267" s="549"/>
    </row>
    <row r="268" spans="1:12" ht="14.25">
      <c r="A268" s="549"/>
      <c r="B268" s="549"/>
      <c r="C268" s="549"/>
      <c r="D268" s="549"/>
      <c r="E268" s="549"/>
      <c r="F268" s="549"/>
      <c r="G268" s="549"/>
      <c r="H268" s="549"/>
      <c r="I268" s="549"/>
      <c r="J268" s="549"/>
      <c r="K268" s="549"/>
      <c r="L268" s="549"/>
    </row>
    <row r="269" spans="1:12" ht="14.25">
      <c r="A269" s="549"/>
      <c r="B269" s="549"/>
      <c r="C269" s="549"/>
      <c r="D269" s="549"/>
      <c r="E269" s="549"/>
      <c r="F269" s="549"/>
      <c r="G269" s="549"/>
      <c r="H269" s="549"/>
      <c r="I269" s="549"/>
      <c r="J269" s="549"/>
      <c r="K269" s="549"/>
      <c r="L269" s="549"/>
    </row>
    <row r="270" spans="1:12" ht="14.25">
      <c r="A270" s="549"/>
      <c r="B270" s="549"/>
      <c r="C270" s="549"/>
      <c r="D270" s="549"/>
      <c r="E270" s="549"/>
      <c r="F270" s="549"/>
      <c r="G270" s="549"/>
      <c r="H270" s="549"/>
      <c r="I270" s="549"/>
      <c r="J270" s="549"/>
      <c r="K270" s="549"/>
      <c r="L270" s="549"/>
    </row>
    <row r="271" spans="1:12" ht="14.25">
      <c r="A271" s="549"/>
      <c r="B271" s="549"/>
      <c r="C271" s="549"/>
      <c r="D271" s="549"/>
      <c r="E271" s="549"/>
      <c r="F271" s="549"/>
      <c r="G271" s="549"/>
      <c r="H271" s="549"/>
      <c r="I271" s="549"/>
      <c r="J271" s="549"/>
      <c r="K271" s="549"/>
      <c r="L271" s="549"/>
    </row>
    <row r="272" spans="1:12" ht="14.25">
      <c r="A272" s="549"/>
      <c r="B272" s="549"/>
      <c r="C272" s="549"/>
      <c r="D272" s="549"/>
      <c r="E272" s="549"/>
      <c r="F272" s="549"/>
      <c r="G272" s="549"/>
      <c r="H272" s="549"/>
      <c r="I272" s="549"/>
      <c r="J272" s="549"/>
      <c r="K272" s="549"/>
      <c r="L272" s="549"/>
    </row>
    <row r="273" spans="1:12" ht="14.25">
      <c r="A273" s="549"/>
      <c r="B273" s="549"/>
      <c r="C273" s="549"/>
      <c r="D273" s="549"/>
      <c r="E273" s="549"/>
      <c r="F273" s="549"/>
      <c r="G273" s="549"/>
      <c r="H273" s="549"/>
      <c r="I273" s="549"/>
      <c r="J273" s="549"/>
      <c r="K273" s="549"/>
      <c r="L273" s="549"/>
    </row>
    <row r="274" spans="1:12" ht="14.25">
      <c r="A274" s="549"/>
      <c r="B274" s="549"/>
      <c r="C274" s="549"/>
      <c r="D274" s="549"/>
      <c r="E274" s="549"/>
      <c r="F274" s="549"/>
      <c r="G274" s="549"/>
      <c r="H274" s="549"/>
      <c r="I274" s="549"/>
      <c r="J274" s="549"/>
      <c r="K274" s="549"/>
      <c r="L274" s="549"/>
    </row>
    <row r="275" spans="1:12" ht="14.25">
      <c r="A275" s="549"/>
      <c r="B275" s="549"/>
      <c r="C275" s="549"/>
      <c r="D275" s="549"/>
      <c r="E275" s="549"/>
      <c r="F275" s="549"/>
      <c r="G275" s="549"/>
      <c r="H275" s="549"/>
      <c r="I275" s="549"/>
      <c r="J275" s="549"/>
      <c r="K275" s="549"/>
      <c r="L275" s="549"/>
    </row>
    <row r="276" spans="1:12" ht="14.25">
      <c r="A276" s="549"/>
      <c r="B276" s="549"/>
      <c r="C276" s="549"/>
      <c r="D276" s="549"/>
      <c r="E276" s="549"/>
      <c r="F276" s="549"/>
      <c r="G276" s="549"/>
      <c r="H276" s="549"/>
      <c r="I276" s="549"/>
      <c r="J276" s="549"/>
      <c r="K276" s="549"/>
      <c r="L276" s="549"/>
    </row>
    <row r="277" spans="1:12" ht="14.25">
      <c r="A277" s="549"/>
      <c r="B277" s="549"/>
      <c r="C277" s="549"/>
      <c r="D277" s="549"/>
      <c r="E277" s="549"/>
      <c r="F277" s="549"/>
      <c r="G277" s="549"/>
      <c r="H277" s="549"/>
      <c r="I277" s="549"/>
      <c r="J277" s="549"/>
      <c r="K277" s="549"/>
      <c r="L277" s="549"/>
    </row>
    <row r="278" spans="1:12" ht="14.25">
      <c r="A278" s="549"/>
      <c r="B278" s="549"/>
      <c r="C278" s="549"/>
      <c r="D278" s="549"/>
      <c r="E278" s="549"/>
      <c r="F278" s="549"/>
      <c r="G278" s="549"/>
      <c r="H278" s="549"/>
      <c r="I278" s="549"/>
      <c r="J278" s="549"/>
      <c r="K278" s="549"/>
      <c r="L278" s="549"/>
    </row>
    <row r="279" spans="1:12" ht="14.25">
      <c r="A279" s="549"/>
      <c r="B279" s="549"/>
      <c r="C279" s="549"/>
      <c r="D279" s="549"/>
      <c r="E279" s="549"/>
      <c r="F279" s="549"/>
      <c r="G279" s="549"/>
      <c r="H279" s="549"/>
      <c r="I279" s="549"/>
      <c r="J279" s="549"/>
      <c r="K279" s="549"/>
      <c r="L279" s="549"/>
    </row>
    <row r="280" spans="1:12" ht="14.25">
      <c r="A280" s="549"/>
      <c r="B280" s="549"/>
      <c r="C280" s="549"/>
      <c r="D280" s="549"/>
      <c r="E280" s="549"/>
      <c r="F280" s="549"/>
      <c r="G280" s="549"/>
      <c r="H280" s="549"/>
      <c r="I280" s="549"/>
      <c r="J280" s="549"/>
      <c r="K280" s="549"/>
      <c r="L280" s="549"/>
    </row>
    <row r="281" spans="1:12" ht="14.25">
      <c r="A281" s="549"/>
      <c r="B281" s="549"/>
      <c r="C281" s="549"/>
      <c r="D281" s="549"/>
      <c r="E281" s="549"/>
      <c r="F281" s="549"/>
      <c r="G281" s="549"/>
      <c r="H281" s="549"/>
      <c r="I281" s="549"/>
      <c r="J281" s="549"/>
      <c r="K281" s="549"/>
      <c r="L281" s="549"/>
    </row>
    <row r="282" spans="1:12" ht="14.25">
      <c r="A282" s="549"/>
      <c r="B282" s="549"/>
      <c r="C282" s="549"/>
      <c r="D282" s="549"/>
      <c r="E282" s="549"/>
      <c r="F282" s="549"/>
      <c r="G282" s="549"/>
      <c r="H282" s="549"/>
      <c r="I282" s="549"/>
      <c r="J282" s="549"/>
      <c r="K282" s="549"/>
      <c r="L282" s="549"/>
    </row>
    <row r="283" spans="1:12" ht="14.25">
      <c r="A283" s="549"/>
      <c r="B283" s="549"/>
      <c r="C283" s="549"/>
      <c r="D283" s="549"/>
      <c r="E283" s="549"/>
      <c r="F283" s="549"/>
      <c r="G283" s="549"/>
      <c r="H283" s="549"/>
      <c r="I283" s="549"/>
      <c r="J283" s="549"/>
      <c r="K283" s="549"/>
      <c r="L283" s="549"/>
    </row>
    <row r="284" spans="1:12" ht="14.25">
      <c r="A284" s="549"/>
      <c r="B284" s="549"/>
      <c r="C284" s="549"/>
      <c r="D284" s="549"/>
      <c r="E284" s="549"/>
      <c r="F284" s="549"/>
      <c r="G284" s="549"/>
      <c r="H284" s="549"/>
      <c r="I284" s="549"/>
      <c r="J284" s="549"/>
      <c r="K284" s="549"/>
      <c r="L284" s="549"/>
    </row>
    <row r="285" spans="1:12" ht="14.25">
      <c r="A285" s="549"/>
      <c r="B285" s="549"/>
      <c r="C285" s="549"/>
      <c r="D285" s="549"/>
      <c r="E285" s="549"/>
      <c r="F285" s="549"/>
      <c r="G285" s="549"/>
      <c r="H285" s="549"/>
      <c r="I285" s="549"/>
      <c r="J285" s="549"/>
      <c r="K285" s="549"/>
      <c r="L285" s="549"/>
    </row>
    <row r="286" spans="1:12" ht="14.25">
      <c r="A286" s="549"/>
      <c r="B286" s="549"/>
      <c r="C286" s="549"/>
      <c r="D286" s="549"/>
      <c r="E286" s="549"/>
      <c r="F286" s="549"/>
      <c r="G286" s="549"/>
      <c r="H286" s="549"/>
      <c r="I286" s="549"/>
      <c r="J286" s="549"/>
      <c r="K286" s="549"/>
      <c r="L286" s="549"/>
    </row>
    <row r="287" spans="1:12" ht="14.25">
      <c r="A287" s="549"/>
      <c r="B287" s="549"/>
      <c r="C287" s="549"/>
      <c r="D287" s="549"/>
      <c r="E287" s="549"/>
      <c r="F287" s="549"/>
      <c r="G287" s="549"/>
      <c r="H287" s="549"/>
      <c r="I287" s="549"/>
      <c r="J287" s="549"/>
      <c r="K287" s="549"/>
      <c r="L287" s="549"/>
    </row>
    <row r="288" spans="1:12" ht="14.25">
      <c r="A288" s="549"/>
      <c r="B288" s="549"/>
      <c r="C288" s="549"/>
      <c r="D288" s="549"/>
      <c r="E288" s="549"/>
      <c r="F288" s="549"/>
      <c r="G288" s="549"/>
      <c r="H288" s="549"/>
      <c r="I288" s="549"/>
      <c r="J288" s="549"/>
      <c r="K288" s="549"/>
      <c r="L288" s="549"/>
    </row>
    <row r="289" spans="1:12" ht="14.25">
      <c r="A289" s="549"/>
      <c r="B289" s="549"/>
      <c r="C289" s="549"/>
      <c r="D289" s="549"/>
      <c r="E289" s="549"/>
      <c r="F289" s="549"/>
      <c r="G289" s="549"/>
      <c r="H289" s="549"/>
      <c r="I289" s="549"/>
      <c r="J289" s="549"/>
      <c r="K289" s="549"/>
      <c r="L289" s="549"/>
    </row>
    <row r="290" spans="1:12" ht="14.25">
      <c r="A290" s="549"/>
      <c r="B290" s="549"/>
      <c r="C290" s="549"/>
      <c r="D290" s="549"/>
      <c r="E290" s="549"/>
      <c r="F290" s="549"/>
      <c r="G290" s="549"/>
      <c r="H290" s="549"/>
      <c r="I290" s="549"/>
      <c r="J290" s="549"/>
      <c r="K290" s="549"/>
      <c r="L290" s="549"/>
    </row>
    <row r="291" spans="1:12" ht="14.25">
      <c r="A291" s="549"/>
      <c r="B291" s="549"/>
      <c r="C291" s="549"/>
      <c r="D291" s="549"/>
      <c r="E291" s="549"/>
      <c r="F291" s="549"/>
      <c r="G291" s="549"/>
      <c r="H291" s="549"/>
      <c r="I291" s="549"/>
      <c r="J291" s="549"/>
      <c r="K291" s="549"/>
      <c r="L291" s="549"/>
    </row>
    <row r="292" spans="1:12" ht="14.25">
      <c r="A292" s="549"/>
      <c r="B292" s="549"/>
      <c r="C292" s="549"/>
      <c r="D292" s="549"/>
      <c r="E292" s="549"/>
      <c r="F292" s="549"/>
      <c r="G292" s="549"/>
      <c r="H292" s="549"/>
      <c r="I292" s="549"/>
      <c r="J292" s="549"/>
      <c r="K292" s="549"/>
      <c r="L292" s="549"/>
    </row>
    <row r="293" spans="1:12" ht="14.25">
      <c r="A293" s="549"/>
      <c r="B293" s="549"/>
      <c r="C293" s="549"/>
      <c r="D293" s="549"/>
      <c r="E293" s="549"/>
      <c r="F293" s="549"/>
      <c r="G293" s="549"/>
      <c r="H293" s="549"/>
      <c r="I293" s="549"/>
      <c r="J293" s="549"/>
      <c r="K293" s="549"/>
      <c r="L293" s="549"/>
    </row>
    <row r="294" spans="1:12" ht="14.25">
      <c r="A294" s="549"/>
      <c r="B294" s="549"/>
      <c r="C294" s="549"/>
      <c r="D294" s="549"/>
      <c r="E294" s="549"/>
      <c r="F294" s="549"/>
      <c r="G294" s="549"/>
      <c r="H294" s="549"/>
      <c r="I294" s="549"/>
      <c r="J294" s="549"/>
      <c r="K294" s="549"/>
      <c r="L294" s="549"/>
    </row>
    <row r="295" spans="1:12" ht="14.25">
      <c r="A295" s="549"/>
      <c r="B295" s="549"/>
      <c r="C295" s="549"/>
      <c r="D295" s="549"/>
      <c r="E295" s="549"/>
      <c r="F295" s="549"/>
      <c r="G295" s="549"/>
      <c r="H295" s="549"/>
      <c r="I295" s="549"/>
      <c r="J295" s="549"/>
      <c r="K295" s="549"/>
      <c r="L295" s="549"/>
    </row>
    <row r="296" spans="1:12" ht="14.25">
      <c r="A296" s="549"/>
      <c r="B296" s="549"/>
      <c r="C296" s="549"/>
      <c r="D296" s="549"/>
      <c r="E296" s="549"/>
      <c r="F296" s="549"/>
      <c r="G296" s="549"/>
      <c r="H296" s="549"/>
      <c r="I296" s="549"/>
      <c r="J296" s="549"/>
      <c r="K296" s="549"/>
      <c r="L296" s="549"/>
    </row>
    <row r="297" spans="1:12" ht="14.25">
      <c r="A297" s="549"/>
      <c r="B297" s="549"/>
      <c r="C297" s="549"/>
      <c r="D297" s="549"/>
      <c r="E297" s="549"/>
      <c r="F297" s="549"/>
      <c r="G297" s="549"/>
      <c r="H297" s="549"/>
      <c r="I297" s="549"/>
      <c r="J297" s="549"/>
      <c r="K297" s="549"/>
      <c r="L297" s="549"/>
    </row>
    <row r="298" spans="1:12" ht="14.25">
      <c r="A298" s="549"/>
      <c r="B298" s="549"/>
      <c r="C298" s="549"/>
      <c r="D298" s="549"/>
      <c r="E298" s="549"/>
      <c r="F298" s="549"/>
      <c r="G298" s="549"/>
      <c r="H298" s="549"/>
      <c r="I298" s="549"/>
      <c r="J298" s="549"/>
      <c r="K298" s="549"/>
      <c r="L298" s="549"/>
    </row>
    <row r="299" spans="1:12" ht="14.25">
      <c r="A299" s="549"/>
      <c r="B299" s="549"/>
      <c r="C299" s="549"/>
      <c r="D299" s="549"/>
      <c r="E299" s="549"/>
      <c r="F299" s="549"/>
      <c r="G299" s="549"/>
      <c r="H299" s="549"/>
      <c r="I299" s="549"/>
      <c r="J299" s="549"/>
      <c r="K299" s="549"/>
      <c r="L299" s="549"/>
    </row>
    <row r="300" spans="1:12" ht="14.25">
      <c r="A300" s="549"/>
      <c r="B300" s="549"/>
      <c r="C300" s="549"/>
      <c r="D300" s="549"/>
      <c r="E300" s="549"/>
      <c r="F300" s="549"/>
      <c r="G300" s="549"/>
      <c r="H300" s="549"/>
      <c r="I300" s="549"/>
      <c r="J300" s="549"/>
      <c r="K300" s="549"/>
      <c r="L300" s="549"/>
    </row>
    <row r="301" spans="1:12" ht="14.25">
      <c r="A301" s="549"/>
      <c r="B301" s="549"/>
      <c r="C301" s="549"/>
      <c r="D301" s="549"/>
      <c r="E301" s="549"/>
      <c r="F301" s="549"/>
      <c r="G301" s="549"/>
      <c r="H301" s="549"/>
      <c r="I301" s="549"/>
      <c r="J301" s="549"/>
      <c r="K301" s="549"/>
      <c r="L301" s="549"/>
    </row>
    <row r="302" spans="1:12" ht="14.25">
      <c r="A302" s="549"/>
      <c r="B302" s="549"/>
      <c r="C302" s="549"/>
      <c r="D302" s="549"/>
      <c r="E302" s="549"/>
      <c r="F302" s="549"/>
      <c r="G302" s="549"/>
      <c r="H302" s="549"/>
      <c r="I302" s="549"/>
      <c r="J302" s="549"/>
      <c r="K302" s="549"/>
      <c r="L302" s="549"/>
    </row>
    <row r="303" spans="1:12" ht="14.25">
      <c r="A303" s="549"/>
      <c r="B303" s="549"/>
      <c r="C303" s="549"/>
      <c r="D303" s="549"/>
      <c r="E303" s="549"/>
      <c r="F303" s="549"/>
      <c r="G303" s="549"/>
      <c r="H303" s="549"/>
      <c r="I303" s="549"/>
      <c r="J303" s="549"/>
      <c r="K303" s="549"/>
      <c r="L303" s="549"/>
    </row>
    <row r="304" spans="1:12" ht="14.25">
      <c r="A304" s="549"/>
      <c r="B304" s="549"/>
      <c r="C304" s="549"/>
      <c r="D304" s="549"/>
      <c r="E304" s="549"/>
      <c r="F304" s="549"/>
      <c r="G304" s="549"/>
      <c r="H304" s="549"/>
      <c r="I304" s="549"/>
      <c r="J304" s="549"/>
      <c r="K304" s="549"/>
      <c r="L304" s="549"/>
    </row>
    <row r="305" spans="1:12" ht="14.25">
      <c r="A305" s="549"/>
      <c r="B305" s="549"/>
      <c r="C305" s="549"/>
      <c r="D305" s="549"/>
      <c r="E305" s="549"/>
      <c r="F305" s="549"/>
      <c r="G305" s="549"/>
      <c r="H305" s="549"/>
      <c r="I305" s="549"/>
      <c r="J305" s="549"/>
      <c r="K305" s="549"/>
      <c r="L305" s="549"/>
    </row>
    <row r="306" spans="1:12" ht="14.25">
      <c r="A306" s="549"/>
      <c r="B306" s="549"/>
      <c r="C306" s="549"/>
      <c r="D306" s="549"/>
      <c r="E306" s="549"/>
      <c r="F306" s="549"/>
      <c r="G306" s="549"/>
      <c r="H306" s="549"/>
      <c r="I306" s="549"/>
      <c r="J306" s="549"/>
      <c r="K306" s="549"/>
      <c r="L306" s="549"/>
    </row>
    <row r="307" spans="1:12" ht="14.25">
      <c r="A307" s="549"/>
      <c r="B307" s="549"/>
      <c r="C307" s="549"/>
      <c r="D307" s="549"/>
      <c r="E307" s="549"/>
      <c r="F307" s="549"/>
      <c r="G307" s="549"/>
      <c r="H307" s="549"/>
      <c r="I307" s="549"/>
      <c r="J307" s="549"/>
      <c r="K307" s="549"/>
      <c r="L307" s="549"/>
    </row>
    <row r="308" spans="1:12" ht="14.25">
      <c r="A308" s="549"/>
      <c r="B308" s="549"/>
      <c r="C308" s="549"/>
      <c r="D308" s="549"/>
      <c r="E308" s="549"/>
      <c r="F308" s="549"/>
      <c r="G308" s="549"/>
      <c r="H308" s="549"/>
      <c r="I308" s="549"/>
      <c r="J308" s="549"/>
      <c r="K308" s="549"/>
      <c r="L308" s="549"/>
    </row>
    <row r="309" spans="1:12" ht="14.25">
      <c r="A309" s="549"/>
      <c r="B309" s="549"/>
      <c r="C309" s="549"/>
      <c r="D309" s="549"/>
      <c r="E309" s="549"/>
      <c r="F309" s="549"/>
      <c r="G309" s="549"/>
      <c r="H309" s="549"/>
      <c r="I309" s="549"/>
      <c r="J309" s="549"/>
      <c r="K309" s="549"/>
      <c r="L309" s="549"/>
    </row>
    <row r="310" spans="1:12" ht="14.25">
      <c r="A310" s="549"/>
      <c r="B310" s="549"/>
      <c r="C310" s="549"/>
      <c r="D310" s="549"/>
      <c r="E310" s="549"/>
      <c r="F310" s="549"/>
      <c r="G310" s="549"/>
      <c r="H310" s="549"/>
      <c r="I310" s="549"/>
      <c r="J310" s="549"/>
      <c r="K310" s="549"/>
      <c r="L310" s="549"/>
    </row>
    <row r="311" spans="1:12" ht="14.25">
      <c r="A311" s="549"/>
      <c r="B311" s="549"/>
      <c r="C311" s="549"/>
      <c r="D311" s="549"/>
      <c r="E311" s="549"/>
      <c r="F311" s="549"/>
      <c r="G311" s="549"/>
      <c r="H311" s="549"/>
      <c r="I311" s="549"/>
      <c r="J311" s="549"/>
      <c r="K311" s="549"/>
      <c r="L311" s="549"/>
    </row>
    <row r="312" spans="1:12" ht="14.25">
      <c r="A312" s="549"/>
      <c r="B312" s="549"/>
      <c r="C312" s="549"/>
      <c r="D312" s="549"/>
      <c r="E312" s="549"/>
      <c r="F312" s="549"/>
      <c r="G312" s="549"/>
      <c r="H312" s="549"/>
      <c r="I312" s="549"/>
      <c r="J312" s="549"/>
      <c r="K312" s="549"/>
      <c r="L312" s="549"/>
    </row>
    <row r="313" spans="1:12" ht="14.25">
      <c r="A313" s="549"/>
      <c r="B313" s="549"/>
      <c r="C313" s="549"/>
      <c r="D313" s="549"/>
      <c r="E313" s="549"/>
      <c r="F313" s="549"/>
      <c r="G313" s="549"/>
      <c r="H313" s="549"/>
      <c r="I313" s="549"/>
      <c r="J313" s="549"/>
      <c r="K313" s="549"/>
      <c r="L313" s="549"/>
    </row>
    <row r="314" spans="1:12" ht="14.25">
      <c r="A314" s="549"/>
      <c r="B314" s="549"/>
      <c r="C314" s="549"/>
      <c r="D314" s="549"/>
      <c r="E314" s="549"/>
      <c r="F314" s="549"/>
      <c r="G314" s="549"/>
      <c r="H314" s="549"/>
      <c r="I314" s="549"/>
      <c r="J314" s="549"/>
      <c r="K314" s="549"/>
      <c r="L314" s="549"/>
    </row>
    <row r="315" spans="1:12" ht="14.25">
      <c r="A315" s="549"/>
      <c r="B315" s="549"/>
      <c r="C315" s="549"/>
      <c r="D315" s="549"/>
      <c r="E315" s="549"/>
      <c r="F315" s="549"/>
      <c r="G315" s="549"/>
      <c r="H315" s="549"/>
      <c r="I315" s="549"/>
      <c r="J315" s="549"/>
      <c r="K315" s="549"/>
      <c r="L315" s="549"/>
    </row>
    <row r="316" spans="1:12" ht="14.25">
      <c r="A316" s="549"/>
      <c r="B316" s="549"/>
      <c r="C316" s="549"/>
      <c r="D316" s="549"/>
      <c r="E316" s="549"/>
      <c r="F316" s="549"/>
      <c r="G316" s="549"/>
      <c r="H316" s="549"/>
      <c r="I316" s="549"/>
      <c r="J316" s="549"/>
      <c r="K316" s="549"/>
      <c r="L316" s="549"/>
    </row>
    <row r="317" spans="1:12" ht="14.25">
      <c r="A317" s="549"/>
      <c r="B317" s="549"/>
      <c r="C317" s="549"/>
      <c r="D317" s="549"/>
      <c r="E317" s="549"/>
      <c r="F317" s="549"/>
      <c r="G317" s="549"/>
      <c r="H317" s="549"/>
      <c r="I317" s="549"/>
      <c r="J317" s="549"/>
      <c r="K317" s="549"/>
      <c r="L317" s="549"/>
    </row>
    <row r="318" spans="1:12" ht="14.25">
      <c r="A318" s="549"/>
      <c r="B318" s="549"/>
      <c r="C318" s="549"/>
      <c r="D318" s="549"/>
      <c r="E318" s="549"/>
      <c r="F318" s="549"/>
      <c r="G318" s="549"/>
      <c r="H318" s="549"/>
      <c r="I318" s="549"/>
      <c r="J318" s="549"/>
      <c r="K318" s="549"/>
      <c r="L318" s="549"/>
    </row>
    <row r="319" spans="1:12" ht="14.25">
      <c r="A319" s="549"/>
      <c r="B319" s="549"/>
      <c r="C319" s="549"/>
      <c r="D319" s="549"/>
      <c r="E319" s="549"/>
      <c r="F319" s="549"/>
      <c r="G319" s="549"/>
      <c r="H319" s="549"/>
      <c r="I319" s="549"/>
      <c r="J319" s="549"/>
      <c r="K319" s="549"/>
      <c r="L319" s="549"/>
    </row>
    <row r="320" spans="1:12" ht="14.25">
      <c r="A320" s="549"/>
      <c r="B320" s="549"/>
      <c r="C320" s="549"/>
      <c r="D320" s="549"/>
      <c r="E320" s="549"/>
      <c r="F320" s="549"/>
      <c r="G320" s="549"/>
      <c r="H320" s="549"/>
      <c r="I320" s="549"/>
      <c r="J320" s="549"/>
      <c r="K320" s="549"/>
      <c r="L320" s="549"/>
    </row>
    <row r="321" spans="1:12" ht="14.25">
      <c r="A321" s="549"/>
      <c r="B321" s="549"/>
      <c r="C321" s="549"/>
      <c r="D321" s="549"/>
      <c r="E321" s="549"/>
      <c r="F321" s="549"/>
      <c r="G321" s="549"/>
      <c r="H321" s="549"/>
      <c r="I321" s="549"/>
      <c r="J321" s="549"/>
      <c r="K321" s="549"/>
      <c r="L321" s="549"/>
    </row>
    <row r="322" spans="1:12" ht="14.25">
      <c r="A322" s="549"/>
      <c r="B322" s="549"/>
      <c r="C322" s="549"/>
      <c r="D322" s="549"/>
      <c r="E322" s="549"/>
      <c r="F322" s="549"/>
      <c r="G322" s="549"/>
      <c r="H322" s="549"/>
      <c r="I322" s="549"/>
      <c r="J322" s="549"/>
      <c r="K322" s="549"/>
      <c r="L322" s="549"/>
    </row>
    <row r="323" spans="1:12" ht="14.25">
      <c r="A323" s="549"/>
      <c r="B323" s="549"/>
      <c r="C323" s="549"/>
      <c r="D323" s="549"/>
      <c r="E323" s="549"/>
      <c r="F323" s="549"/>
      <c r="G323" s="549"/>
      <c r="H323" s="549"/>
      <c r="I323" s="549"/>
      <c r="J323" s="549"/>
      <c r="K323" s="549"/>
      <c r="L323" s="549"/>
    </row>
    <row r="324" spans="1:12" ht="14.25">
      <c r="A324" s="549"/>
      <c r="B324" s="549"/>
      <c r="C324" s="549"/>
      <c r="D324" s="549"/>
      <c r="E324" s="549"/>
      <c r="F324" s="549"/>
      <c r="G324" s="549"/>
      <c r="H324" s="549"/>
      <c r="I324" s="549"/>
      <c r="J324" s="549"/>
      <c r="K324" s="549"/>
      <c r="L324" s="549"/>
    </row>
    <row r="325" spans="1:12" ht="14.25">
      <c r="A325" s="549"/>
      <c r="B325" s="549"/>
      <c r="C325" s="549"/>
      <c r="D325" s="549"/>
      <c r="E325" s="549"/>
      <c r="F325" s="549"/>
      <c r="G325" s="549"/>
      <c r="H325" s="549"/>
      <c r="I325" s="549"/>
      <c r="J325" s="549"/>
      <c r="K325" s="549"/>
      <c r="L325" s="549"/>
    </row>
    <row r="326" spans="1:12" ht="14.25">
      <c r="A326" s="549"/>
      <c r="B326" s="549"/>
      <c r="C326" s="549"/>
      <c r="D326" s="549"/>
      <c r="E326" s="549"/>
      <c r="F326" s="549"/>
      <c r="G326" s="549"/>
      <c r="H326" s="549"/>
      <c r="I326" s="549"/>
      <c r="J326" s="549"/>
      <c r="K326" s="549"/>
      <c r="L326" s="549"/>
    </row>
    <row r="327" spans="1:12" ht="14.25">
      <c r="A327" s="549"/>
      <c r="B327" s="549"/>
      <c r="C327" s="549"/>
      <c r="D327" s="549"/>
      <c r="E327" s="549"/>
      <c r="F327" s="549"/>
      <c r="G327" s="549"/>
      <c r="H327" s="549"/>
      <c r="I327" s="549"/>
      <c r="J327" s="549"/>
      <c r="K327" s="549"/>
      <c r="L327" s="549"/>
    </row>
    <row r="328" spans="1:12" ht="14.25">
      <c r="A328" s="549"/>
      <c r="B328" s="549"/>
      <c r="C328" s="549"/>
      <c r="D328" s="549"/>
      <c r="E328" s="549"/>
      <c r="F328" s="549"/>
      <c r="G328" s="549"/>
      <c r="H328" s="549"/>
      <c r="I328" s="549"/>
      <c r="J328" s="549"/>
      <c r="K328" s="549"/>
      <c r="L328" s="549"/>
    </row>
    <row r="329" spans="1:12" ht="14.25">
      <c r="A329" s="549"/>
      <c r="B329" s="549"/>
      <c r="C329" s="549"/>
      <c r="D329" s="549"/>
      <c r="E329" s="549"/>
      <c r="F329" s="549"/>
      <c r="G329" s="549"/>
      <c r="H329" s="549"/>
      <c r="I329" s="549"/>
      <c r="J329" s="549"/>
      <c r="K329" s="549"/>
      <c r="L329" s="549"/>
    </row>
    <row r="330" spans="1:12" ht="14.25">
      <c r="A330" s="549"/>
      <c r="B330" s="549"/>
      <c r="C330" s="549"/>
      <c r="D330" s="549"/>
      <c r="E330" s="549"/>
      <c r="F330" s="549"/>
      <c r="G330" s="549"/>
      <c r="H330" s="549"/>
      <c r="I330" s="549"/>
      <c r="J330" s="549"/>
      <c r="K330" s="549"/>
      <c r="L330" s="549"/>
    </row>
    <row r="331" spans="1:12" ht="14.25">
      <c r="A331" s="549"/>
      <c r="B331" s="549"/>
      <c r="C331" s="549"/>
      <c r="D331" s="549"/>
      <c r="E331" s="549"/>
      <c r="F331" s="549"/>
      <c r="G331" s="549"/>
      <c r="H331" s="549"/>
      <c r="I331" s="549"/>
      <c r="J331" s="549"/>
      <c r="K331" s="549"/>
      <c r="L331" s="549"/>
    </row>
    <row r="332" spans="1:12" ht="14.25">
      <c r="A332" s="549"/>
      <c r="B332" s="549"/>
      <c r="C332" s="549"/>
      <c r="D332" s="549"/>
      <c r="E332" s="549"/>
      <c r="F332" s="549"/>
      <c r="G332" s="549"/>
      <c r="H332" s="549"/>
      <c r="I332" s="549"/>
      <c r="J332" s="549"/>
      <c r="K332" s="549"/>
      <c r="L332" s="549"/>
    </row>
    <row r="333" spans="1:12" ht="14.25">
      <c r="A333" s="549"/>
      <c r="B333" s="549"/>
      <c r="C333" s="549"/>
      <c r="D333" s="549"/>
      <c r="E333" s="549"/>
      <c r="F333" s="549"/>
      <c r="G333" s="549"/>
      <c r="H333" s="549"/>
      <c r="I333" s="549"/>
      <c r="J333" s="549"/>
      <c r="K333" s="549"/>
      <c r="L333" s="549"/>
    </row>
    <row r="334" spans="1:12" ht="14.25">
      <c r="A334" s="549"/>
      <c r="B334" s="549"/>
      <c r="C334" s="549"/>
      <c r="D334" s="549"/>
      <c r="E334" s="549"/>
      <c r="F334" s="549"/>
      <c r="G334" s="549"/>
      <c r="H334" s="549"/>
      <c r="I334" s="549"/>
      <c r="J334" s="549"/>
      <c r="K334" s="549"/>
      <c r="L334" s="549"/>
    </row>
    <row r="335" spans="1:12" ht="14.25">
      <c r="A335" s="549"/>
      <c r="B335" s="549"/>
      <c r="C335" s="549"/>
      <c r="D335" s="549"/>
      <c r="E335" s="549"/>
      <c r="F335" s="549"/>
      <c r="G335" s="549"/>
      <c r="H335" s="549"/>
      <c r="I335" s="549"/>
      <c r="J335" s="549"/>
      <c r="K335" s="549"/>
      <c r="L335" s="549"/>
    </row>
    <row r="336" spans="1:12" ht="14.25">
      <c r="A336" s="549"/>
      <c r="B336" s="549"/>
      <c r="C336" s="549"/>
      <c r="D336" s="549"/>
      <c r="E336" s="549"/>
      <c r="F336" s="549"/>
      <c r="G336" s="549"/>
      <c r="H336" s="549"/>
      <c r="I336" s="549"/>
      <c r="J336" s="549"/>
      <c r="K336" s="549"/>
      <c r="L336" s="549"/>
    </row>
    <row r="337" spans="1:12" ht="14.25">
      <c r="A337" s="549"/>
      <c r="B337" s="549"/>
      <c r="C337" s="549"/>
      <c r="D337" s="549"/>
      <c r="E337" s="549"/>
      <c r="F337" s="549"/>
      <c r="G337" s="549"/>
      <c r="H337" s="549"/>
      <c r="I337" s="549"/>
      <c r="J337" s="549"/>
      <c r="K337" s="549"/>
      <c r="L337" s="549"/>
    </row>
    <row r="338" spans="1:12" ht="14.25">
      <c r="A338" s="549"/>
      <c r="B338" s="549"/>
      <c r="C338" s="549"/>
      <c r="D338" s="549"/>
      <c r="E338" s="549"/>
      <c r="F338" s="549"/>
      <c r="G338" s="549"/>
      <c r="H338" s="549"/>
      <c r="I338" s="549"/>
      <c r="J338" s="549"/>
      <c r="K338" s="549"/>
      <c r="L338" s="549"/>
    </row>
    <row r="339" spans="1:12" ht="14.25">
      <c r="A339" s="549"/>
      <c r="B339" s="549"/>
      <c r="C339" s="549"/>
      <c r="D339" s="549"/>
      <c r="E339" s="549"/>
      <c r="F339" s="549"/>
      <c r="G339" s="549"/>
      <c r="H339" s="549"/>
      <c r="I339" s="549"/>
      <c r="J339" s="549"/>
      <c r="K339" s="549"/>
      <c r="L339" s="549"/>
    </row>
    <row r="340" spans="1:12" ht="14.25">
      <c r="A340" s="549"/>
      <c r="B340" s="549"/>
      <c r="C340" s="549"/>
      <c r="D340" s="549"/>
      <c r="E340" s="549"/>
      <c r="F340" s="549"/>
      <c r="G340" s="549"/>
      <c r="H340" s="549"/>
      <c r="I340" s="549"/>
      <c r="J340" s="549"/>
      <c r="K340" s="549"/>
      <c r="L340" s="549"/>
    </row>
    <row r="341" spans="1:12" ht="14.25">
      <c r="A341" s="549"/>
      <c r="B341" s="549"/>
      <c r="C341" s="549"/>
      <c r="D341" s="549"/>
      <c r="E341" s="549"/>
      <c r="F341" s="549"/>
      <c r="G341" s="549"/>
      <c r="H341" s="549"/>
      <c r="I341" s="549"/>
      <c r="J341" s="549"/>
      <c r="K341" s="549"/>
      <c r="L341" s="549"/>
    </row>
    <row r="342" spans="1:12" ht="14.25">
      <c r="A342" s="549"/>
      <c r="B342" s="549"/>
      <c r="C342" s="549"/>
      <c r="D342" s="549"/>
      <c r="E342" s="549"/>
      <c r="F342" s="549"/>
      <c r="G342" s="549"/>
      <c r="H342" s="549"/>
      <c r="I342" s="549"/>
      <c r="J342" s="549"/>
      <c r="K342" s="549"/>
      <c r="L342" s="549"/>
    </row>
    <row r="343" spans="1:12" ht="14.25">
      <c r="A343" s="549"/>
      <c r="B343" s="549"/>
      <c r="C343" s="549"/>
      <c r="D343" s="549"/>
      <c r="E343" s="549"/>
      <c r="F343" s="549"/>
      <c r="G343" s="549"/>
      <c r="H343" s="549"/>
      <c r="I343" s="549"/>
      <c r="J343" s="549"/>
      <c r="K343" s="549"/>
      <c r="L343" s="549"/>
    </row>
    <row r="344" spans="1:12" ht="14.25">
      <c r="A344" s="549"/>
      <c r="B344" s="549"/>
      <c r="C344" s="549"/>
      <c r="D344" s="549"/>
      <c r="E344" s="549"/>
      <c r="F344" s="549"/>
      <c r="G344" s="549"/>
      <c r="H344" s="549"/>
      <c r="I344" s="549"/>
      <c r="J344" s="549"/>
      <c r="K344" s="549"/>
      <c r="L344" s="549"/>
    </row>
    <row r="345" spans="1:12" ht="14.25">
      <c r="A345" s="549"/>
      <c r="B345" s="549"/>
      <c r="C345" s="549"/>
      <c r="D345" s="549"/>
      <c r="E345" s="549"/>
      <c r="F345" s="549"/>
      <c r="G345" s="549"/>
      <c r="H345" s="549"/>
      <c r="I345" s="549"/>
      <c r="J345" s="549"/>
      <c r="K345" s="549"/>
      <c r="L345" s="549"/>
    </row>
    <row r="346" spans="1:12" ht="14.25">
      <c r="A346" s="549"/>
      <c r="B346" s="549"/>
      <c r="C346" s="549"/>
      <c r="D346" s="549"/>
      <c r="E346" s="549"/>
      <c r="F346" s="549"/>
      <c r="G346" s="549"/>
      <c r="H346" s="549"/>
      <c r="I346" s="549"/>
      <c r="J346" s="549"/>
      <c r="K346" s="549"/>
      <c r="L346" s="549"/>
    </row>
    <row r="347" spans="1:12" ht="14.25">
      <c r="A347" s="549"/>
      <c r="B347" s="549"/>
      <c r="C347" s="549"/>
      <c r="D347" s="549"/>
      <c r="E347" s="549"/>
      <c r="F347" s="549"/>
      <c r="G347" s="549"/>
      <c r="H347" s="549"/>
      <c r="I347" s="549"/>
      <c r="J347" s="549"/>
      <c r="K347" s="549"/>
      <c r="L347" s="549"/>
    </row>
    <row r="348" spans="1:12" ht="14.25">
      <c r="A348" s="549"/>
      <c r="B348" s="549"/>
      <c r="C348" s="549"/>
      <c r="D348" s="549"/>
      <c r="E348" s="549"/>
      <c r="F348" s="549"/>
      <c r="G348" s="549"/>
      <c r="H348" s="549"/>
      <c r="I348" s="549"/>
      <c r="J348" s="549"/>
      <c r="K348" s="549"/>
      <c r="L348" s="549"/>
    </row>
    <row r="349" spans="1:12" ht="14.25">
      <c r="A349" s="549"/>
      <c r="B349" s="549"/>
      <c r="C349" s="549"/>
      <c r="D349" s="549"/>
      <c r="E349" s="549"/>
      <c r="F349" s="549"/>
      <c r="G349" s="549"/>
      <c r="H349" s="549"/>
      <c r="I349" s="549"/>
      <c r="J349" s="549"/>
      <c r="K349" s="549"/>
      <c r="L349" s="549"/>
    </row>
    <row r="350" spans="1:12" ht="14.25">
      <c r="A350" s="549"/>
      <c r="B350" s="549"/>
      <c r="C350" s="549"/>
      <c r="D350" s="549"/>
      <c r="E350" s="549"/>
      <c r="F350" s="549"/>
      <c r="G350" s="549"/>
      <c r="H350" s="549"/>
      <c r="I350" s="549"/>
      <c r="J350" s="549"/>
      <c r="K350" s="549"/>
      <c r="L350" s="549"/>
    </row>
    <row r="351" spans="1:12" ht="14.25">
      <c r="A351" s="549"/>
      <c r="B351" s="549"/>
      <c r="C351" s="549"/>
      <c r="D351" s="549"/>
      <c r="E351" s="549"/>
      <c r="F351" s="549"/>
      <c r="G351" s="549"/>
      <c r="H351" s="549"/>
      <c r="I351" s="549"/>
      <c r="J351" s="549"/>
      <c r="K351" s="549"/>
      <c r="L351" s="549"/>
    </row>
    <row r="352" spans="1:12" ht="14.25">
      <c r="A352" s="549"/>
      <c r="B352" s="549"/>
      <c r="C352" s="549"/>
      <c r="D352" s="549"/>
      <c r="E352" s="549"/>
      <c r="F352" s="549"/>
      <c r="G352" s="549"/>
      <c r="H352" s="549"/>
      <c r="I352" s="549"/>
      <c r="J352" s="549"/>
      <c r="K352" s="549"/>
      <c r="L352" s="549"/>
    </row>
    <row r="353" spans="1:12" ht="14.25">
      <c r="A353" s="549"/>
      <c r="B353" s="549"/>
      <c r="C353" s="549"/>
      <c r="D353" s="549"/>
      <c r="E353" s="549"/>
      <c r="F353" s="549"/>
      <c r="G353" s="549"/>
      <c r="H353" s="549"/>
      <c r="I353" s="549"/>
      <c r="J353" s="549"/>
      <c r="K353" s="549"/>
      <c r="L353" s="549"/>
    </row>
    <row r="354" spans="1:12" ht="14.25">
      <c r="A354" s="549"/>
      <c r="B354" s="549"/>
      <c r="C354" s="549"/>
      <c r="D354" s="549"/>
      <c r="E354" s="549"/>
      <c r="F354" s="549"/>
      <c r="G354" s="549"/>
      <c r="H354" s="549"/>
      <c r="I354" s="549"/>
      <c r="J354" s="549"/>
      <c r="K354" s="549"/>
      <c r="L354" s="549"/>
    </row>
  </sheetData>
  <sheetProtection sheet="1" objects="1" scenarios="1"/>
  <mergeCells count="55">
    <mergeCell ref="C83:D83"/>
    <mergeCell ref="B85:K85"/>
    <mergeCell ref="C134:D134"/>
    <mergeCell ref="B110:K110"/>
    <mergeCell ref="C120:D120"/>
    <mergeCell ref="C123:D123"/>
    <mergeCell ref="B130:K130"/>
    <mergeCell ref="C133:D133"/>
    <mergeCell ref="H133:I133"/>
    <mergeCell ref="C114:D114"/>
    <mergeCell ref="B6:K6"/>
    <mergeCell ref="B7:K7"/>
    <mergeCell ref="B8:K8"/>
    <mergeCell ref="B10:K10"/>
    <mergeCell ref="B12:K12"/>
    <mergeCell ref="C25:D25"/>
    <mergeCell ref="F23:G23"/>
    <mergeCell ref="B86:K86"/>
    <mergeCell ref="B88:K88"/>
    <mergeCell ref="B30:K30"/>
    <mergeCell ref="B31:K31"/>
    <mergeCell ref="B33:K33"/>
    <mergeCell ref="B35:K35"/>
    <mergeCell ref="C41:D41"/>
    <mergeCell ref="B48:C48"/>
    <mergeCell ref="G50:H50"/>
    <mergeCell ref="I51:K51"/>
    <mergeCell ref="B52:K52"/>
    <mergeCell ref="B53:K53"/>
    <mergeCell ref="B58:K58"/>
    <mergeCell ref="C74:D74"/>
    <mergeCell ref="C77:D77"/>
    <mergeCell ref="C80:D80"/>
    <mergeCell ref="B55:K55"/>
    <mergeCell ref="B57:K57"/>
    <mergeCell ref="B126:K126"/>
    <mergeCell ref="B128:K128"/>
    <mergeCell ref="B90:K90"/>
    <mergeCell ref="C94:D94"/>
    <mergeCell ref="C97:D97"/>
    <mergeCell ref="C100:D100"/>
    <mergeCell ref="B105:K105"/>
    <mergeCell ref="B106:K106"/>
    <mergeCell ref="C117:D117"/>
    <mergeCell ref="B125:K125"/>
    <mergeCell ref="C148:D148"/>
    <mergeCell ref="J148:K148"/>
    <mergeCell ref="C103:D103"/>
    <mergeCell ref="H134:I134"/>
    <mergeCell ref="C136:D136"/>
    <mergeCell ref="C137:D137"/>
    <mergeCell ref="B144:K144"/>
    <mergeCell ref="C147:D147"/>
    <mergeCell ref="J147:K147"/>
    <mergeCell ref="B108:K10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23"/>
  <sheetViews>
    <sheetView zoomScalePageLayoutView="0" workbookViewId="0" topLeftCell="A1">
      <selection activeCell="B13" sqref="B13"/>
    </sheetView>
  </sheetViews>
  <sheetFormatPr defaultColWidth="8.796875" defaultRowHeight="15"/>
  <cols>
    <col min="1" max="1" width="13.796875" style="0" customWidth="1"/>
    <col min="2" max="2" width="16.09765625" style="0" customWidth="1"/>
  </cols>
  <sheetData>
    <row r="1" ht="15">
      <c r="J1" s="568" t="s">
        <v>772</v>
      </c>
    </row>
    <row r="2" spans="1:10" ht="54" customHeight="1">
      <c r="A2" s="757" t="s">
        <v>372</v>
      </c>
      <c r="B2" s="758"/>
      <c r="C2" s="758"/>
      <c r="D2" s="758"/>
      <c r="E2" s="758"/>
      <c r="F2" s="758"/>
      <c r="J2" s="568" t="s">
        <v>773</v>
      </c>
    </row>
    <row r="3" spans="1:10" ht="15.75">
      <c r="A3" s="2" t="s">
        <v>770</v>
      </c>
      <c r="B3" s="662" t="s">
        <v>1089</v>
      </c>
      <c r="J3" s="568" t="s">
        <v>774</v>
      </c>
    </row>
    <row r="4" spans="1:10" ht="15.75">
      <c r="A4" s="374"/>
      <c r="B4" s="374"/>
      <c r="C4" s="374"/>
      <c r="D4" s="567" t="s">
        <v>771</v>
      </c>
      <c r="E4" s="374"/>
      <c r="F4" s="374"/>
      <c r="J4" s="568" t="s">
        <v>775</v>
      </c>
    </row>
    <row r="5" spans="1:10" ht="15.75">
      <c r="A5" s="375" t="s">
        <v>373</v>
      </c>
      <c r="B5" s="663" t="s">
        <v>1083</v>
      </c>
      <c r="C5" s="376"/>
      <c r="D5" s="567" t="str">
        <f>IF(B5="","",CONCATENATE("Latest date for notice to be published in your newspaper: ",G18," ",G22,", ",G23))</f>
        <v>Latest date for notice to be published in your newspaper: August 1, 2014</v>
      </c>
      <c r="E5" s="374"/>
      <c r="F5" s="374"/>
      <c r="J5" s="568" t="s">
        <v>776</v>
      </c>
    </row>
    <row r="6" spans="1:10" ht="15.75">
      <c r="A6" s="375"/>
      <c r="B6" s="377"/>
      <c r="C6" s="378"/>
      <c r="D6" s="375"/>
      <c r="E6" s="374"/>
      <c r="F6" s="374"/>
      <c r="J6" s="568" t="s">
        <v>777</v>
      </c>
    </row>
    <row r="7" spans="1:10" ht="15.75">
      <c r="A7" s="375" t="s">
        <v>374</v>
      </c>
      <c r="B7" s="663" t="s">
        <v>1084</v>
      </c>
      <c r="C7" s="379"/>
      <c r="D7" s="375"/>
      <c r="E7" s="374"/>
      <c r="F7" s="374"/>
      <c r="J7" s="568" t="s">
        <v>778</v>
      </c>
    </row>
    <row r="8" spans="1:10" ht="15.75">
      <c r="A8" s="375"/>
      <c r="B8" s="375"/>
      <c r="C8" s="375"/>
      <c r="D8" s="375"/>
      <c r="E8" s="374"/>
      <c r="F8" s="374"/>
      <c r="J8" s="568" t="s">
        <v>779</v>
      </c>
    </row>
    <row r="9" spans="1:10" ht="15.75">
      <c r="A9" s="375" t="s">
        <v>375</v>
      </c>
      <c r="B9" s="664" t="s">
        <v>926</v>
      </c>
      <c r="C9" s="665"/>
      <c r="D9" s="665"/>
      <c r="E9" s="666"/>
      <c r="F9" s="374"/>
      <c r="J9" s="568" t="s">
        <v>780</v>
      </c>
    </row>
    <row r="10" spans="1:10" ht="15.75">
      <c r="A10" s="375"/>
      <c r="B10" s="375"/>
      <c r="C10" s="375"/>
      <c r="D10" s="375"/>
      <c r="E10" s="374"/>
      <c r="F10" s="374"/>
      <c r="J10" s="568" t="s">
        <v>781</v>
      </c>
    </row>
    <row r="11" spans="1:10" ht="15.75">
      <c r="A11" s="375"/>
      <c r="B11" s="375"/>
      <c r="C11" s="375"/>
      <c r="D11" s="375"/>
      <c r="E11" s="374"/>
      <c r="F11" s="374"/>
      <c r="J11" s="568" t="s">
        <v>782</v>
      </c>
    </row>
    <row r="12" spans="1:10" ht="15.75">
      <c r="A12" s="375" t="s">
        <v>377</v>
      </c>
      <c r="B12" s="664" t="s">
        <v>925</v>
      </c>
      <c r="C12" s="665"/>
      <c r="D12" s="665"/>
      <c r="E12" s="666"/>
      <c r="F12" s="374"/>
      <c r="J12" s="568" t="s">
        <v>783</v>
      </c>
    </row>
    <row r="15" spans="1:6" ht="15.75">
      <c r="A15" s="759" t="s">
        <v>378</v>
      </c>
      <c r="B15" s="759"/>
      <c r="C15" s="375"/>
      <c r="D15" s="375"/>
      <c r="E15" s="375"/>
      <c r="F15" s="374"/>
    </row>
    <row r="16" spans="1:6" ht="15.75">
      <c r="A16" s="375"/>
      <c r="B16" s="375"/>
      <c r="C16" s="375"/>
      <c r="D16" s="375"/>
      <c r="E16" s="375"/>
      <c r="F16" s="374"/>
    </row>
    <row r="17" spans="1:5" ht="15.75">
      <c r="A17" s="375" t="s">
        <v>373</v>
      </c>
      <c r="B17" s="377" t="s">
        <v>379</v>
      </c>
      <c r="C17" s="375"/>
      <c r="D17" s="375"/>
      <c r="E17" s="375"/>
    </row>
    <row r="18" spans="1:7" ht="15.75">
      <c r="A18" s="375"/>
      <c r="B18" s="375"/>
      <c r="C18" s="375"/>
      <c r="D18" s="375"/>
      <c r="E18" s="375"/>
      <c r="G18" s="568" t="str">
        <f ca="1">IF(B5="","",INDIRECT(G19))</f>
        <v>August</v>
      </c>
    </row>
    <row r="19" spans="1:7" ht="15.75">
      <c r="A19" s="375" t="s">
        <v>374</v>
      </c>
      <c r="B19" s="375" t="s">
        <v>380</v>
      </c>
      <c r="C19" s="375"/>
      <c r="D19" s="375"/>
      <c r="E19" s="375"/>
      <c r="G19" s="569" t="str">
        <f>IF(B5="","",CONCATENATE("J",G21))</f>
        <v>J8</v>
      </c>
    </row>
    <row r="20" spans="1:7" ht="15.75">
      <c r="A20" s="375"/>
      <c r="B20" s="375"/>
      <c r="C20" s="375"/>
      <c r="D20" s="375"/>
      <c r="E20" s="375"/>
      <c r="G20" s="570">
        <f>B5-10</f>
        <v>41852</v>
      </c>
    </row>
    <row r="21" spans="1:7" ht="15.75">
      <c r="A21" s="375" t="s">
        <v>375</v>
      </c>
      <c r="B21" s="375" t="s">
        <v>376</v>
      </c>
      <c r="C21" s="375"/>
      <c r="D21" s="375"/>
      <c r="E21" s="375"/>
      <c r="G21" s="571">
        <f>IF(B5="","",MONTH(G20))</f>
        <v>8</v>
      </c>
    </row>
    <row r="22" spans="1:7" ht="15.75">
      <c r="A22" s="375"/>
      <c r="B22" s="375"/>
      <c r="C22" s="375"/>
      <c r="D22" s="375"/>
      <c r="E22" s="375"/>
      <c r="G22" s="572">
        <f>IF(B5="","",DAY(G20))</f>
        <v>1</v>
      </c>
    </row>
    <row r="23" spans="1:7" ht="15.75">
      <c r="A23" s="375" t="s">
        <v>377</v>
      </c>
      <c r="B23" s="375" t="s">
        <v>376</v>
      </c>
      <c r="C23" s="375"/>
      <c r="D23" s="375"/>
      <c r="E23" s="375"/>
      <c r="G23" s="573">
        <f>IF(B5="","",YEAR(G20))</f>
        <v>2014</v>
      </c>
    </row>
  </sheetData>
  <sheetProtection sheet="1"/>
  <mergeCells count="2">
    <mergeCell ref="A2:F2"/>
    <mergeCell ref="A15:B15"/>
  </mergeCells>
  <printOptions/>
  <pageMargins left="0.7" right="0.7" top="0.75" bottom="0.75" header="0.3" footer="0.3"/>
  <pageSetup blackAndWhite="1" horizontalDpi="600" verticalDpi="600" orientation="landscape" r:id="rId1"/>
</worksheet>
</file>

<file path=xl/worksheets/sheet40.xml><?xml version="1.0" encoding="utf-8"?>
<worksheet xmlns="http://schemas.openxmlformats.org/spreadsheetml/2006/main" xmlns:r="http://schemas.openxmlformats.org/officeDocument/2006/relationships">
  <dimension ref="A1:A40"/>
  <sheetViews>
    <sheetView zoomScalePageLayoutView="0" workbookViewId="0" topLeftCell="A1">
      <selection activeCell="A5" sqref="A5"/>
    </sheetView>
  </sheetViews>
  <sheetFormatPr defaultColWidth="8.796875" defaultRowHeight="15"/>
  <cols>
    <col min="1" max="1" width="71.19921875" style="0" customWidth="1"/>
  </cols>
  <sheetData>
    <row r="1" ht="16.5">
      <c r="A1" s="478" t="s">
        <v>666</v>
      </c>
    </row>
    <row r="3" ht="31.5">
      <c r="A3" s="479" t="s">
        <v>667</v>
      </c>
    </row>
    <row r="4" ht="15.75">
      <c r="A4" s="480" t="s">
        <v>668</v>
      </c>
    </row>
    <row r="7" ht="31.5">
      <c r="A7" s="479" t="s">
        <v>669</v>
      </c>
    </row>
    <row r="8" ht="15.75">
      <c r="A8" s="480" t="s">
        <v>670</v>
      </c>
    </row>
    <row r="11" ht="15.75">
      <c r="A11" s="477" t="s">
        <v>671</v>
      </c>
    </row>
    <row r="12" ht="15.75">
      <c r="A12" s="480" t="s">
        <v>672</v>
      </c>
    </row>
    <row r="15" ht="15.75">
      <c r="A15" s="477" t="s">
        <v>673</v>
      </c>
    </row>
    <row r="16" ht="15.75">
      <c r="A16" s="480" t="s">
        <v>674</v>
      </c>
    </row>
    <row r="19" ht="15.75">
      <c r="A19" s="477" t="s">
        <v>675</v>
      </c>
    </row>
    <row r="20" ht="15.75">
      <c r="A20" s="480" t="s">
        <v>676</v>
      </c>
    </row>
    <row r="23" ht="15.75">
      <c r="A23" s="477" t="s">
        <v>677</v>
      </c>
    </row>
    <row r="24" ht="15.75">
      <c r="A24" s="480" t="s">
        <v>678</v>
      </c>
    </row>
    <row r="27" ht="15.75">
      <c r="A27" s="477" t="s">
        <v>679</v>
      </c>
    </row>
    <row r="28" ht="15.75">
      <c r="A28" s="480" t="s">
        <v>680</v>
      </c>
    </row>
    <row r="31" ht="15.75">
      <c r="A31" s="477" t="s">
        <v>681</v>
      </c>
    </row>
    <row r="32" ht="15.75">
      <c r="A32" s="480" t="s">
        <v>682</v>
      </c>
    </row>
    <row r="35" ht="15.75">
      <c r="A35" s="477" t="s">
        <v>683</v>
      </c>
    </row>
    <row r="36" ht="15.75">
      <c r="A36" s="480" t="s">
        <v>684</v>
      </c>
    </row>
    <row r="39" ht="15.75">
      <c r="A39" s="477" t="s">
        <v>685</v>
      </c>
    </row>
    <row r="40" ht="15.75">
      <c r="A40" s="480" t="s">
        <v>686</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A173"/>
  <sheetViews>
    <sheetView zoomScalePageLayoutView="0" workbookViewId="0" topLeftCell="A1">
      <selection activeCell="M115" sqref="M115"/>
    </sheetView>
  </sheetViews>
  <sheetFormatPr defaultColWidth="8.796875" defaultRowHeight="15"/>
  <cols>
    <col min="1" max="1" width="80.09765625" style="48" customWidth="1"/>
    <col min="2" max="16384" width="8.8984375" style="48" customWidth="1"/>
  </cols>
  <sheetData>
    <row r="1" ht="15.75">
      <c r="A1" s="380" t="s">
        <v>872</v>
      </c>
    </row>
    <row r="2" ht="15.75">
      <c r="A2" s="713" t="s">
        <v>871</v>
      </c>
    </row>
    <row r="4" ht="15.75">
      <c r="A4" s="380" t="s">
        <v>873</v>
      </c>
    </row>
    <row r="5" ht="15.75">
      <c r="A5" s="661" t="s">
        <v>850</v>
      </c>
    </row>
    <row r="7" ht="15.75">
      <c r="A7" s="380" t="s">
        <v>874</v>
      </c>
    </row>
    <row r="8" ht="15.75">
      <c r="A8" s="48" t="s">
        <v>849</v>
      </c>
    </row>
    <row r="10" ht="15.75">
      <c r="A10" s="380" t="s">
        <v>875</v>
      </c>
    </row>
    <row r="11" ht="15.75">
      <c r="A11" s="48" t="s">
        <v>848</v>
      </c>
    </row>
    <row r="13" ht="15.75">
      <c r="A13" s="380" t="s">
        <v>876</v>
      </c>
    </row>
    <row r="14" ht="15.75">
      <c r="A14" s="643" t="s">
        <v>846</v>
      </c>
    </row>
    <row r="16" ht="15.75">
      <c r="A16" s="380" t="s">
        <v>877</v>
      </c>
    </row>
    <row r="17" ht="15.75">
      <c r="A17" s="643" t="s">
        <v>811</v>
      </c>
    </row>
    <row r="18" ht="15.75">
      <c r="A18" s="48" t="s">
        <v>812</v>
      </c>
    </row>
    <row r="19" ht="15.75">
      <c r="A19" s="48" t="s">
        <v>813</v>
      </c>
    </row>
    <row r="20" ht="15.75">
      <c r="A20" s="48" t="s">
        <v>814</v>
      </c>
    </row>
    <row r="21" ht="15.75">
      <c r="A21" s="48" t="s">
        <v>815</v>
      </c>
    </row>
    <row r="22" ht="15.75">
      <c r="A22" s="48" t="s">
        <v>816</v>
      </c>
    </row>
    <row r="23" ht="15.75">
      <c r="A23" s="48" t="s">
        <v>817</v>
      </c>
    </row>
    <row r="24" ht="15.75">
      <c r="A24" s="48" t="s">
        <v>818</v>
      </c>
    </row>
    <row r="25" ht="15.75">
      <c r="A25" s="48" t="s">
        <v>819</v>
      </c>
    </row>
    <row r="26" ht="15.75">
      <c r="A26" s="48" t="s">
        <v>820</v>
      </c>
    </row>
    <row r="27" ht="15.75">
      <c r="A27" s="48" t="s">
        <v>821</v>
      </c>
    </row>
    <row r="28" ht="15.75">
      <c r="A28" s="48" t="s">
        <v>822</v>
      </c>
    </row>
    <row r="29" ht="47.25">
      <c r="A29" s="50" t="s">
        <v>823</v>
      </c>
    </row>
    <row r="30" ht="31.5">
      <c r="A30" s="50" t="s">
        <v>824</v>
      </c>
    </row>
    <row r="31" ht="15.75">
      <c r="A31" s="48" t="s">
        <v>825</v>
      </c>
    </row>
    <row r="32" ht="15.75">
      <c r="A32" s="48" t="s">
        <v>826</v>
      </c>
    </row>
    <row r="33" ht="15.75">
      <c r="A33" s="48" t="s">
        <v>827</v>
      </c>
    </row>
    <row r="34" ht="15.75">
      <c r="A34" s="48" t="s">
        <v>828</v>
      </c>
    </row>
    <row r="35" ht="15.75">
      <c r="A35" s="48" t="s">
        <v>829</v>
      </c>
    </row>
    <row r="36" ht="15.75">
      <c r="A36" s="48" t="s">
        <v>830</v>
      </c>
    </row>
    <row r="37" ht="15.75">
      <c r="A37" s="48" t="s">
        <v>831</v>
      </c>
    </row>
    <row r="38" ht="15.75">
      <c r="A38" s="48" t="s">
        <v>832</v>
      </c>
    </row>
    <row r="39" ht="15.75">
      <c r="A39" s="48" t="s">
        <v>833</v>
      </c>
    </row>
    <row r="40" ht="15.75">
      <c r="A40" s="48" t="s">
        <v>834</v>
      </c>
    </row>
    <row r="41" ht="15.75">
      <c r="A41" s="48" t="s">
        <v>835</v>
      </c>
    </row>
    <row r="42" ht="15.75">
      <c r="A42" s="48" t="s">
        <v>836</v>
      </c>
    </row>
    <row r="44" ht="15.75">
      <c r="A44" s="380" t="s">
        <v>878</v>
      </c>
    </row>
    <row r="45" ht="15.75">
      <c r="A45" s="476" t="s">
        <v>758</v>
      </c>
    </row>
    <row r="47" ht="15.75">
      <c r="A47" s="380" t="s">
        <v>879</v>
      </c>
    </row>
    <row r="48" ht="15.75">
      <c r="A48" s="476" t="s">
        <v>644</v>
      </c>
    </row>
    <row r="49" ht="15.75">
      <c r="A49" s="476" t="s">
        <v>645</v>
      </c>
    </row>
    <row r="50" ht="15.75">
      <c r="A50" s="475" t="s">
        <v>646</v>
      </c>
    </row>
    <row r="51" ht="15.75">
      <c r="A51" s="476" t="s">
        <v>647</v>
      </c>
    </row>
    <row r="52" ht="15.75">
      <c r="A52" s="476" t="s">
        <v>648</v>
      </c>
    </row>
    <row r="53" ht="15.75">
      <c r="A53" s="476" t="s">
        <v>649</v>
      </c>
    </row>
    <row r="54" ht="15.75">
      <c r="A54" s="476" t="s">
        <v>650</v>
      </c>
    </row>
    <row r="55" ht="15.75">
      <c r="A55" s="476" t="s">
        <v>651</v>
      </c>
    </row>
    <row r="56" ht="15.75">
      <c r="A56" s="476" t="s">
        <v>652</v>
      </c>
    </row>
    <row r="57" ht="15.75">
      <c r="A57" s="476" t="s">
        <v>653</v>
      </c>
    </row>
    <row r="58" ht="15.75">
      <c r="A58" s="476" t="s">
        <v>654</v>
      </c>
    </row>
    <row r="59" ht="15.75">
      <c r="A59" s="476" t="s">
        <v>655</v>
      </c>
    </row>
    <row r="60" ht="15.75">
      <c r="A60" s="476" t="s">
        <v>656</v>
      </c>
    </row>
    <row r="61" ht="15.75">
      <c r="A61" s="476" t="s">
        <v>657</v>
      </c>
    </row>
    <row r="62" ht="15.75">
      <c r="A62" s="476" t="s">
        <v>658</v>
      </c>
    </row>
    <row r="63" ht="15.75">
      <c r="A63" s="476" t="s">
        <v>659</v>
      </c>
    </row>
    <row r="64" ht="15.75">
      <c r="A64" s="476" t="s">
        <v>660</v>
      </c>
    </row>
    <row r="65" ht="15.75">
      <c r="A65" s="476" t="s">
        <v>661</v>
      </c>
    </row>
    <row r="66" ht="15.75">
      <c r="A66" s="476" t="s">
        <v>662</v>
      </c>
    </row>
    <row r="67" ht="15.75">
      <c r="A67" s="476" t="s">
        <v>663</v>
      </c>
    </row>
    <row r="68" ht="15.75">
      <c r="A68" s="475" t="s">
        <v>664</v>
      </c>
    </row>
    <row r="69" ht="15.75">
      <c r="A69" s="48" t="s">
        <v>665</v>
      </c>
    </row>
    <row r="71" ht="15.75">
      <c r="A71" s="380" t="s">
        <v>880</v>
      </c>
    </row>
    <row r="72" ht="15.75">
      <c r="A72" s="48" t="s">
        <v>625</v>
      </c>
    </row>
    <row r="74" ht="15.75">
      <c r="A74" s="380" t="s">
        <v>881</v>
      </c>
    </row>
    <row r="75" ht="15.75">
      <c r="A75" s="48" t="s">
        <v>620</v>
      </c>
    </row>
    <row r="76" ht="15.75">
      <c r="A76" s="48" t="s">
        <v>621</v>
      </c>
    </row>
    <row r="77" ht="15.75">
      <c r="A77" s="48" t="s">
        <v>622</v>
      </c>
    </row>
    <row r="79" ht="15.75">
      <c r="A79" s="393" t="s">
        <v>882</v>
      </c>
    </row>
    <row r="80" ht="15.75">
      <c r="A80" s="48" t="s">
        <v>619</v>
      </c>
    </row>
    <row r="82" ht="15.75">
      <c r="A82" s="380" t="s">
        <v>883</v>
      </c>
    </row>
    <row r="83" ht="15.75">
      <c r="A83" s="381" t="s">
        <v>381</v>
      </c>
    </row>
    <row r="84" ht="15.75">
      <c r="A84" s="381" t="s">
        <v>382</v>
      </c>
    </row>
    <row r="85" ht="15.75">
      <c r="A85" s="381" t="s">
        <v>383</v>
      </c>
    </row>
    <row r="86" ht="15.75">
      <c r="A86" s="48" t="s">
        <v>384</v>
      </c>
    </row>
    <row r="88" ht="15.75">
      <c r="A88" s="362" t="s">
        <v>884</v>
      </c>
    </row>
    <row r="89" ht="15.75">
      <c r="A89" s="48" t="s">
        <v>316</v>
      </c>
    </row>
    <row r="90" ht="15.75">
      <c r="A90" s="48" t="s">
        <v>317</v>
      </c>
    </row>
    <row r="91" ht="15.75">
      <c r="A91" s="48" t="s">
        <v>318</v>
      </c>
    </row>
    <row r="92" ht="15.75">
      <c r="A92" s="48" t="s">
        <v>350</v>
      </c>
    </row>
    <row r="93" ht="15.75">
      <c r="A93" s="48" t="s">
        <v>349</v>
      </c>
    </row>
    <row r="94" ht="15.75">
      <c r="A94" s="48" t="s">
        <v>351</v>
      </c>
    </row>
    <row r="95" ht="15.75">
      <c r="A95" s="48" t="s">
        <v>353</v>
      </c>
    </row>
    <row r="96" ht="16.5" customHeight="1">
      <c r="A96" s="699" t="s">
        <v>352</v>
      </c>
    </row>
    <row r="97" ht="17.25" customHeight="1">
      <c r="A97" s="50" t="s">
        <v>367</v>
      </c>
    </row>
    <row r="98" ht="18" customHeight="1">
      <c r="A98" s="372" t="s">
        <v>371</v>
      </c>
    </row>
    <row r="100" ht="15.75">
      <c r="A100" s="362" t="s">
        <v>309</v>
      </c>
    </row>
    <row r="101" ht="15.75">
      <c r="A101" s="48" t="s">
        <v>310</v>
      </c>
    </row>
    <row r="102" ht="15.75">
      <c r="A102" s="48" t="s">
        <v>311</v>
      </c>
    </row>
    <row r="104" ht="15.75">
      <c r="A104" s="362" t="s">
        <v>112</v>
      </c>
    </row>
    <row r="105" ht="15.75">
      <c r="A105" s="48" t="s">
        <v>92</v>
      </c>
    </row>
    <row r="106" ht="15.75">
      <c r="A106" s="48" t="s">
        <v>93</v>
      </c>
    </row>
    <row r="107" ht="15.75">
      <c r="A107" s="48" t="s">
        <v>94</v>
      </c>
    </row>
    <row r="108" ht="15.75">
      <c r="A108" s="48" t="s">
        <v>95</v>
      </c>
    </row>
    <row r="109" ht="15.75">
      <c r="A109" s="48" t="s">
        <v>96</v>
      </c>
    </row>
    <row r="110" ht="15.75">
      <c r="A110" s="48" t="s">
        <v>97</v>
      </c>
    </row>
    <row r="111" ht="31.5">
      <c r="A111" s="50" t="s">
        <v>98</v>
      </c>
    </row>
    <row r="112" ht="31.5">
      <c r="A112" s="50" t="s">
        <v>99</v>
      </c>
    </row>
    <row r="113" ht="15.75">
      <c r="A113" s="50" t="s">
        <v>100</v>
      </c>
    </row>
    <row r="114" ht="15.75">
      <c r="A114" s="50" t="s">
        <v>101</v>
      </c>
    </row>
    <row r="115" ht="31.5">
      <c r="A115" s="50" t="s">
        <v>102</v>
      </c>
    </row>
    <row r="116" ht="15.75">
      <c r="A116" s="48" t="s">
        <v>103</v>
      </c>
    </row>
    <row r="117" ht="31.5">
      <c r="A117" s="50" t="s">
        <v>104</v>
      </c>
    </row>
    <row r="118" ht="15.75">
      <c r="A118" s="48" t="s">
        <v>105</v>
      </c>
    </row>
    <row r="119" ht="15.75">
      <c r="A119" s="48" t="s">
        <v>106</v>
      </c>
    </row>
    <row r="120" ht="15.75">
      <c r="A120" s="48" t="s">
        <v>107</v>
      </c>
    </row>
    <row r="121" ht="15.75">
      <c r="A121" s="48" t="s">
        <v>108</v>
      </c>
    </row>
    <row r="122" ht="31.5">
      <c r="A122" s="50" t="s">
        <v>109</v>
      </c>
    </row>
    <row r="123" ht="15.75">
      <c r="A123" s="48" t="s">
        <v>110</v>
      </c>
    </row>
    <row r="126" ht="15.75">
      <c r="A126" s="362" t="s">
        <v>86</v>
      </c>
    </row>
    <row r="127" ht="15.75">
      <c r="A127" s="48" t="s">
        <v>89</v>
      </c>
    </row>
    <row r="128" ht="15.75">
      <c r="A128" s="48" t="s">
        <v>87</v>
      </c>
    </row>
    <row r="129" ht="15.75">
      <c r="A129" s="48" t="s">
        <v>88</v>
      </c>
    </row>
    <row r="130" ht="15.75">
      <c r="A130" s="48" t="s">
        <v>319</v>
      </c>
    </row>
    <row r="132" ht="15.75">
      <c r="A132" s="362" t="s">
        <v>82</v>
      </c>
    </row>
    <row r="133" ht="31.5">
      <c r="A133" s="50" t="s">
        <v>83</v>
      </c>
    </row>
    <row r="134" ht="15.75">
      <c r="A134" s="48" t="s">
        <v>84</v>
      </c>
    </row>
    <row r="135" ht="15.75">
      <c r="A135" s="48" t="s">
        <v>85</v>
      </c>
    </row>
    <row r="138" ht="15.75">
      <c r="A138" s="362" t="s">
        <v>31</v>
      </c>
    </row>
    <row r="139" ht="47.25">
      <c r="A139" s="50" t="s">
        <v>320</v>
      </c>
    </row>
    <row r="140" ht="15.75">
      <c r="A140" s="48" t="s">
        <v>32</v>
      </c>
    </row>
    <row r="141" ht="15.75">
      <c r="A141" s="48" t="s">
        <v>37</v>
      </c>
    </row>
    <row r="142" ht="15.75">
      <c r="A142" s="48" t="s">
        <v>321</v>
      </c>
    </row>
    <row r="143" ht="15.75">
      <c r="A143" s="48" t="s">
        <v>33</v>
      </c>
    </row>
    <row r="144" ht="15.75">
      <c r="A144" s="48" t="s">
        <v>34</v>
      </c>
    </row>
    <row r="145" ht="15.75">
      <c r="A145" s="48" t="s">
        <v>38</v>
      </c>
    </row>
    <row r="146" ht="15.75">
      <c r="A146" s="50" t="s">
        <v>52</v>
      </c>
    </row>
    <row r="147" ht="31.5">
      <c r="A147" s="50" t="s">
        <v>117</v>
      </c>
    </row>
    <row r="148" ht="15.75">
      <c r="A148" s="48" t="s">
        <v>39</v>
      </c>
    </row>
    <row r="149" ht="15.75">
      <c r="A149" s="48" t="s">
        <v>40</v>
      </c>
    </row>
    <row r="150" ht="15.75">
      <c r="A150" s="48" t="s">
        <v>322</v>
      </c>
    </row>
    <row r="151" ht="15.75">
      <c r="A151" s="48" t="s">
        <v>51</v>
      </c>
    </row>
    <row r="152" ht="15.75">
      <c r="A152" s="48" t="s">
        <v>323</v>
      </c>
    </row>
    <row r="153" ht="31.5">
      <c r="A153" s="50" t="s">
        <v>324</v>
      </c>
    </row>
    <row r="154" ht="15.75">
      <c r="A154" s="48" t="s">
        <v>41</v>
      </c>
    </row>
    <row r="155" ht="15.75">
      <c r="A155" s="48" t="s">
        <v>42</v>
      </c>
    </row>
    <row r="156" ht="31.5">
      <c r="A156" s="50" t="s">
        <v>43</v>
      </c>
    </row>
    <row r="157" ht="15.75">
      <c r="A157" s="48" t="s">
        <v>325</v>
      </c>
    </row>
    <row r="158" ht="15.75">
      <c r="A158" s="48" t="s">
        <v>45</v>
      </c>
    </row>
    <row r="159" ht="15.75">
      <c r="A159" s="48" t="s">
        <v>44</v>
      </c>
    </row>
    <row r="160" ht="15.75">
      <c r="A160" s="48" t="s">
        <v>48</v>
      </c>
    </row>
    <row r="161" ht="15.75">
      <c r="A161" s="48" t="s">
        <v>54</v>
      </c>
    </row>
    <row r="162" ht="15.75">
      <c r="A162" s="48" t="s">
        <v>55</v>
      </c>
    </row>
    <row r="163" ht="15.75">
      <c r="A163" s="48" t="s">
        <v>58</v>
      </c>
    </row>
    <row r="164" ht="15.75">
      <c r="A164" s="48" t="s">
        <v>326</v>
      </c>
    </row>
    <row r="165" ht="15.75">
      <c r="A165" s="48" t="s">
        <v>114</v>
      </c>
    </row>
    <row r="166" ht="15.75">
      <c r="A166" s="48" t="s">
        <v>327</v>
      </c>
    </row>
    <row r="167" ht="15.75">
      <c r="A167" s="48" t="s">
        <v>60</v>
      </c>
    </row>
    <row r="168" ht="15.75">
      <c r="A168" s="48" t="s">
        <v>62</v>
      </c>
    </row>
    <row r="169" ht="15.75">
      <c r="A169" s="48" t="s">
        <v>63</v>
      </c>
    </row>
    <row r="170" ht="15.75">
      <c r="A170" s="48" t="s">
        <v>115</v>
      </c>
    </row>
    <row r="171" ht="15.75">
      <c r="A171" s="48" t="s">
        <v>116</v>
      </c>
    </row>
    <row r="172" ht="15.75">
      <c r="A172" s="48" t="s">
        <v>81</v>
      </c>
    </row>
    <row r="173" ht="15.75">
      <c r="A173" s="48" t="s">
        <v>79</v>
      </c>
    </row>
  </sheetData>
  <sheetProtection sheet="1"/>
  <printOptions/>
  <pageMargins left="0.75" right="0.75" top="1" bottom="1" header="0.5" footer="0.5"/>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F62"/>
  <sheetViews>
    <sheetView zoomScalePageLayoutView="0" workbookViewId="0" topLeftCell="A1">
      <selection activeCell="E31" sqref="E31"/>
    </sheetView>
  </sheetViews>
  <sheetFormatPr defaultColWidth="8.796875" defaultRowHeight="15"/>
  <cols>
    <col min="1" max="1" width="20.796875" style="135" customWidth="1"/>
    <col min="2" max="2" width="9.796875" style="135" customWidth="1"/>
    <col min="3" max="3" width="5.796875" style="135" customWidth="1"/>
    <col min="4" max="6" width="15.796875" style="135" customWidth="1"/>
    <col min="7" max="16384" width="8.8984375" style="135" customWidth="1"/>
  </cols>
  <sheetData>
    <row r="1" spans="1:6" ht="12.75">
      <c r="A1" s="134"/>
      <c r="B1" s="134"/>
      <c r="C1" s="134"/>
      <c r="D1" s="134"/>
      <c r="E1" s="134"/>
      <c r="F1" s="134"/>
    </row>
    <row r="2" spans="1:6" ht="12.75">
      <c r="A2" s="761" t="s">
        <v>221</v>
      </c>
      <c r="B2" s="761"/>
      <c r="C2" s="761"/>
      <c r="D2" s="761"/>
      <c r="E2" s="761"/>
      <c r="F2" s="761"/>
    </row>
    <row r="3" spans="1:6" ht="15" customHeight="1">
      <c r="A3" s="136"/>
      <c r="B3" s="136"/>
      <c r="C3" s="136"/>
      <c r="D3" s="136"/>
      <c r="E3" s="136"/>
      <c r="F3" s="134">
        <f>inputPrYr!C4</f>
        <v>2015</v>
      </c>
    </row>
    <row r="4" spans="1:6" ht="15">
      <c r="A4" s="766" t="str">
        <f>CONCATENATE("To the Clerk of ",inputPrYr!C2,", State of Kansas")</f>
        <v>To the Clerk of Sheridan County, State of Kansas</v>
      </c>
      <c r="B4" s="767"/>
      <c r="C4" s="767"/>
      <c r="D4" s="767"/>
      <c r="E4" s="767"/>
      <c r="F4" s="767"/>
    </row>
    <row r="5" spans="1:6" ht="15">
      <c r="A5" s="766" t="s">
        <v>5</v>
      </c>
      <c r="B5" s="768"/>
      <c r="C5" s="768"/>
      <c r="D5" s="768"/>
      <c r="E5" s="768"/>
      <c r="F5" s="768"/>
    </row>
    <row r="6" spans="1:6" ht="15">
      <c r="A6" s="764" t="str">
        <f>(inputPrYr!C2)</f>
        <v>Sheridan County</v>
      </c>
      <c r="B6" s="765"/>
      <c r="C6" s="765"/>
      <c r="D6" s="765"/>
      <c r="E6" s="765"/>
      <c r="F6" s="765"/>
    </row>
    <row r="7" spans="1:6" ht="12.75">
      <c r="A7" s="138" t="s">
        <v>126</v>
      </c>
      <c r="B7" s="139"/>
      <c r="C7" s="139"/>
      <c r="D7" s="139"/>
      <c r="E7" s="139"/>
      <c r="F7" s="139"/>
    </row>
    <row r="8" spans="1:6" ht="12.75">
      <c r="A8" s="138" t="s">
        <v>127</v>
      </c>
      <c r="B8" s="139"/>
      <c r="C8" s="139"/>
      <c r="D8" s="139"/>
      <c r="E8" s="139"/>
      <c r="F8" s="139"/>
    </row>
    <row r="9" spans="1:6" ht="12.75">
      <c r="A9" s="138" t="str">
        <f>CONCATENATE("maximum expenditure for the various funds for the year ",F3,"; and")</f>
        <v>maximum expenditure for the various funds for the year 2015; and</v>
      </c>
      <c r="B9" s="139"/>
      <c r="C9" s="139"/>
      <c r="D9" s="139"/>
      <c r="E9" s="139"/>
      <c r="F9" s="139"/>
    </row>
    <row r="10" spans="1:6" ht="12.75">
      <c r="A10" s="138" t="str">
        <f>CONCATENATE("(3) the Amount(s) of ",F3-1," Ad Valorem Tax are within statutory limitations.")</f>
        <v>(3) the Amount(s) of 2014 Ad Valorem Tax are within statutory limitations.</v>
      </c>
      <c r="B10" s="139"/>
      <c r="C10" s="139"/>
      <c r="D10" s="139"/>
      <c r="E10" s="139"/>
      <c r="F10" s="139"/>
    </row>
    <row r="11" spans="1:6" ht="8.25" customHeight="1">
      <c r="A11" s="140"/>
      <c r="B11" s="136"/>
      <c r="C11" s="136"/>
      <c r="D11" s="141"/>
      <c r="E11" s="141"/>
      <c r="F11" s="141"/>
    </row>
    <row r="12" spans="1:6" ht="12.75">
      <c r="A12" s="136"/>
      <c r="B12" s="136"/>
      <c r="C12" s="136"/>
      <c r="D12" s="142" t="str">
        <f>CONCATENATE("",F3," Adopted Budget")</f>
        <v>2015 Adopted Budget</v>
      </c>
      <c r="E12" s="143"/>
      <c r="F12" s="144"/>
    </row>
    <row r="13" spans="1:6" ht="13.5" customHeight="1">
      <c r="A13" s="136"/>
      <c r="B13" s="136"/>
      <c r="C13" s="145" t="s">
        <v>128</v>
      </c>
      <c r="D13" s="413" t="s">
        <v>626</v>
      </c>
      <c r="E13" s="762" t="str">
        <f>CONCATENATE("Amount of ",F3-1," Ad                    Valorem Tax")</f>
        <v>Amount of 2014 Ad                    Valorem Tax</v>
      </c>
      <c r="F13" s="145" t="s">
        <v>129</v>
      </c>
    </row>
    <row r="14" spans="1:6" ht="12.75" customHeight="1">
      <c r="A14" s="146" t="s">
        <v>130</v>
      </c>
      <c r="B14" s="147"/>
      <c r="C14" s="148" t="s">
        <v>131</v>
      </c>
      <c r="D14" s="412" t="s">
        <v>627</v>
      </c>
      <c r="E14" s="763"/>
      <c r="F14" s="148" t="s">
        <v>133</v>
      </c>
    </row>
    <row r="15" spans="1:6" ht="12.75">
      <c r="A15" s="149" t="str">
        <f>CONCATENATE("Computation to Determine Limit for ",F3,"")</f>
        <v>Computation to Determine Limit for 2015</v>
      </c>
      <c r="B15" s="153"/>
      <c r="C15" s="148">
        <v>2</v>
      </c>
      <c r="D15" s="150"/>
      <c r="E15" s="150"/>
      <c r="F15" s="150"/>
    </row>
    <row r="16" spans="1:6" ht="12.75">
      <c r="A16" s="152" t="s">
        <v>794</v>
      </c>
      <c r="B16" s="153"/>
      <c r="C16" s="154">
        <v>3</v>
      </c>
      <c r="D16" s="150"/>
      <c r="E16" s="150"/>
      <c r="F16" s="150"/>
    </row>
    <row r="17" spans="1:6" ht="12.75">
      <c r="A17" s="592" t="s">
        <v>264</v>
      </c>
      <c r="B17" s="631"/>
      <c r="C17" s="154">
        <v>4</v>
      </c>
      <c r="D17" s="150"/>
      <c r="E17" s="150"/>
      <c r="F17" s="150"/>
    </row>
    <row r="18" spans="1:6" ht="12.75">
      <c r="A18" s="152" t="s">
        <v>134</v>
      </c>
      <c r="B18" s="153"/>
      <c r="C18" s="155">
        <v>5</v>
      </c>
      <c r="D18" s="156"/>
      <c r="E18" s="156"/>
      <c r="F18" s="156"/>
    </row>
    <row r="19" spans="1:6" ht="12.75">
      <c r="A19" s="152" t="s">
        <v>135</v>
      </c>
      <c r="B19" s="153"/>
      <c r="C19" s="157">
        <v>6</v>
      </c>
      <c r="D19" s="156"/>
      <c r="E19" s="156"/>
      <c r="F19" s="156"/>
    </row>
    <row r="20" spans="1:6" ht="12.75">
      <c r="A20" s="158" t="s">
        <v>136</v>
      </c>
      <c r="B20" s="159" t="s">
        <v>137</v>
      </c>
      <c r="C20" s="160"/>
      <c r="D20" s="161"/>
      <c r="E20" s="161"/>
      <c r="F20" s="161"/>
    </row>
    <row r="21" spans="1:6" ht="15.75">
      <c r="A21" s="149" t="str">
        <f>inputPrYr!B16</f>
        <v>General</v>
      </c>
      <c r="B21" s="162" t="str">
        <f>inputPrYr!C16</f>
        <v>79-1946</v>
      </c>
      <c r="C21" s="155">
        <v>7</v>
      </c>
      <c r="D21" s="635">
        <f>IF(general!$E$107&lt;&gt;0,general!$E$107,"  ")</f>
        <v>4241647</v>
      </c>
      <c r="E21" s="636">
        <f>IF(general!$E$114&lt;&gt;0,general!$E$114,0)</f>
        <v>1950952.36</v>
      </c>
      <c r="F21" s="637" t="str">
        <f>IF(AND(general!E114=0,$F$47&gt;=0)," ",IF(AND(E21&gt;0,$F$47=0)," ",IF(AND(E21&gt;0,$F$47&gt;0),ROUND(E21/$F$47*1000,3))))</f>
        <v> </v>
      </c>
    </row>
    <row r="22" spans="1:6" ht="15.75">
      <c r="A22" s="149" t="str">
        <f>inputPrYr!B18</f>
        <v>Road &amp; Bridge</v>
      </c>
      <c r="B22" s="162" t="str">
        <f>inputPrYr!C18</f>
        <v>79-1946</v>
      </c>
      <c r="C22" s="155">
        <v>8</v>
      </c>
      <c r="D22" s="635">
        <f>IF(road!$E$42&lt;&gt;0,road!$E$42,"  ")</f>
        <v>3033224</v>
      </c>
      <c r="E22" s="636">
        <f>IF(road!$E$49&lt;&gt;0,road!$E$49,0)</f>
        <v>1283206.01</v>
      </c>
      <c r="F22" s="637" t="str">
        <f>IF(AND(road!E49=0,$F$47&gt;=0)," ",IF(AND(E22&gt;0,$F$47=0)," ",IF(AND(E22&gt;0,$F$47&gt;0),ROUND(E22/$F$47*1000,3))))</f>
        <v> </v>
      </c>
    </row>
    <row r="23" spans="1:6" ht="15.75">
      <c r="A23" s="163" t="str">
        <f>IF((inputPrYr!$B19&gt;"  "),(inputPrYr!$B19),"  ")</f>
        <v>Noxious Weed</v>
      </c>
      <c r="B23" s="162" t="str">
        <f>IF((inputPrYr!C19&gt;0),(inputPrYr!C19),"  ")</f>
        <v>2-1318</v>
      </c>
      <c r="C23" s="155">
        <v>9</v>
      </c>
      <c r="D23" s="635">
        <f>IF('levy page9'!$E$27&lt;&gt;0,'levy page9'!$E$27,"  ")</f>
        <v>294561</v>
      </c>
      <c r="E23" s="636">
        <f>IF('levy page9'!$E$34&lt;&gt;0,'levy page9'!$E$34,0)</f>
        <v>132351</v>
      </c>
      <c r="F23" s="637" t="str">
        <f>IF(AND('levy page9'!E34=0,$F$47&gt;=0)," ",IF(AND(E23&gt;0,$F$47=0)," ",IF(AND(E23&gt;0,$F$47&gt;0),ROUND(E23/$F$47*1000,3))))</f>
        <v> </v>
      </c>
    </row>
    <row r="24" spans="1:6" ht="15.75">
      <c r="A24" s="163" t="str">
        <f>IF((inputPrYr!$B20&gt;"  "),(inputPrYr!$B20),"  ")</f>
        <v>Mental Health</v>
      </c>
      <c r="B24" s="162" t="str">
        <f>IF((inputPrYr!C20&gt;0),(inputPrYr!C20),"  ")</f>
        <v>19-4011</v>
      </c>
      <c r="C24" s="155">
        <v>9</v>
      </c>
      <c r="D24" s="635">
        <f>IF('levy page9'!$E$56&lt;&gt;0,'levy page9'!$E$56,"  ")</f>
        <v>18365</v>
      </c>
      <c r="E24" s="636">
        <f>IF('levy page9'!$E$63&lt;&gt;0,'levy page9'!$E$63,0)</f>
        <v>16365</v>
      </c>
      <c r="F24" s="637" t="str">
        <f>IF(AND('levy page9'!E63=0,$F$47&gt;=0)," ",IF(AND(E24&gt;0,$F$47=0)," ",IF(AND(E24&gt;0,$F$47&gt;0),ROUND(E24/$F$47*1000,3))))</f>
        <v> </v>
      </c>
    </row>
    <row r="25" spans="1:6" ht="15.75">
      <c r="A25" s="163" t="str">
        <f>IF((inputPrYr!$B21&gt;"  "),(inputPrYr!$B21),"  ")</f>
        <v>Public Health</v>
      </c>
      <c r="B25" s="162" t="str">
        <f>IF((inputPrYr!C21&gt;0),(inputPrYr!C21),"  ")</f>
        <v>Sp. Elec.</v>
      </c>
      <c r="C25" s="155">
        <v>10</v>
      </c>
      <c r="D25" s="635">
        <f>IF('levy page10'!$E$30&lt;&gt;0,'levy page10'!$E$30,"  ")</f>
        <v>157011</v>
      </c>
      <c r="E25" s="636">
        <f>IF('levy page10'!$E$37&lt;&gt;0,'levy page10'!$E$37,0)</f>
        <v>27171</v>
      </c>
      <c r="F25" s="637" t="str">
        <f>IF(AND('levy page10'!E37=0,$F$47&gt;=0)," ",IF(AND(E25&gt;0,$F$47=0)," ",IF(AND(E25&gt;0,$F$47&gt;0),ROUND(E25/$F$47*1000,3))))</f>
        <v> </v>
      </c>
    </row>
    <row r="26" spans="1:6" ht="15.75">
      <c r="A26" s="163" t="str">
        <f>IF((inputPrYr!$B22&gt;"  "),(inputPrYr!$B22),"  ")</f>
        <v>Council on Aging</v>
      </c>
      <c r="B26" s="162" t="str">
        <f>IF((inputPrYr!C22&gt;0),(inputPrYr!C22),"  ")</f>
        <v>Sp. Elec.</v>
      </c>
      <c r="C26" s="155">
        <v>10</v>
      </c>
      <c r="D26" s="635">
        <f>IF('levy page10'!$E$59&lt;&gt;0,'levy page10'!$E$59,"  ")</f>
        <v>46262</v>
      </c>
      <c r="E26" s="636">
        <f>IF('levy page10'!$E$66&lt;&gt;0,'levy page10'!$E$66,0)</f>
        <v>40762</v>
      </c>
      <c r="F26" s="637" t="str">
        <f>IF(AND('levy page10'!E66=0,$F$47&gt;=0)," ",IF(AND(E26&gt;0,$F$47=0)," ",IF(AND(E26&gt;0,$F$47&gt;0),ROUND(E26/$F$47*1000,3))))</f>
        <v> </v>
      </c>
    </row>
    <row r="27" spans="1:6" ht="15.75">
      <c r="A27" s="163" t="str">
        <f>IF((inputPrYr!$B23&gt;"  "),(inputPrYr!$B23),"  ")</f>
        <v>Library Service Contract</v>
      </c>
      <c r="B27" s="162" t="str">
        <f>IF((inputPrYr!C23&gt;0),(inputPrYr!C23),"  ")</f>
        <v>12-1230</v>
      </c>
      <c r="C27" s="155">
        <v>11</v>
      </c>
      <c r="D27" s="635">
        <f>IF('levy page11'!$E$24&lt;&gt;0,'levy page11'!$E$24,"  ")</f>
        <v>17845</v>
      </c>
      <c r="E27" s="636">
        <f>IF('levy page11'!$E$31&lt;&gt;0,'levy page11'!$E$31,0)</f>
        <v>15466</v>
      </c>
      <c r="F27" s="637" t="str">
        <f>IF(AND('levy page11'!E31=0,$F$47&gt;=0)," ",IF(AND(E27&gt;0,$F$47=0)," ",IF(AND(E27&gt;0,$F$47&gt;0),ROUND(E27/$F$47*1000,3))))</f>
        <v> </v>
      </c>
    </row>
    <row r="28" spans="1:6" ht="15.75">
      <c r="A28" s="163" t="str">
        <f>IF((inputPrYr!$B24&gt;"  "),(inputPrYr!$B24),"  ")</f>
        <v>Hospital Maintenance</v>
      </c>
      <c r="B28" s="162" t="str">
        <f>IF((inputPrYr!C24&gt;0),(inputPrYr!C24),"  ")</f>
        <v>19-4606</v>
      </c>
      <c r="C28" s="155">
        <v>11</v>
      </c>
      <c r="D28" s="635">
        <f>IF('levy page11'!$E$54&lt;&gt;0,'levy page11'!$E$54,"  ")</f>
        <v>1140194</v>
      </c>
      <c r="E28" s="636">
        <f>IF('levy page11'!$E$61&lt;&gt;0,'levy page11'!$E$61,0)</f>
        <v>543496</v>
      </c>
      <c r="F28" s="637" t="str">
        <f>IF(AND('levy page11'!E61=0,$F$47&gt;=0)," ",IF(AND(E28&gt;0,$F$47=0)," ",IF(AND(E28&gt;0,$F$47&gt;0),ROUND(E28/$F$47*1000,3))))</f>
        <v> </v>
      </c>
    </row>
    <row r="29" spans="1:6" ht="15.75">
      <c r="A29" s="163" t="str">
        <f>IF((inputPrYr!$B25&gt;"  "),(inputPrYr!$B25),"  ")</f>
        <v>Mental Retardation</v>
      </c>
      <c r="B29" s="162" t="str">
        <f>IF((inputPrYr!C25&gt;0),(inputPrYr!C25),"  ")</f>
        <v>19-4011</v>
      </c>
      <c r="C29" s="155">
        <v>12</v>
      </c>
      <c r="D29" s="635">
        <f>IF('levy page12'!$E$24&lt;&gt;0,'levy page12'!$E$24,"  ")</f>
        <v>48970</v>
      </c>
      <c r="E29" s="636">
        <f>IF('levy page12'!$E$31&lt;&gt;0,'levy page12'!$E$31,0)</f>
        <v>43544</v>
      </c>
      <c r="F29" s="637" t="str">
        <f>IF(AND('levy page12'!E31=0,$F$47&gt;=0)," ",IF(AND(E29&gt;0,$F$47=0)," ",IF(AND(E29&gt;0,$F$47&gt;0),ROUND(E29/$F$47*1000,3))))</f>
        <v> </v>
      </c>
    </row>
    <row r="30" spans="1:6" ht="15.75">
      <c r="A30" s="163" t="str">
        <f>IF((inputPrYr!$B26&gt;"  "),(inputPrYr!$B26),"  ")</f>
        <v>Pool Lease-Purchase</v>
      </c>
      <c r="B30" s="162" t="str">
        <f>IF((inputPrYr!C26&gt;0),(inputPrYr!C26),"  ")</f>
        <v>10-111(c) </v>
      </c>
      <c r="C30" s="155">
        <v>12</v>
      </c>
      <c r="D30" s="635">
        <f>IF('levy page12'!$E$54&lt;&gt;0,'levy page12'!$E$54,"  ")</f>
        <v>159903</v>
      </c>
      <c r="E30" s="636">
        <f>IF('levy page12'!$E$61&lt;&gt;0,'levy page12'!$E$61,0)</f>
        <v>68650</v>
      </c>
      <c r="F30" s="637" t="str">
        <f>IF(AND('levy page12'!E61=0,$F$47&gt;=0)," ",IF(AND(E30&gt;0,$F$47=0)," ",IF(AND(E30&gt;0,$F$47&gt;0),ROUND(E30/$F$47*1000,3))))</f>
        <v> </v>
      </c>
    </row>
    <row r="31" spans="1:6" ht="15.75">
      <c r="A31" s="163" t="str">
        <f>IF((inputPrYr!$B27&gt;"  "),(inputPrYr!$B27),"  ")</f>
        <v>  </v>
      </c>
      <c r="B31" s="162" t="str">
        <f>IF((inputPrYr!C27&gt;0),(inputPrYr!C27),"  ")</f>
        <v>  </v>
      </c>
      <c r="C31" s="155"/>
      <c r="D31" s="635"/>
      <c r="E31" s="636"/>
      <c r="F31" s="637"/>
    </row>
    <row r="32" spans="1:6" ht="12.75">
      <c r="A32" s="163" t="str">
        <f>IF((inputPrYr!$B43&gt;"  "),(inputPrYr!$B43),"  ")</f>
        <v>Noxious Weed Capital Outlay</v>
      </c>
      <c r="B32" s="166"/>
      <c r="C32" s="155">
        <v>13</v>
      </c>
      <c r="D32" s="635">
        <f>IF('no levy page13'!$E$23&lt;&gt;0,'no levy page13'!$E$23,"  ")</f>
        <v>86496</v>
      </c>
      <c r="E32" s="638"/>
      <c r="F32" s="638"/>
    </row>
    <row r="33" spans="1:6" ht="12.75">
      <c r="A33" s="163" t="str">
        <f>IF((inputPrYr!$B44&gt;"  "),(inputPrYr!$B44),"  ")</f>
        <v>911 Emergency Tax</v>
      </c>
      <c r="B33" s="166"/>
      <c r="C33" s="155">
        <v>13</v>
      </c>
      <c r="D33" s="635" t="str">
        <f>IF('no levy page13'!$E$50&lt;&gt;0,'no levy page13'!$E$50,"  ")</f>
        <v>  </v>
      </c>
      <c r="E33" s="638"/>
      <c r="F33" s="638"/>
    </row>
    <row r="34" spans="1:6" ht="12.75">
      <c r="A34" s="163" t="str">
        <f>IF((inputPrYr!$B45&gt;"  "),(inputPrYr!$B45),"  ")</f>
        <v>Parks &amp; Recreation</v>
      </c>
      <c r="B34" s="166"/>
      <c r="C34" s="155">
        <v>14</v>
      </c>
      <c r="D34" s="635">
        <f>IF('no levy page14'!$E$24&lt;&gt;0,'no levy page14'!$E$24,"  ")</f>
        <v>4559</v>
      </c>
      <c r="E34" s="638"/>
      <c r="F34" s="638"/>
    </row>
    <row r="35" spans="1:6" ht="12.75">
      <c r="A35" s="163" t="str">
        <f>IF((inputPrYr!$B46&gt;"  "),(inputPrYr!$B46),"  ")</f>
        <v>Solid Waste Disposal</v>
      </c>
      <c r="B35" s="166"/>
      <c r="C35" s="155">
        <v>14</v>
      </c>
      <c r="D35" s="635">
        <f>IF('no levy page14'!$E$51&lt;&gt;0,'no levy page14'!$E$51,"  ")</f>
        <v>207718</v>
      </c>
      <c r="E35" s="638"/>
      <c r="F35" s="638"/>
    </row>
    <row r="36" spans="1:6" ht="12.75">
      <c r="A36" s="163" t="str">
        <f>IF((inputPrYr!$B47&gt;"  "),(inputPrYr!$B47),"  ")</f>
        <v>Alcohol Program</v>
      </c>
      <c r="B36" s="166"/>
      <c r="C36" s="155">
        <v>15</v>
      </c>
      <c r="D36" s="635">
        <f>IF('no levy page15'!$E$24&lt;&gt;0,'no levy page15'!$E$24,"  ")</f>
        <v>35132</v>
      </c>
      <c r="E36" s="638"/>
      <c r="F36" s="638"/>
    </row>
    <row r="37" spans="1:6" ht="12.75">
      <c r="A37" s="163" t="str">
        <f>IF((inputPrYr!$B48&gt;"  "),(inputPrYr!$B48),"  ")</f>
        <v>Special Ambulance</v>
      </c>
      <c r="B37" s="166"/>
      <c r="C37" s="155">
        <v>15</v>
      </c>
      <c r="D37" s="635">
        <f>IF('no levy page15'!$E$51&lt;&gt;0,'no levy page15'!$E$51,"  ")</f>
        <v>414449</v>
      </c>
      <c r="E37" s="638"/>
      <c r="F37" s="638"/>
    </row>
    <row r="38" spans="1:6" ht="12.75">
      <c r="A38" s="163" t="str">
        <f>IF((inputPrYr!$B49&gt;"  "),(inputPrYr!$B49),"  ")</f>
        <v>911 Wireless</v>
      </c>
      <c r="B38" s="166"/>
      <c r="C38" s="155">
        <v>16</v>
      </c>
      <c r="D38" s="635">
        <f>IF('no levy page16'!$E$25&lt;&gt;0,'no levy page16'!$E$25,"  ")</f>
        <v>225734</v>
      </c>
      <c r="E38" s="638"/>
      <c r="F38" s="638"/>
    </row>
    <row r="39" spans="1:6" ht="12.75">
      <c r="A39" s="163" t="str">
        <f>IF((inputPrYr!$B58&gt;"  "),(inputPrYr!$B58),"  ")</f>
        <v>  </v>
      </c>
      <c r="B39" s="160"/>
      <c r="C39" s="155"/>
      <c r="D39" s="635"/>
      <c r="E39" s="639"/>
      <c r="F39" s="639"/>
    </row>
    <row r="40" spans="1:6" ht="12.75">
      <c r="A40" s="163" t="str">
        <f>IF((inputPrYr!$B62&gt;"  "),(nonbudA!$A3),"  ")</f>
        <v>Non-Budgeted Funds-A</v>
      </c>
      <c r="B40" s="160"/>
      <c r="C40" s="155">
        <v>17</v>
      </c>
      <c r="D40" s="635"/>
      <c r="E40" s="639"/>
      <c r="F40" s="639"/>
    </row>
    <row r="41" spans="1:6" ht="12.75">
      <c r="A41" s="163" t="str">
        <f>IF((inputPrYr!$B68&gt;"  "),(nonbudB!$A3),"  ")</f>
        <v>Non-Budgeted Funds-B</v>
      </c>
      <c r="B41" s="160"/>
      <c r="C41" s="155">
        <v>18</v>
      </c>
      <c r="D41" s="635"/>
      <c r="E41" s="639"/>
      <c r="F41" s="639"/>
    </row>
    <row r="42" spans="1:6" ht="12.75">
      <c r="A42" s="163" t="str">
        <f>IF((inputPrYr!$B74&gt;"  "),(nonbudC!$A3),"  ")</f>
        <v>Non-Budgeted Funds-C</v>
      </c>
      <c r="B42" s="160"/>
      <c r="C42" s="155">
        <v>19</v>
      </c>
      <c r="D42" s="635"/>
      <c r="E42" s="639"/>
      <c r="F42" s="639"/>
    </row>
    <row r="43" spans="1:6" ht="12.75">
      <c r="A43" s="163" t="str">
        <f>IF((inputPrYr!$B80&gt;"  "),(nonbudD!$A3),"  ")</f>
        <v>Non-Budgeted Funds-D</v>
      </c>
      <c r="B43" s="160"/>
      <c r="C43" s="155">
        <v>20</v>
      </c>
      <c r="D43" s="635"/>
      <c r="E43" s="639"/>
      <c r="F43" s="639"/>
    </row>
    <row r="44" spans="1:6" ht="14.25" customHeight="1" thickBot="1">
      <c r="A44" s="168" t="s">
        <v>150</v>
      </c>
      <c r="B44" s="167"/>
      <c r="C44" s="155" t="s">
        <v>47</v>
      </c>
      <c r="D44" s="640">
        <f>SUM(D21:D43)</f>
        <v>10132070</v>
      </c>
      <c r="E44" s="640">
        <f>SUM(E21:E31)</f>
        <v>4121963.37</v>
      </c>
      <c r="F44" s="641">
        <f>IF(SUM(F21:F31)=0,"",SUM(F21:F31))</f>
      </c>
    </row>
    <row r="45" spans="1:6" ht="14.25" customHeight="1" thickTop="1">
      <c r="A45" s="169" t="s">
        <v>46</v>
      </c>
      <c r="B45" s="170"/>
      <c r="C45" s="155">
        <v>21</v>
      </c>
      <c r="D45" s="171"/>
      <c r="E45" s="171"/>
      <c r="F45" s="151"/>
    </row>
    <row r="46" spans="1:6" ht="12.75">
      <c r="A46" s="152" t="s">
        <v>78</v>
      </c>
      <c r="B46" s="153"/>
      <c r="C46" s="155">
        <v>22</v>
      </c>
      <c r="D46" s="172"/>
      <c r="E46" s="136"/>
      <c r="F46" s="408" t="s">
        <v>284</v>
      </c>
    </row>
    <row r="47" spans="1:6" ht="15.75">
      <c r="A47" s="769" t="s">
        <v>69</v>
      </c>
      <c r="B47" s="770"/>
      <c r="C47" s="145">
        <v>23</v>
      </c>
      <c r="D47" s="683" t="s">
        <v>864</v>
      </c>
      <c r="E47" s="173" t="str">
        <f>IF(E44&gt;computation!J42,"Yes","No")</f>
        <v>No</v>
      </c>
      <c r="F47" s="174"/>
    </row>
    <row r="48" spans="1:6" ht="14.25" customHeight="1">
      <c r="A48" s="714"/>
      <c r="B48" s="715"/>
      <c r="C48" s="716"/>
      <c r="D48" s="172"/>
      <c r="E48" s="151"/>
      <c r="F48" s="772" t="str">
        <f>CONCATENATE("Nov 1, ",F3-1," Total Assessed Valuation")</f>
        <v>Nov 1, 2014 Total Assessed Valuation</v>
      </c>
    </row>
    <row r="49" spans="1:6" ht="12.75">
      <c r="A49" s="134" t="s">
        <v>140</v>
      </c>
      <c r="B49" s="136"/>
      <c r="C49" s="140"/>
      <c r="D49" s="136"/>
      <c r="E49" s="136"/>
      <c r="F49" s="773"/>
    </row>
    <row r="50" spans="1:6" ht="12.75">
      <c r="A50" s="176" t="s">
        <v>927</v>
      </c>
      <c r="B50" s="136"/>
      <c r="C50" s="136"/>
      <c r="D50" s="136"/>
      <c r="E50" s="373"/>
      <c r="F50" s="373"/>
    </row>
    <row r="51" spans="1:6" ht="12.75">
      <c r="A51" s="177"/>
      <c r="B51" s="175"/>
      <c r="C51" s="151"/>
      <c r="D51" s="151"/>
      <c r="E51" s="645"/>
      <c r="F51" s="645"/>
    </row>
    <row r="52" spans="1:6" ht="12.75">
      <c r="A52" s="371" t="s">
        <v>286</v>
      </c>
      <c r="B52" s="175"/>
      <c r="C52" s="151"/>
      <c r="D52" s="151"/>
      <c r="E52" s="645"/>
      <c r="F52" s="645"/>
    </row>
    <row r="53" spans="1:6" ht="12.75">
      <c r="A53" s="176" t="s">
        <v>928</v>
      </c>
      <c r="B53" s="136"/>
      <c r="C53" s="151" t="s">
        <v>838</v>
      </c>
      <c r="D53" s="151"/>
      <c r="E53" s="644"/>
      <c r="F53" s="644"/>
    </row>
    <row r="54" spans="1:6" ht="12.75">
      <c r="A54" s="177" t="s">
        <v>929</v>
      </c>
      <c r="B54" s="178"/>
      <c r="C54" s="151"/>
      <c r="D54" s="151"/>
      <c r="E54" s="645"/>
      <c r="F54" s="646"/>
    </row>
    <row r="55" spans="1:6" ht="12.75">
      <c r="A55" s="371" t="s">
        <v>837</v>
      </c>
      <c r="B55" s="136"/>
      <c r="C55" s="151" t="s">
        <v>838</v>
      </c>
      <c r="D55" s="151"/>
      <c r="E55" s="644"/>
      <c r="F55" s="645"/>
    </row>
    <row r="56" spans="1:6" ht="15.75">
      <c r="A56" s="719" t="s">
        <v>930</v>
      </c>
      <c r="B56" s="136"/>
      <c r="C56" s="151"/>
      <c r="D56" s="151"/>
      <c r="E56" s="644"/>
      <c r="F56" s="645"/>
    </row>
    <row r="57" spans="1:6" ht="12.75">
      <c r="A57" s="371"/>
      <c r="B57" s="136"/>
      <c r="C57" s="151" t="s">
        <v>838</v>
      </c>
      <c r="D57" s="151"/>
      <c r="E57" s="644"/>
      <c r="F57" s="645"/>
    </row>
    <row r="58" spans="1:6" ht="12.75">
      <c r="A58" s="407" t="s">
        <v>6</v>
      </c>
      <c r="B58" s="179">
        <f>F3-1</f>
        <v>2014</v>
      </c>
      <c r="C58" s="151"/>
      <c r="D58" s="151"/>
      <c r="E58" s="647"/>
      <c r="F58" s="151"/>
    </row>
    <row r="59" spans="1:6" ht="12.75">
      <c r="A59" s="406"/>
      <c r="B59" s="136"/>
      <c r="C59" s="151" t="s">
        <v>838</v>
      </c>
      <c r="D59" s="151"/>
      <c r="E59" s="151"/>
      <c r="F59" s="151"/>
    </row>
    <row r="60" spans="1:6" ht="15">
      <c r="A60" s="409" t="s">
        <v>142</v>
      </c>
      <c r="B60" s="136"/>
      <c r="C60" s="771" t="s">
        <v>141</v>
      </c>
      <c r="D60" s="768"/>
      <c r="E60" s="768"/>
      <c r="F60" s="768"/>
    </row>
    <row r="61" spans="1:6" ht="12.75">
      <c r="A61" s="760"/>
      <c r="B61" s="760"/>
      <c r="C61" s="760"/>
      <c r="D61" s="760"/>
      <c r="E61" s="760"/>
      <c r="F61" s="760"/>
    </row>
    <row r="62" spans="3:6" ht="12.75">
      <c r="C62" s="180"/>
      <c r="E62" s="180"/>
      <c r="F62" s="180"/>
    </row>
  </sheetData>
  <sheetProtection/>
  <mergeCells count="9">
    <mergeCell ref="A61:F61"/>
    <mergeCell ref="A2:F2"/>
    <mergeCell ref="E13:E14"/>
    <mergeCell ref="A6:F6"/>
    <mergeCell ref="A4:F4"/>
    <mergeCell ref="A5:F5"/>
    <mergeCell ref="A47:B47"/>
    <mergeCell ref="C60:F60"/>
    <mergeCell ref="F48:F49"/>
  </mergeCells>
  <hyperlinks>
    <hyperlink ref="A56" r:id="rId1" display="delcpa@ruraltel.net"/>
  </hyperlinks>
  <printOptions/>
  <pageMargins left="0.39" right="0.45" top="0" bottom="0.23" header="0" footer="0"/>
  <pageSetup blackAndWhite="1" fitToHeight="1" fitToWidth="1" horizontalDpi="120" verticalDpi="120" orientation="portrait" scale="91" r:id="rId2"/>
  <headerFooter alignWithMargins="0">
    <oddHeader>&amp;RState of Kansas
County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58"/>
  <sheetViews>
    <sheetView zoomScalePageLayoutView="0" workbookViewId="0" topLeftCell="A1">
      <selection activeCell="E11" sqref="E11"/>
    </sheetView>
  </sheetViews>
  <sheetFormatPr defaultColWidth="8.796875" defaultRowHeight="15"/>
  <cols>
    <col min="1" max="1" width="20.796875" style="48" customWidth="1"/>
    <col min="2" max="2" width="9.796875" style="48" customWidth="1"/>
    <col min="3" max="3" width="5.796875" style="48" customWidth="1"/>
    <col min="4" max="7" width="12.796875" style="48" customWidth="1"/>
    <col min="8" max="16384" width="8.8984375" style="48" customWidth="1"/>
  </cols>
  <sheetData>
    <row r="1" spans="1:7" ht="15.75">
      <c r="A1" s="98"/>
      <c r="B1" s="98"/>
      <c r="C1" s="98"/>
      <c r="D1" s="98"/>
      <c r="E1" s="98"/>
      <c r="F1" s="98"/>
      <c r="G1" s="98"/>
    </row>
    <row r="2" spans="1:7" ht="15.75">
      <c r="A2" s="98"/>
      <c r="B2" s="98"/>
      <c r="C2" s="98"/>
      <c r="D2" s="98"/>
      <c r="E2" s="98"/>
      <c r="F2" s="98"/>
      <c r="G2" s="98"/>
    </row>
    <row r="3" spans="1:7" ht="15.75">
      <c r="A3" s="117" t="str">
        <f>inputPrYr!C2</f>
        <v>Sheridan County</v>
      </c>
      <c r="B3" s="98"/>
      <c r="C3" s="98"/>
      <c r="D3" s="98"/>
      <c r="E3" s="98"/>
      <c r="F3" s="98"/>
      <c r="G3" s="98">
        <f>inputPrYr!C4</f>
        <v>2015</v>
      </c>
    </row>
    <row r="4" spans="1:7" ht="15.75">
      <c r="A4" s="747" t="s">
        <v>11</v>
      </c>
      <c r="B4" s="767"/>
      <c r="C4" s="767"/>
      <c r="D4" s="767"/>
      <c r="E4" s="767"/>
      <c r="F4" s="767"/>
      <c r="G4" s="767"/>
    </row>
    <row r="5" spans="1:7" ht="15.75">
      <c r="A5" s="181"/>
      <c r="B5" s="66"/>
      <c r="C5" s="66"/>
      <c r="D5" s="181"/>
      <c r="E5" s="181"/>
      <c r="F5" s="181"/>
      <c r="G5" s="181"/>
    </row>
    <row r="6" spans="1:7" ht="15.75">
      <c r="A6" s="60"/>
      <c r="B6" s="60"/>
      <c r="C6" s="60"/>
      <c r="D6" s="182" t="str">
        <f>CONCATENATE("",G3," Proposed Budget")</f>
        <v>2015 Proposed Budget</v>
      </c>
      <c r="E6" s="183"/>
      <c r="F6" s="183"/>
      <c r="G6" s="184"/>
    </row>
    <row r="7" spans="1:7" ht="21" customHeight="1">
      <c r="A7" s="60"/>
      <c r="B7" s="60"/>
      <c r="C7" s="185" t="s">
        <v>128</v>
      </c>
      <c r="D7" s="426" t="s">
        <v>626</v>
      </c>
      <c r="E7" s="774" t="str">
        <f>CONCATENATE("Amount of ",G3-1,"      Ad Valorem Tax")</f>
        <v>Amount of 2014      Ad Valorem Tax</v>
      </c>
      <c r="F7" s="774" t="s">
        <v>285</v>
      </c>
      <c r="G7" s="185" t="s">
        <v>129</v>
      </c>
    </row>
    <row r="8" spans="1:7" ht="15.75">
      <c r="A8" s="186" t="s">
        <v>10</v>
      </c>
      <c r="B8" s="87"/>
      <c r="C8" s="187" t="s">
        <v>131</v>
      </c>
      <c r="D8" s="427" t="s">
        <v>627</v>
      </c>
      <c r="E8" s="754"/>
      <c r="F8" s="754"/>
      <c r="G8" s="187" t="s">
        <v>133</v>
      </c>
    </row>
    <row r="9" spans="1:7" ht="15.75">
      <c r="A9" s="188" t="s">
        <v>9</v>
      </c>
      <c r="B9" s="189" t="s">
        <v>137</v>
      </c>
      <c r="C9" s="81"/>
      <c r="D9" s="81"/>
      <c r="E9" s="81"/>
      <c r="F9" s="81"/>
      <c r="G9" s="81"/>
    </row>
    <row r="10" spans="1:7" ht="15.75">
      <c r="A10" s="190" t="s">
        <v>931</v>
      </c>
      <c r="B10" s="120" t="s">
        <v>932</v>
      </c>
      <c r="C10" s="120"/>
      <c r="D10" s="120">
        <v>405052</v>
      </c>
      <c r="E10" s="120">
        <v>206900</v>
      </c>
      <c r="F10" s="120"/>
      <c r="G10" s="164" t="str">
        <f>IF(AND(D10=0,F10&gt;=0)," ",IF(AND(E10&gt;0,F10=0)," ",IF(AND(E10&gt;0,F10&gt;0),ROUND(E10/F10*1000,3))))</f>
        <v> </v>
      </c>
    </row>
    <row r="11" spans="1:7" ht="15.75">
      <c r="A11" s="120"/>
      <c r="B11" s="120"/>
      <c r="C11" s="120"/>
      <c r="D11" s="120"/>
      <c r="E11" s="120"/>
      <c r="F11" s="120"/>
      <c r="G11" s="164" t="str">
        <f aca="true" t="shared" si="0" ref="G11:G38">IF(AND(D11=0,F11&gt;=0)," ",IF(AND(E11&gt;0,F11=0)," ",IF(AND(E11&gt;0,F11&gt;0),ROUND(E11/F11*1000,3))))</f>
        <v> </v>
      </c>
    </row>
    <row r="12" spans="1:7" ht="15.75">
      <c r="A12" s="120"/>
      <c r="B12" s="120"/>
      <c r="C12" s="120"/>
      <c r="D12" s="120"/>
      <c r="E12" s="120"/>
      <c r="F12" s="120"/>
      <c r="G12" s="164" t="str">
        <f t="shared" si="0"/>
        <v> </v>
      </c>
    </row>
    <row r="13" spans="1:7" ht="15.75">
      <c r="A13" s="120"/>
      <c r="B13" s="120"/>
      <c r="C13" s="120"/>
      <c r="D13" s="120"/>
      <c r="E13" s="120"/>
      <c r="F13" s="120"/>
      <c r="G13" s="164" t="str">
        <f t="shared" si="0"/>
        <v> </v>
      </c>
    </row>
    <row r="14" spans="1:7" ht="15.75">
      <c r="A14" s="120"/>
      <c r="B14" s="120"/>
      <c r="C14" s="120"/>
      <c r="D14" s="120"/>
      <c r="E14" s="120"/>
      <c r="F14" s="120"/>
      <c r="G14" s="164" t="str">
        <f t="shared" si="0"/>
        <v> </v>
      </c>
    </row>
    <row r="15" spans="1:7" ht="15.75">
      <c r="A15" s="120"/>
      <c r="B15" s="120"/>
      <c r="C15" s="120"/>
      <c r="D15" s="120"/>
      <c r="E15" s="120"/>
      <c r="F15" s="120"/>
      <c r="G15" s="164" t="str">
        <f t="shared" si="0"/>
        <v> </v>
      </c>
    </row>
    <row r="16" spans="1:7" ht="15.75">
      <c r="A16" s="120"/>
      <c r="B16" s="120"/>
      <c r="C16" s="120"/>
      <c r="D16" s="120"/>
      <c r="E16" s="120"/>
      <c r="F16" s="120"/>
      <c r="G16" s="164" t="str">
        <f t="shared" si="0"/>
        <v> </v>
      </c>
    </row>
    <row r="17" spans="1:7" ht="15.75">
      <c r="A17" s="120"/>
      <c r="B17" s="120"/>
      <c r="C17" s="120"/>
      <c r="D17" s="120"/>
      <c r="E17" s="120"/>
      <c r="F17" s="120"/>
      <c r="G17" s="164" t="str">
        <f t="shared" si="0"/>
        <v> </v>
      </c>
    </row>
    <row r="18" spans="1:7" ht="15.75">
      <c r="A18" s="120"/>
      <c r="B18" s="120"/>
      <c r="C18" s="120"/>
      <c r="D18" s="120"/>
      <c r="E18" s="120"/>
      <c r="F18" s="120"/>
      <c r="G18" s="164" t="str">
        <f t="shared" si="0"/>
        <v> </v>
      </c>
    </row>
    <row r="19" spans="1:7" ht="15.75">
      <c r="A19" s="120"/>
      <c r="B19" s="120"/>
      <c r="C19" s="120"/>
      <c r="D19" s="120"/>
      <c r="E19" s="120"/>
      <c r="F19" s="120"/>
      <c r="G19" s="164" t="str">
        <f t="shared" si="0"/>
        <v> </v>
      </c>
    </row>
    <row r="20" spans="1:7" ht="15.75">
      <c r="A20" s="120"/>
      <c r="B20" s="120"/>
      <c r="C20" s="120"/>
      <c r="D20" s="120"/>
      <c r="E20" s="120"/>
      <c r="F20" s="120"/>
      <c r="G20" s="164" t="str">
        <f t="shared" si="0"/>
        <v> </v>
      </c>
    </row>
    <row r="21" spans="1:7" ht="15.75">
      <c r="A21" s="120"/>
      <c r="B21" s="120"/>
      <c r="C21" s="120"/>
      <c r="D21" s="120"/>
      <c r="E21" s="120"/>
      <c r="F21" s="120"/>
      <c r="G21" s="164" t="str">
        <f t="shared" si="0"/>
        <v> </v>
      </c>
    </row>
    <row r="22" spans="1:7" ht="15.75">
      <c r="A22" s="120"/>
      <c r="B22" s="120"/>
      <c r="C22" s="120"/>
      <c r="D22" s="120"/>
      <c r="E22" s="120"/>
      <c r="F22" s="120"/>
      <c r="G22" s="164" t="str">
        <f t="shared" si="0"/>
        <v> </v>
      </c>
    </row>
    <row r="23" spans="1:7" ht="15.75">
      <c r="A23" s="120"/>
      <c r="B23" s="120"/>
      <c r="C23" s="120"/>
      <c r="D23" s="120"/>
      <c r="E23" s="120"/>
      <c r="F23" s="120"/>
      <c r="G23" s="164" t="str">
        <f t="shared" si="0"/>
        <v> </v>
      </c>
    </row>
    <row r="24" spans="1:7" ht="15.75">
      <c r="A24" s="120"/>
      <c r="B24" s="120"/>
      <c r="C24" s="120"/>
      <c r="D24" s="120"/>
      <c r="E24" s="120"/>
      <c r="F24" s="120"/>
      <c r="G24" s="164" t="str">
        <f t="shared" si="0"/>
        <v> </v>
      </c>
    </row>
    <row r="25" spans="1:7" ht="15.75">
      <c r="A25" s="120"/>
      <c r="B25" s="120"/>
      <c r="C25" s="120"/>
      <c r="D25" s="120"/>
      <c r="E25" s="120"/>
      <c r="F25" s="120"/>
      <c r="G25" s="164" t="str">
        <f t="shared" si="0"/>
        <v> </v>
      </c>
    </row>
    <row r="26" spans="1:7" ht="15.75">
      <c r="A26" s="120"/>
      <c r="B26" s="120"/>
      <c r="C26" s="120"/>
      <c r="D26" s="120"/>
      <c r="E26" s="120"/>
      <c r="F26" s="120"/>
      <c r="G26" s="164" t="str">
        <f t="shared" si="0"/>
        <v> </v>
      </c>
    </row>
    <row r="27" spans="1:7" ht="15.75">
      <c r="A27" s="120"/>
      <c r="B27" s="120"/>
      <c r="C27" s="120"/>
      <c r="D27" s="120"/>
      <c r="E27" s="120"/>
      <c r="F27" s="120"/>
      <c r="G27" s="164" t="str">
        <f t="shared" si="0"/>
        <v> </v>
      </c>
    </row>
    <row r="28" spans="1:7" ht="15.75">
      <c r="A28" s="120"/>
      <c r="B28" s="120"/>
      <c r="C28" s="120"/>
      <c r="D28" s="120"/>
      <c r="E28" s="120"/>
      <c r="F28" s="120"/>
      <c r="G28" s="164" t="str">
        <f t="shared" si="0"/>
        <v> </v>
      </c>
    </row>
    <row r="29" spans="1:7" ht="15.75">
      <c r="A29" s="120"/>
      <c r="B29" s="84"/>
      <c r="C29" s="120"/>
      <c r="D29" s="120"/>
      <c r="E29" s="84"/>
      <c r="F29" s="84"/>
      <c r="G29" s="164" t="str">
        <f t="shared" si="0"/>
        <v> </v>
      </c>
    </row>
    <row r="30" spans="1:7" ht="15.75">
      <c r="A30" s="120"/>
      <c r="B30" s="84"/>
      <c r="C30" s="120"/>
      <c r="D30" s="120"/>
      <c r="E30" s="84"/>
      <c r="F30" s="84"/>
      <c r="G30" s="164" t="str">
        <f t="shared" si="0"/>
        <v> </v>
      </c>
    </row>
    <row r="31" spans="1:7" ht="15.75">
      <c r="A31" s="120"/>
      <c r="B31" s="84"/>
      <c r="C31" s="120"/>
      <c r="D31" s="120"/>
      <c r="E31" s="84"/>
      <c r="F31" s="84"/>
      <c r="G31" s="164" t="str">
        <f t="shared" si="0"/>
        <v> </v>
      </c>
    </row>
    <row r="32" spans="1:7" ht="15.75">
      <c r="A32" s="120"/>
      <c r="B32" s="84"/>
      <c r="C32" s="120"/>
      <c r="D32" s="120"/>
      <c r="E32" s="84"/>
      <c r="F32" s="84"/>
      <c r="G32" s="164" t="str">
        <f t="shared" si="0"/>
        <v> </v>
      </c>
    </row>
    <row r="33" spans="1:7" ht="15.75">
      <c r="A33" s="120"/>
      <c r="B33" s="84"/>
      <c r="C33" s="120"/>
      <c r="D33" s="120"/>
      <c r="E33" s="84"/>
      <c r="F33" s="84"/>
      <c r="G33" s="164" t="str">
        <f t="shared" si="0"/>
        <v> </v>
      </c>
    </row>
    <row r="34" spans="1:7" ht="15.75">
      <c r="A34" s="120"/>
      <c r="B34" s="84"/>
      <c r="C34" s="120"/>
      <c r="D34" s="120"/>
      <c r="E34" s="84"/>
      <c r="F34" s="84"/>
      <c r="G34" s="164" t="str">
        <f t="shared" si="0"/>
        <v> </v>
      </c>
    </row>
    <row r="35" spans="1:7" ht="15.75">
      <c r="A35" s="120"/>
      <c r="B35" s="84"/>
      <c r="C35" s="120"/>
      <c r="D35" s="120"/>
      <c r="E35" s="84"/>
      <c r="F35" s="84"/>
      <c r="G35" s="164" t="str">
        <f t="shared" si="0"/>
        <v> </v>
      </c>
    </row>
    <row r="36" spans="1:7" ht="15.75">
      <c r="A36" s="120"/>
      <c r="B36" s="84"/>
      <c r="C36" s="120"/>
      <c r="D36" s="120"/>
      <c r="E36" s="84"/>
      <c r="F36" s="84"/>
      <c r="G36" s="164" t="str">
        <f t="shared" si="0"/>
        <v> </v>
      </c>
    </row>
    <row r="37" spans="1:7" ht="15.75">
      <c r="A37" s="120"/>
      <c r="B37" s="84"/>
      <c r="C37" s="120"/>
      <c r="D37" s="120"/>
      <c r="E37" s="84"/>
      <c r="F37" s="84"/>
      <c r="G37" s="164" t="str">
        <f t="shared" si="0"/>
        <v> </v>
      </c>
    </row>
    <row r="38" spans="1:7" ht="15.75">
      <c r="A38" s="120"/>
      <c r="B38" s="84"/>
      <c r="C38" s="120"/>
      <c r="D38" s="120"/>
      <c r="E38" s="84"/>
      <c r="F38" s="84"/>
      <c r="G38" s="164" t="str">
        <f t="shared" si="0"/>
        <v> </v>
      </c>
    </row>
    <row r="39" spans="1:7" ht="16.5" thickBot="1">
      <c r="A39" s="121" t="s">
        <v>138</v>
      </c>
      <c r="B39" s="88"/>
      <c r="C39" s="191" t="s">
        <v>139</v>
      </c>
      <c r="D39" s="192">
        <f>SUM(D10:D38)</f>
        <v>405052</v>
      </c>
      <c r="E39" s="192">
        <f>SUM(E10:E38)</f>
        <v>206900</v>
      </c>
      <c r="F39" s="192"/>
      <c r="G39" s="193">
        <f>SUM(G10:G38)</f>
        <v>0</v>
      </c>
    </row>
    <row r="40" spans="1:7" ht="16.5" thickTop="1">
      <c r="A40" s="94"/>
      <c r="B40" s="61"/>
      <c r="C40" s="194"/>
      <c r="D40" s="60"/>
      <c r="E40" s="60"/>
      <c r="F40" s="60"/>
      <c r="G40" s="60"/>
    </row>
    <row r="41" spans="1:7" ht="15.75">
      <c r="A41" s="94"/>
      <c r="B41" s="60"/>
      <c r="C41" s="60"/>
      <c r="D41" s="60"/>
      <c r="E41" s="60"/>
      <c r="F41" s="60"/>
      <c r="G41" s="60"/>
    </row>
    <row r="42" spans="1:7" ht="15.75">
      <c r="A42" s="195"/>
      <c r="B42" s="116"/>
      <c r="C42" s="116"/>
      <c r="D42" s="116"/>
      <c r="E42" s="116"/>
      <c r="F42" s="116"/>
      <c r="G42" s="116"/>
    </row>
    <row r="43" spans="1:7" ht="15.75">
      <c r="A43" s="196"/>
      <c r="B43" s="196"/>
      <c r="C43" s="196"/>
      <c r="D43" s="196"/>
      <c r="E43" s="196"/>
      <c r="F43" s="196"/>
      <c r="G43" s="196"/>
    </row>
    <row r="44" spans="1:7" ht="15.75">
      <c r="A44" s="116"/>
      <c r="B44" s="116"/>
      <c r="C44" s="116"/>
      <c r="D44" s="116"/>
      <c r="E44" s="116"/>
      <c r="F44" s="116"/>
      <c r="G44" s="197"/>
    </row>
    <row r="54" spans="1:7" ht="15.75">
      <c r="A54" s="116"/>
      <c r="B54" s="116"/>
      <c r="C54" s="116"/>
      <c r="D54" s="116"/>
      <c r="E54" s="116"/>
      <c r="F54" s="116"/>
      <c r="G54" s="116"/>
    </row>
    <row r="58" spans="1:7" ht="15.75">
      <c r="A58" s="116"/>
      <c r="B58" s="116"/>
      <c r="C58" s="116"/>
      <c r="D58" s="195"/>
      <c r="E58" s="116"/>
      <c r="F58" s="116"/>
      <c r="G58" s="116"/>
    </row>
  </sheetData>
  <sheetProtection sheet="1"/>
  <mergeCells count="3">
    <mergeCell ref="E7:E8"/>
    <mergeCell ref="F7:F8"/>
    <mergeCell ref="A4:G4"/>
  </mergeCells>
  <printOptions/>
  <pageMargins left="0.5" right="0.5" top="0" bottom="0.23" header="0" footer="0"/>
  <pageSetup blackAndWhite="1" fitToHeight="1" fitToWidth="1" horizontalDpi="120" verticalDpi="120" orientation="portrait" scale="85" r:id="rId1"/>
  <headerFooter alignWithMargins="0">
    <oddHeader>&amp;RState of Kansas
County
</oddHeader>
    <oddFooter>&amp;CPage No. 1a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22">
      <selection activeCell="E28" sqref="E28"/>
    </sheetView>
  </sheetViews>
  <sheetFormatPr defaultColWidth="8.796875" defaultRowHeight="15.75" customHeight="1"/>
  <cols>
    <col min="1" max="2" width="3.296875" style="48" customWidth="1"/>
    <col min="3" max="3" width="31.296875" style="48" customWidth="1"/>
    <col min="4" max="4" width="2.296875" style="48" customWidth="1"/>
    <col min="5" max="5" width="15.796875" style="48" customWidth="1"/>
    <col min="6" max="6" width="2" style="48" customWidth="1"/>
    <col min="7" max="7" width="15.796875" style="48" customWidth="1"/>
    <col min="8" max="8" width="1.8984375" style="48" customWidth="1"/>
    <col min="9" max="9" width="1.796875" style="48" customWidth="1"/>
    <col min="10" max="10" width="15.796875" style="48" customWidth="1"/>
    <col min="11" max="16384" width="8.8984375" style="48" customWidth="1"/>
  </cols>
  <sheetData>
    <row r="1" spans="1:10" ht="15.75" customHeight="1">
      <c r="A1" s="60"/>
      <c r="B1" s="60"/>
      <c r="C1" s="198" t="str">
        <f>inputPrYr!C2</f>
        <v>Sheridan County</v>
      </c>
      <c r="D1" s="60"/>
      <c r="E1" s="60"/>
      <c r="F1" s="60"/>
      <c r="G1" s="60"/>
      <c r="H1" s="60"/>
      <c r="I1" s="60"/>
      <c r="J1" s="60">
        <f>inputPrYr!C4</f>
        <v>2015</v>
      </c>
    </row>
    <row r="2" spans="1:10" ht="15.75" customHeight="1">
      <c r="A2" s="60"/>
      <c r="B2" s="60"/>
      <c r="C2" s="60"/>
      <c r="D2" s="60"/>
      <c r="E2" s="60"/>
      <c r="F2" s="60"/>
      <c r="G2" s="60"/>
      <c r="H2" s="60"/>
      <c r="I2" s="60"/>
      <c r="J2" s="60"/>
    </row>
    <row r="3" spans="1:10" ht="15.75">
      <c r="A3" s="747" t="str">
        <f>CONCATENATE("Computation to Determine Limit for ",J1,"")</f>
        <v>Computation to Determine Limit for 2015</v>
      </c>
      <c r="B3" s="775"/>
      <c r="C3" s="775"/>
      <c r="D3" s="775"/>
      <c r="E3" s="775"/>
      <c r="F3" s="775"/>
      <c r="G3" s="775"/>
      <c r="H3" s="775"/>
      <c r="I3" s="775"/>
      <c r="J3" s="775"/>
    </row>
    <row r="4" spans="1:10" ht="15.75">
      <c r="A4" s="60"/>
      <c r="B4" s="60"/>
      <c r="C4" s="60"/>
      <c r="D4" s="60"/>
      <c r="E4" s="775"/>
      <c r="F4" s="775"/>
      <c r="G4" s="775"/>
      <c r="H4" s="199"/>
      <c r="I4" s="60"/>
      <c r="J4" s="200" t="s">
        <v>233</v>
      </c>
    </row>
    <row r="5" spans="1:10" ht="15.75">
      <c r="A5" s="201" t="s">
        <v>234</v>
      </c>
      <c r="B5" s="60" t="str">
        <f>CONCATENATE("Total tax levy amount in ",J1-1," budget")</f>
        <v>Total tax levy amount in 2014 budget</v>
      </c>
      <c r="C5" s="60"/>
      <c r="D5" s="60"/>
      <c r="E5" s="118"/>
      <c r="F5" s="118"/>
      <c r="G5" s="118"/>
      <c r="H5" s="202" t="s">
        <v>235</v>
      </c>
      <c r="I5" s="118" t="s">
        <v>236</v>
      </c>
      <c r="J5" s="203">
        <f>inputPrYr!E41</f>
        <v>4538667</v>
      </c>
    </row>
    <row r="6" spans="1:10" ht="15.75">
      <c r="A6" s="201" t="s">
        <v>237</v>
      </c>
      <c r="B6" s="60" t="str">
        <f>CONCATENATE("Debt service levy in ",J1-1," budget")</f>
        <v>Debt service levy in 2014 budget</v>
      </c>
      <c r="C6" s="60"/>
      <c r="D6" s="60"/>
      <c r="E6" s="118"/>
      <c r="F6" s="118"/>
      <c r="G6" s="118"/>
      <c r="H6" s="202" t="s">
        <v>238</v>
      </c>
      <c r="I6" s="118" t="s">
        <v>236</v>
      </c>
      <c r="J6" s="124">
        <f>inputPrYr!E17</f>
        <v>0</v>
      </c>
    </row>
    <row r="7" spans="1:10" ht="15.75">
      <c r="A7" s="201" t="s">
        <v>239</v>
      </c>
      <c r="B7" s="60" t="s">
        <v>858</v>
      </c>
      <c r="C7" s="60"/>
      <c r="D7" s="60"/>
      <c r="E7" s="118"/>
      <c r="F7" s="118"/>
      <c r="G7" s="118"/>
      <c r="H7" s="118"/>
      <c r="I7" s="118" t="s">
        <v>236</v>
      </c>
      <c r="J7" s="124">
        <f>J5-J6</f>
        <v>4538667</v>
      </c>
    </row>
    <row r="8" spans="1:10" ht="15.75">
      <c r="A8" s="60"/>
      <c r="B8" s="60"/>
      <c r="C8" s="60"/>
      <c r="D8" s="60"/>
      <c r="E8" s="118"/>
      <c r="F8" s="118"/>
      <c r="G8" s="118"/>
      <c r="H8" s="118"/>
      <c r="I8" s="118"/>
      <c r="J8" s="118"/>
    </row>
    <row r="9" spans="1:10" ht="15.75">
      <c r="A9" s="775" t="str">
        <f>CONCATENATE("",J1-1," Valuation Information for Valuation Adjustments")</f>
        <v>2014 Valuation Information for Valuation Adjustments</v>
      </c>
      <c r="B9" s="767"/>
      <c r="C9" s="767"/>
      <c r="D9" s="767"/>
      <c r="E9" s="767"/>
      <c r="F9" s="767"/>
      <c r="G9" s="767"/>
      <c r="H9" s="767"/>
      <c r="I9" s="767"/>
      <c r="J9" s="767"/>
    </row>
    <row r="10" spans="1:10" ht="15.75">
      <c r="A10" s="60"/>
      <c r="B10" s="60"/>
      <c r="C10" s="60"/>
      <c r="D10" s="60"/>
      <c r="E10" s="118"/>
      <c r="F10" s="118"/>
      <c r="G10" s="118"/>
      <c r="H10" s="118"/>
      <c r="I10" s="118"/>
      <c r="J10" s="118"/>
    </row>
    <row r="11" spans="1:10" ht="15.75">
      <c r="A11" s="201" t="s">
        <v>240</v>
      </c>
      <c r="B11" s="60" t="str">
        <f>CONCATENATE("New improvements for ",J1-1,":")</f>
        <v>New improvements for 2014:</v>
      </c>
      <c r="C11" s="60"/>
      <c r="D11" s="60"/>
      <c r="E11" s="202"/>
      <c r="F11" s="202" t="s">
        <v>235</v>
      </c>
      <c r="G11" s="203">
        <f>inputOth!E7</f>
        <v>521580</v>
      </c>
      <c r="H11" s="96"/>
      <c r="I11" s="118"/>
      <c r="J11" s="118"/>
    </row>
    <row r="12" spans="1:10" ht="15.75">
      <c r="A12" s="201"/>
      <c r="B12" s="201"/>
      <c r="C12" s="60"/>
      <c r="D12" s="60"/>
      <c r="E12" s="202"/>
      <c r="F12" s="202"/>
      <c r="G12" s="96"/>
      <c r="H12" s="96"/>
      <c r="I12" s="118"/>
      <c r="J12" s="118"/>
    </row>
    <row r="13" spans="1:10" ht="15.75">
      <c r="A13" s="201" t="s">
        <v>241</v>
      </c>
      <c r="B13" s="60" t="str">
        <f>CONCATENATE("Increase in personal property for ",J1-1,":")</f>
        <v>Increase in personal property for 2014:</v>
      </c>
      <c r="C13" s="60"/>
      <c r="D13" s="60"/>
      <c r="E13" s="202"/>
      <c r="F13" s="202"/>
      <c r="G13" s="96"/>
      <c r="H13" s="96"/>
      <c r="I13" s="118"/>
      <c r="J13" s="118"/>
    </row>
    <row r="14" spans="1:10" ht="15.75">
      <c r="A14" s="60"/>
      <c r="B14" s="60" t="s">
        <v>242</v>
      </c>
      <c r="C14" s="60" t="str">
        <f>CONCATENATE("Personal property ",J1-1,"")</f>
        <v>Personal property 2014</v>
      </c>
      <c r="D14" s="201" t="s">
        <v>235</v>
      </c>
      <c r="E14" s="203">
        <f>inputOth!E8</f>
        <v>1309590</v>
      </c>
      <c r="F14" s="202"/>
      <c r="G14" s="118"/>
      <c r="H14" s="118"/>
      <c r="I14" s="96"/>
      <c r="J14" s="118"/>
    </row>
    <row r="15" spans="1:10" ht="15.75">
      <c r="A15" s="201"/>
      <c r="B15" s="60" t="s">
        <v>243</v>
      </c>
      <c r="C15" s="60" t="str">
        <f>CONCATENATE("Personal property ",J1-2,"")</f>
        <v>Personal property 2013</v>
      </c>
      <c r="D15" s="201" t="s">
        <v>238</v>
      </c>
      <c r="E15" s="124">
        <f>inputOth!E10</f>
        <v>1988367</v>
      </c>
      <c r="F15" s="202"/>
      <c r="G15" s="96"/>
      <c r="H15" s="96"/>
      <c r="I15" s="118"/>
      <c r="J15" s="118"/>
    </row>
    <row r="16" spans="1:10" ht="15.75">
      <c r="A16" s="201"/>
      <c r="B16" s="60" t="s">
        <v>244</v>
      </c>
      <c r="C16" s="60" t="s">
        <v>859</v>
      </c>
      <c r="D16" s="60"/>
      <c r="E16" s="118"/>
      <c r="F16" s="118" t="s">
        <v>235</v>
      </c>
      <c r="G16" s="203">
        <f>IF(E14&gt;E15,E14-E15,0)</f>
        <v>0</v>
      </c>
      <c r="H16" s="96"/>
      <c r="I16" s="118"/>
      <c r="J16" s="118"/>
    </row>
    <row r="17" spans="1:10" ht="15.75">
      <c r="A17" s="201"/>
      <c r="B17" s="201"/>
      <c r="C17" s="60"/>
      <c r="D17" s="60"/>
      <c r="E17" s="118"/>
      <c r="F17" s="118"/>
      <c r="G17" s="96" t="s">
        <v>250</v>
      </c>
      <c r="H17" s="96"/>
      <c r="I17" s="118"/>
      <c r="J17" s="118"/>
    </row>
    <row r="18" spans="1:10" ht="15.75">
      <c r="A18" s="201"/>
      <c r="B18" s="201"/>
      <c r="C18" s="60"/>
      <c r="D18" s="201"/>
      <c r="E18" s="96"/>
      <c r="F18" s="118"/>
      <c r="G18" s="96"/>
      <c r="H18" s="96"/>
      <c r="I18" s="118"/>
      <c r="J18" s="118"/>
    </row>
    <row r="19" spans="1:10" ht="15.75">
      <c r="A19" s="201" t="s">
        <v>245</v>
      </c>
      <c r="B19" s="60" t="str">
        <f>CONCATENATE("Valuation of property that has changed in use during ",J1-1,":")</f>
        <v>Valuation of property that has changed in use during 2014:</v>
      </c>
      <c r="C19" s="60"/>
      <c r="D19" s="60"/>
      <c r="E19" s="118"/>
      <c r="F19" s="118"/>
      <c r="G19" s="118">
        <f>inputOth!E9</f>
        <v>85630</v>
      </c>
      <c r="H19" s="118"/>
      <c r="I19" s="118"/>
      <c r="J19" s="118"/>
    </row>
    <row r="20" spans="1:10" ht="15.75">
      <c r="A20" s="201"/>
      <c r="B20" s="60"/>
      <c r="C20" s="60"/>
      <c r="D20" s="201"/>
      <c r="E20" s="96"/>
      <c r="F20" s="118"/>
      <c r="G20" s="668"/>
      <c r="H20" s="96"/>
      <c r="I20" s="118"/>
      <c r="J20" s="118"/>
    </row>
    <row r="21" spans="1:10" ht="15.75">
      <c r="A21" s="201" t="s">
        <v>253</v>
      </c>
      <c r="B21" s="60" t="s">
        <v>860</v>
      </c>
      <c r="C21" s="60"/>
      <c r="D21" s="60"/>
      <c r="E21" s="118"/>
      <c r="F21" s="118"/>
      <c r="G21" s="203">
        <f>G11+G16+G19</f>
        <v>607210</v>
      </c>
      <c r="H21" s="96"/>
      <c r="I21" s="118"/>
      <c r="J21" s="118"/>
    </row>
    <row r="22" spans="1:10" ht="15.75">
      <c r="A22" s="201"/>
      <c r="B22" s="201"/>
      <c r="C22" s="60"/>
      <c r="D22" s="60"/>
      <c r="E22" s="118"/>
      <c r="F22" s="118"/>
      <c r="G22" s="96"/>
      <c r="H22" s="96"/>
      <c r="I22" s="118"/>
      <c r="J22" s="118"/>
    </row>
    <row r="23" spans="1:10" ht="15.75">
      <c r="A23" s="201" t="s">
        <v>254</v>
      </c>
      <c r="B23" s="60" t="str">
        <f>CONCATENATE("Total estimated valuation July 1,",J1-1,"")</f>
        <v>Total estimated valuation July 1,2014</v>
      </c>
      <c r="C23" s="60"/>
      <c r="D23" s="60"/>
      <c r="E23" s="203">
        <f>inputOth!E6</f>
        <v>53126451</v>
      </c>
      <c r="F23" s="118"/>
      <c r="G23" s="118"/>
      <c r="H23" s="118"/>
      <c r="I23" s="202"/>
      <c r="J23" s="118"/>
    </row>
    <row r="24" spans="1:10" ht="15.75">
      <c r="A24" s="201"/>
      <c r="B24" s="201"/>
      <c r="C24" s="60"/>
      <c r="D24" s="60"/>
      <c r="E24" s="96"/>
      <c r="F24" s="118"/>
      <c r="G24" s="118"/>
      <c r="H24" s="118"/>
      <c r="I24" s="202"/>
      <c r="J24" s="118"/>
    </row>
    <row r="25" spans="1:10" ht="15.75">
      <c r="A25" s="201" t="s">
        <v>246</v>
      </c>
      <c r="B25" s="60" t="s">
        <v>861</v>
      </c>
      <c r="C25" s="60"/>
      <c r="D25" s="60"/>
      <c r="E25" s="118"/>
      <c r="F25" s="118"/>
      <c r="G25" s="203">
        <f>E23-G21</f>
        <v>52519241</v>
      </c>
      <c r="H25" s="96"/>
      <c r="I25" s="202"/>
      <c r="J25" s="118"/>
    </row>
    <row r="26" spans="1:10" ht="15.75">
      <c r="A26" s="201"/>
      <c r="B26" s="201"/>
      <c r="C26" s="60"/>
      <c r="D26" s="60"/>
      <c r="E26" s="60"/>
      <c r="F26" s="60"/>
      <c r="G26" s="671"/>
      <c r="H26" s="582"/>
      <c r="I26" s="201"/>
      <c r="J26" s="60"/>
    </row>
    <row r="27" spans="1:10" ht="15.75">
      <c r="A27" s="201" t="s">
        <v>247</v>
      </c>
      <c r="B27" s="60" t="s">
        <v>862</v>
      </c>
      <c r="C27" s="60"/>
      <c r="D27" s="60"/>
      <c r="E27" s="60"/>
      <c r="F27" s="60"/>
      <c r="G27" s="669">
        <f>IF(G21&gt;0,G21/G25,0)</f>
        <v>0.011561667465834093</v>
      </c>
      <c r="H27" s="582"/>
      <c r="I27" s="60"/>
      <c r="J27" s="60"/>
    </row>
    <row r="28" spans="1:10" ht="15.75">
      <c r="A28" s="201"/>
      <c r="B28" s="201"/>
      <c r="C28" s="60"/>
      <c r="D28" s="60"/>
      <c r="E28" s="60"/>
      <c r="F28" s="60"/>
      <c r="G28" s="582"/>
      <c r="H28" s="582"/>
      <c r="I28" s="60"/>
      <c r="J28" s="60"/>
    </row>
    <row r="29" spans="1:10" ht="15.75">
      <c r="A29" s="201" t="s">
        <v>248</v>
      </c>
      <c r="B29" s="60" t="s">
        <v>863</v>
      </c>
      <c r="C29" s="60"/>
      <c r="D29" s="60"/>
      <c r="E29" s="60"/>
      <c r="F29" s="60"/>
      <c r="G29" s="582"/>
      <c r="H29" s="204" t="s">
        <v>235</v>
      </c>
      <c r="I29" s="60" t="s">
        <v>236</v>
      </c>
      <c r="J29" s="203">
        <f>ROUND(G27*J7,0)</f>
        <v>52475</v>
      </c>
    </row>
    <row r="30" spans="1:10" ht="15.75">
      <c r="A30" s="201"/>
      <c r="B30" s="201"/>
      <c r="C30" s="60"/>
      <c r="D30" s="60"/>
      <c r="E30" s="60"/>
      <c r="F30" s="60"/>
      <c r="G30" s="582"/>
      <c r="H30" s="204"/>
      <c r="I30" s="60"/>
      <c r="J30" s="96"/>
    </row>
    <row r="31" spans="1:10" ht="16.5" thickBot="1">
      <c r="A31" s="201" t="s">
        <v>249</v>
      </c>
      <c r="B31" s="60" t="str">
        <f>CONCATENATE(J1," budget tax levy, excluding debt service, prior to CPI adjustment (3 plus 11)")</f>
        <v>2015 budget tax levy, excluding debt service, prior to CPI adjustment (3 plus 11)</v>
      </c>
      <c r="C31" s="60"/>
      <c r="D31" s="60"/>
      <c r="E31" s="60"/>
      <c r="F31" s="60"/>
      <c r="G31" s="60"/>
      <c r="H31" s="60"/>
      <c r="I31" s="60" t="s">
        <v>236</v>
      </c>
      <c r="J31" s="670">
        <f>J7+J29</f>
        <v>4591142</v>
      </c>
    </row>
    <row r="32" spans="1:10" ht="16.5" thickTop="1">
      <c r="A32" s="60"/>
      <c r="B32" s="60"/>
      <c r="C32" s="60"/>
      <c r="D32" s="60"/>
      <c r="E32" s="60"/>
      <c r="F32" s="60"/>
      <c r="G32" s="60"/>
      <c r="H32" s="60"/>
      <c r="I32" s="60"/>
      <c r="J32" s="60"/>
    </row>
    <row r="33" spans="1:10" ht="15.75">
      <c r="A33" s="201" t="s">
        <v>257</v>
      </c>
      <c r="B33" s="60" t="str">
        <f>CONCATENATE("Debt service levy in this ",J1," budget")</f>
        <v>Debt service levy in this 2015 budget</v>
      </c>
      <c r="C33" s="60"/>
      <c r="D33" s="60"/>
      <c r="E33" s="60"/>
      <c r="F33" s="60"/>
      <c r="G33" s="60"/>
      <c r="H33" s="60"/>
      <c r="I33" s="60"/>
      <c r="J33" s="203">
        <v>0</v>
      </c>
    </row>
    <row r="34" spans="1:10" ht="15.75">
      <c r="A34" s="201"/>
      <c r="B34" s="60"/>
      <c r="C34" s="60"/>
      <c r="D34" s="60"/>
      <c r="E34" s="60"/>
      <c r="F34" s="60"/>
      <c r="G34" s="60"/>
      <c r="H34" s="60"/>
      <c r="I34" s="60"/>
      <c r="J34" s="582"/>
    </row>
    <row r="35" spans="1:10" ht="16.5" thickBot="1">
      <c r="A35" s="201" t="s">
        <v>258</v>
      </c>
      <c r="B35" s="60" t="str">
        <f>CONCATENATE(J1," budget tax levy, including debt service, prior to CPI adjustment (12 plus 13)")</f>
        <v>2015 budget tax levy, including debt service, prior to CPI adjustment (12 plus 13)</v>
      </c>
      <c r="C35" s="60"/>
      <c r="D35" s="60"/>
      <c r="E35" s="60"/>
      <c r="F35" s="60"/>
      <c r="G35" s="60"/>
      <c r="H35" s="60"/>
      <c r="I35" s="60"/>
      <c r="J35" s="670">
        <f>J31+J33</f>
        <v>4591142</v>
      </c>
    </row>
    <row r="36" spans="1:10" ht="16.5" thickTop="1">
      <c r="A36" s="677"/>
      <c r="B36" s="676"/>
      <c r="C36" s="676"/>
      <c r="D36" s="676"/>
      <c r="E36" s="676"/>
      <c r="F36" s="676"/>
      <c r="G36" s="676"/>
      <c r="H36" s="676"/>
      <c r="I36" s="676"/>
      <c r="J36" s="674"/>
    </row>
    <row r="37" spans="1:10" ht="15.75">
      <c r="A37" s="679" t="s">
        <v>853</v>
      </c>
      <c r="B37" s="676" t="str">
        <f>CONCATENATE("Consumer Price Index for all urban consumers for calendar year ",J1-2)</f>
        <v>Consumer Price Index for all urban consumers for calendar year 2013</v>
      </c>
      <c r="C37" s="676"/>
      <c r="D37" s="676"/>
      <c r="E37" s="676"/>
      <c r="F37" s="676"/>
      <c r="G37" s="676"/>
      <c r="H37" s="676"/>
      <c r="I37" s="676"/>
      <c r="J37" s="680">
        <v>0.015</v>
      </c>
    </row>
    <row r="38" spans="1:10" ht="15.75">
      <c r="A38" s="679"/>
      <c r="B38" s="676"/>
      <c r="C38" s="676"/>
      <c r="D38" s="676"/>
      <c r="E38" s="676"/>
      <c r="F38" s="676"/>
      <c r="G38" s="676"/>
      <c r="H38" s="676"/>
      <c r="I38" s="676"/>
      <c r="J38" s="681"/>
    </row>
    <row r="39" spans="1:10" ht="15.75">
      <c r="A39" s="679" t="s">
        <v>854</v>
      </c>
      <c r="B39" s="676" t="s">
        <v>887</v>
      </c>
      <c r="C39" s="676"/>
      <c r="D39" s="676"/>
      <c r="E39" s="676"/>
      <c r="F39" s="676"/>
      <c r="G39" s="676"/>
      <c r="H39" s="676"/>
      <c r="I39" s="675" t="s">
        <v>236</v>
      </c>
      <c r="J39" s="673">
        <f>J7*J37</f>
        <v>68080.005</v>
      </c>
    </row>
    <row r="40" spans="1:10" ht="15.75">
      <c r="A40" s="677"/>
      <c r="B40" s="676"/>
      <c r="C40" s="676"/>
      <c r="D40" s="676"/>
      <c r="E40" s="676"/>
      <c r="F40" s="676"/>
      <c r="G40" s="676"/>
      <c r="H40" s="676"/>
      <c r="I40" s="676"/>
      <c r="J40" s="674"/>
    </row>
    <row r="41" spans="1:10" ht="15.75">
      <c r="A41" s="677" t="s">
        <v>855</v>
      </c>
      <c r="B41" s="676" t="str">
        <f>CONCATENATE("Maximum levy for budget year ",J1,", including debt service, not requiring 'notice of vote publication.'")</f>
        <v>Maximum levy for budget year 2015, including debt service, not requiring 'notice of vote publication.'</v>
      </c>
      <c r="C41" s="676"/>
      <c r="D41" s="676"/>
      <c r="E41" s="676"/>
      <c r="F41" s="676"/>
      <c r="G41" s="676"/>
      <c r="H41" s="676"/>
      <c r="I41" s="676"/>
      <c r="J41" s="672"/>
    </row>
    <row r="42" spans="1:10" ht="19.5" thickBot="1">
      <c r="A42" s="667"/>
      <c r="B42" s="675" t="s">
        <v>888</v>
      </c>
      <c r="C42" s="667"/>
      <c r="D42" s="667"/>
      <c r="E42" s="667"/>
      <c r="F42" s="667"/>
      <c r="G42" s="667"/>
      <c r="H42" s="667"/>
      <c r="I42" s="675" t="s">
        <v>236</v>
      </c>
      <c r="J42" s="678">
        <f>J35+J39</f>
        <v>4659222.005</v>
      </c>
    </row>
    <row r="43" spans="1:10" ht="19.5" thickTop="1">
      <c r="A43" s="667"/>
      <c r="B43" s="682"/>
      <c r="C43" s="667"/>
      <c r="D43" s="667"/>
      <c r="E43" s="667"/>
      <c r="F43" s="667"/>
      <c r="G43" s="667"/>
      <c r="H43" s="667"/>
      <c r="I43" s="675"/>
      <c r="J43" s="674"/>
    </row>
    <row r="44" spans="1:10" ht="18.75">
      <c r="A44" s="667"/>
      <c r="B44" s="682"/>
      <c r="C44" s="667"/>
      <c r="D44" s="667"/>
      <c r="E44" s="667"/>
      <c r="F44" s="667"/>
      <c r="G44" s="667"/>
      <c r="H44" s="667"/>
      <c r="I44" s="675"/>
      <c r="J44" s="674"/>
    </row>
    <row r="45" spans="1:10" ht="18.75">
      <c r="A45" s="777" t="str">
        <f>CONCATENATE("If the ",J1," adopted budget includes a total property tax levy exceeding the dollar amount in line 17")</f>
        <v>If the 2015 adopted budget includes a total property tax levy exceeding the dollar amount in line 17</v>
      </c>
      <c r="B45" s="777"/>
      <c r="C45" s="777"/>
      <c r="D45" s="777"/>
      <c r="E45" s="777"/>
      <c r="F45" s="777"/>
      <c r="G45" s="777"/>
      <c r="H45" s="777"/>
      <c r="I45" s="777"/>
      <c r="J45" s="777"/>
    </row>
    <row r="46" spans="1:10" ht="18.75">
      <c r="A46" s="777" t="s">
        <v>856</v>
      </c>
      <c r="B46" s="777"/>
      <c r="C46" s="777"/>
      <c r="D46" s="777"/>
      <c r="E46" s="777"/>
      <c r="F46" s="777"/>
      <c r="G46" s="777"/>
      <c r="H46" s="777"/>
      <c r="I46" s="777"/>
      <c r="J46" s="777"/>
    </row>
    <row r="47" spans="1:10" ht="15.75">
      <c r="A47" s="776" t="s">
        <v>857</v>
      </c>
      <c r="B47" s="776"/>
      <c r="C47" s="776"/>
      <c r="D47" s="776"/>
      <c r="E47" s="776"/>
      <c r="F47" s="776"/>
      <c r="G47" s="776"/>
      <c r="H47" s="776"/>
      <c r="I47" s="776"/>
      <c r="J47" s="776"/>
    </row>
  </sheetData>
  <sheetProtection/>
  <mergeCells count="6">
    <mergeCell ref="A3:J3"/>
    <mergeCell ref="E4:G4"/>
    <mergeCell ref="A47:J47"/>
    <mergeCell ref="A46:J46"/>
    <mergeCell ref="A45:J45"/>
    <mergeCell ref="A9:J9"/>
  </mergeCells>
  <printOptions/>
  <pageMargins left="0.5" right="0.5" top="0.72" bottom="0.23" header="0.5" footer="0"/>
  <pageSetup blackAndWhite="1" fitToHeight="1" fitToWidth="1" horizontalDpi="600" verticalDpi="600" orientation="portrait" scale="80" r:id="rId1"/>
  <headerFooter alignWithMargins="0">
    <oddHeader>&amp;RState of Kansas
County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E28" sqref="E28"/>
    </sheetView>
  </sheetViews>
  <sheetFormatPr defaultColWidth="8.796875" defaultRowHeight="15"/>
  <cols>
    <col min="1" max="1" width="6.8984375" style="2" customWidth="1"/>
    <col min="2" max="2" width="18.796875" style="2" customWidth="1"/>
    <col min="3" max="3" width="12.796875" style="2" customWidth="1"/>
    <col min="4" max="4" width="0.203125" style="2" customWidth="1"/>
    <col min="5" max="9" width="11.796875" style="2" customWidth="1"/>
    <col min="10" max="16384" width="8.8984375" style="2" customWidth="1"/>
  </cols>
  <sheetData>
    <row r="1" spans="1:9" ht="15.75">
      <c r="A1" s="45"/>
      <c r="B1" s="24" t="str">
        <f>inputPrYr!C2</f>
        <v>Sheridan County</v>
      </c>
      <c r="C1" s="11"/>
      <c r="D1" s="11"/>
      <c r="E1" s="11"/>
      <c r="F1" s="11"/>
      <c r="G1" s="10"/>
      <c r="H1" s="10"/>
      <c r="I1" s="42">
        <f>inputPrYr!C4</f>
        <v>2015</v>
      </c>
    </row>
    <row r="2" spans="1:9" ht="15.75">
      <c r="A2" s="45"/>
      <c r="B2" s="11"/>
      <c r="C2" s="11"/>
      <c r="D2" s="11"/>
      <c r="E2" s="11"/>
      <c r="F2" s="11"/>
      <c r="G2" s="10"/>
      <c r="H2" s="10"/>
      <c r="I2" s="25"/>
    </row>
    <row r="3" spans="1:9" ht="15.75">
      <c r="A3" s="45"/>
      <c r="B3" s="783" t="s">
        <v>787</v>
      </c>
      <c r="C3" s="783"/>
      <c r="D3" s="783"/>
      <c r="E3" s="783"/>
      <c r="F3" s="783"/>
      <c r="G3" s="783"/>
      <c r="H3" s="43"/>
      <c r="I3" s="44"/>
    </row>
    <row r="4" spans="1:9" ht="15.75">
      <c r="A4" s="45"/>
      <c r="B4" s="13"/>
      <c r="C4" s="14"/>
      <c r="D4" s="14"/>
      <c r="E4" s="14"/>
      <c r="F4" s="14"/>
      <c r="G4" s="11"/>
      <c r="H4" s="11"/>
      <c r="I4" s="25"/>
    </row>
    <row r="5" spans="1:9" ht="21.75" customHeight="1">
      <c r="A5" s="45"/>
      <c r="B5" s="576" t="s">
        <v>788</v>
      </c>
      <c r="C5" s="774" t="str">
        <f>CONCATENATE("Budget Tax Levy Amount for ",I1-2,"")</f>
        <v>Budget Tax Levy Amount for 2013</v>
      </c>
      <c r="D5" s="778" t="str">
        <f>CONCATENATE("Budget Tax Levy Rate for ",I1-1,"")</f>
        <v>Budget Tax Levy Rate for 2014</v>
      </c>
      <c r="E5" s="780" t="str">
        <f>CONCATENATE("Allocation for Year ",I1,"")</f>
        <v>Allocation for Year 2015</v>
      </c>
      <c r="F5" s="781"/>
      <c r="G5" s="782"/>
      <c r="H5" s="44"/>
      <c r="I5" s="44"/>
    </row>
    <row r="6" spans="1:9" ht="15.75">
      <c r="A6" s="45"/>
      <c r="B6" s="9" t="str">
        <f>CONCATENATE("for ",I1-1,"")</f>
        <v>for 2014</v>
      </c>
      <c r="C6" s="754"/>
      <c r="D6" s="779"/>
      <c r="E6" s="187" t="s">
        <v>149</v>
      </c>
      <c r="F6" s="187" t="s">
        <v>230</v>
      </c>
      <c r="G6" s="165" t="s">
        <v>256</v>
      </c>
      <c r="H6" s="39"/>
      <c r="I6" s="44"/>
    </row>
    <row r="7" spans="1:9" ht="15.75">
      <c r="A7" s="45"/>
      <c r="B7" s="22" t="str">
        <f>(inputPrYr!B16)</f>
        <v>General</v>
      </c>
      <c r="C7" s="165">
        <f>(inputPrYr!E16)</f>
        <v>2306372</v>
      </c>
      <c r="D7" s="579">
        <f>IF(inputPrYr!F16&gt;0,(inputPrYr!F16),"  ")</f>
        <v>49.72</v>
      </c>
      <c r="E7" s="165">
        <f>IF(inputPrYr!E16&gt;0,E33-SUM(E8:E30),0)</f>
        <v>216460</v>
      </c>
      <c r="F7" s="165">
        <f>IF(inputPrYr!E16=0,0,F35-SUM(F8:F30))</f>
        <v>4298</v>
      </c>
      <c r="G7" s="165">
        <f>IF(inputPrYr!E16=0,0,G37-SUM(G8:G30))</f>
        <v>38366</v>
      </c>
      <c r="H7" s="39"/>
      <c r="I7" s="44"/>
    </row>
    <row r="8" spans="1:9" ht="15.75">
      <c r="A8" s="45"/>
      <c r="B8" s="22" t="str">
        <f>(inputPrYr!B18)</f>
        <v>Road &amp; Bridge</v>
      </c>
      <c r="C8" s="165">
        <f>IF(inputPrYr!E18&gt;0,inputPrYr!E18," ")</f>
        <v>1427913</v>
      </c>
      <c r="D8" s="579">
        <f>IF(inputPrYr!F18&gt;0,(inputPrYr!F18),"  ")</f>
        <v>30.783</v>
      </c>
      <c r="E8" s="165">
        <f>IF(inputPrYr!$E$18&gt;0,ROUND(+C8*E$40,0)," ")</f>
        <v>134012</v>
      </c>
      <c r="F8" s="165">
        <f>IF(inputPrYr!$E$18&gt;0,ROUND(+C8*F$42,0)," ")</f>
        <v>2661</v>
      </c>
      <c r="G8" s="165">
        <f>IF(inputPrYr!$E$18&gt;0,ROUND(+C8*G$44,0)," ")</f>
        <v>23753</v>
      </c>
      <c r="H8" s="39"/>
      <c r="I8" s="44"/>
    </row>
    <row r="9" spans="1:9" ht="15.75">
      <c r="A9" s="45"/>
      <c r="B9" s="22" t="str">
        <f>IF((inputPrYr!$B19&gt;" "),(inputPrYr!$B19),"  ")</f>
        <v>Noxious Weed</v>
      </c>
      <c r="C9" s="165">
        <f>IF(inputPrYr!E19&gt;0,inputPrYr!E19,"  ")</f>
        <v>126807</v>
      </c>
      <c r="D9" s="579">
        <f>IF(inputPrYr!F19&gt;0,(inputPrYr!F19),"  ")</f>
        <v>2.734</v>
      </c>
      <c r="E9" s="165">
        <f>IF(inputPrYr!$E$19&gt;0,ROUND(+C9*E$40,0)," ")</f>
        <v>11901</v>
      </c>
      <c r="F9" s="165">
        <f>IF(inputPrYr!$E$19&gt;0,ROUND(+C9*F$42,0)," ")</f>
        <v>236</v>
      </c>
      <c r="G9" s="165">
        <f>IF(inputPrYr!$E$19&gt;0,ROUND(+C9*G$44,0)," ")</f>
        <v>2109</v>
      </c>
      <c r="H9" s="39"/>
      <c r="I9" s="44"/>
    </row>
    <row r="10" spans="1:9" ht="15.75">
      <c r="A10" s="45"/>
      <c r="B10" s="22" t="str">
        <f>IF((inputPrYr!$B20&gt;" "),(inputPrYr!$B20),"  ")</f>
        <v>Mental Health</v>
      </c>
      <c r="C10" s="165">
        <f>IF(inputPrYr!E20&gt;0,inputPrYr!E20,"  ")</f>
        <v>16573</v>
      </c>
      <c r="D10" s="579">
        <f>IF(inputPrYr!F20&gt;0,(inputPrYr!F20),"  ")</f>
        <v>0.357</v>
      </c>
      <c r="E10" s="165">
        <f>IF(inputPrYr!E20&gt;0,ROUND(+C10*E$40,0),"  ")</f>
        <v>1555</v>
      </c>
      <c r="F10" s="165">
        <f>IF(inputPrYr!E20&gt;0,ROUND(+C10*F$42,0),"  ")</f>
        <v>31</v>
      </c>
      <c r="G10" s="165">
        <f>IF(inputPrYr!E20&gt;0,ROUND(+C10*G$44,0),"  ")</f>
        <v>276</v>
      </c>
      <c r="H10" s="39"/>
      <c r="I10" s="44"/>
    </row>
    <row r="11" spans="1:9" ht="15.75">
      <c r="A11" s="45"/>
      <c r="B11" s="22" t="str">
        <f>IF((inputPrYr!$B21&gt;" "),(inputPrYr!$B21),"  ")</f>
        <v>Public Health</v>
      </c>
      <c r="C11" s="165">
        <f>IF(inputPrYr!E21&gt;0,inputPrYr!E21,"  ")</f>
        <v>23766</v>
      </c>
      <c r="D11" s="579">
        <f>IF(inputPrYr!F21&gt;0,(inputPrYr!F21),"  ")</f>
        <v>0.512</v>
      </c>
      <c r="E11" s="165">
        <f>IF(inputPrYr!E21&gt;0,ROUND(+C11*E$40,0),"  ")</f>
        <v>2230</v>
      </c>
      <c r="F11" s="165">
        <f>IF(inputPrYr!E21&gt;0,ROUND(+C11*F$42,0),"  ")</f>
        <v>44</v>
      </c>
      <c r="G11" s="165">
        <f>IF(inputPrYr!E21&gt;0,ROUND(+C11*G$44,0),"  ")</f>
        <v>395</v>
      </c>
      <c r="H11" s="39"/>
      <c r="I11" s="44"/>
    </row>
    <row r="12" spans="1:9" ht="15.75">
      <c r="A12" s="45"/>
      <c r="B12" s="22" t="str">
        <f>IF((inputPrYr!$B22&gt;" "),(inputPrYr!$B22),"  ")</f>
        <v>Council on Aging</v>
      </c>
      <c r="C12" s="165">
        <f>IF(inputPrYr!E22&gt;0,inputPrYr!E22,"  ")</f>
        <v>35651</v>
      </c>
      <c r="D12" s="579">
        <f>IF(inputPrYr!F22&gt;0,(inputPrYr!F22),"  ")</f>
        <v>0.769</v>
      </c>
      <c r="E12" s="165">
        <f>IF(inputPrYr!E22&gt;0,ROUND(+C12*E$40,0),"  ")</f>
        <v>3346</v>
      </c>
      <c r="F12" s="165">
        <f>IF(inputPrYr!E22&gt;0,ROUND(+C12*F$42,0),"  ")</f>
        <v>66</v>
      </c>
      <c r="G12" s="165">
        <f>IF(inputPrYr!E22&gt;0,ROUND(+C12*G$44,0),"  ")</f>
        <v>593</v>
      </c>
      <c r="H12" s="39"/>
      <c r="I12" s="44"/>
    </row>
    <row r="13" spans="1:9" ht="15.75">
      <c r="A13" s="45"/>
      <c r="B13" s="22" t="str">
        <f>IF((inputPrYr!$B23&gt;" "),(inputPrYr!$B23),"  ")</f>
        <v>Library Service Contract</v>
      </c>
      <c r="C13" s="165">
        <f>IF(inputPrYr!E23&gt;0,inputPrYr!E23,"  ")</f>
        <v>15737</v>
      </c>
      <c r="D13" s="579">
        <f>IF(inputPrYr!F23&gt;0,(inputPrYr!F23),"  ")</f>
        <v>0.339</v>
      </c>
      <c r="E13" s="165">
        <f>IF(inputPrYr!E23&gt;0,ROUND(+C13*E$40,0),"  ")</f>
        <v>1477</v>
      </c>
      <c r="F13" s="165">
        <f>IF(inputPrYr!E23&gt;0,ROUND(+C13*F$42,0),"  ")</f>
        <v>29</v>
      </c>
      <c r="G13" s="165">
        <f>IF(inputPrYr!E23&gt;0,ROUND(+C13*G$44,0),"  ")</f>
        <v>262</v>
      </c>
      <c r="H13" s="39"/>
      <c r="I13" s="44"/>
    </row>
    <row r="14" spans="1:9" ht="15.75">
      <c r="A14" s="45"/>
      <c r="B14" s="22" t="str">
        <f>IF((inputPrYr!$B24&gt;" "),(inputPrYr!$B24),"  ")</f>
        <v>Hospital Maintenance</v>
      </c>
      <c r="C14" s="165">
        <f>IF(inputPrYr!E24&gt;0,inputPrYr!E24,"  ")</f>
        <v>475337</v>
      </c>
      <c r="D14" s="579">
        <f>IF(inputPrYr!F24&gt;0,(inputPrYr!F24),"  ")</f>
        <v>10.247</v>
      </c>
      <c r="E14" s="165">
        <f>IF(inputPrYr!E24&gt;0,ROUND(+C14*E$40,0),"  ")</f>
        <v>44611</v>
      </c>
      <c r="F14" s="165">
        <f>IF(inputPrYr!E24&gt;0,ROUND(+C14*F$42,0),"  ")</f>
        <v>886</v>
      </c>
      <c r="G14" s="165">
        <f>IF(inputPrYr!E24&gt;0,ROUND(+C14*G$44,0),"  ")</f>
        <v>7907</v>
      </c>
      <c r="H14" s="39"/>
      <c r="I14" s="44"/>
    </row>
    <row r="15" spans="1:9" ht="15.75">
      <c r="A15" s="45"/>
      <c r="B15" s="22" t="str">
        <f>IF((inputPrYr!$B25&gt;" "),(inputPrYr!$B25),"  ")</f>
        <v>Mental Retardation</v>
      </c>
      <c r="C15" s="165">
        <f>IF(inputPrYr!E25&gt;0,inputPrYr!E25,"  ")</f>
        <v>43827</v>
      </c>
      <c r="D15" s="579">
        <f>IF(inputPrYr!F25&gt;0,(inputPrYr!F25),"  ")</f>
        <v>0.945</v>
      </c>
      <c r="E15" s="165">
        <f>IF(inputPrYr!E25&gt;0,ROUND(+C15*E$40,0),"  ")</f>
        <v>4113</v>
      </c>
      <c r="F15" s="165">
        <f>IF(inputPrYr!E25&gt;0,ROUND(+C15*F$42,0),"  ")</f>
        <v>82</v>
      </c>
      <c r="G15" s="165">
        <f>IF(inputPrYr!E25&gt;0,ROUND(+C15*G$44,0),"  ")</f>
        <v>729</v>
      </c>
      <c r="H15" s="39"/>
      <c r="I15" s="44"/>
    </row>
    <row r="16" spans="1:9" ht="15.75">
      <c r="A16" s="45"/>
      <c r="B16" s="22" t="str">
        <f>IF((inputPrYr!$B26&gt;" "),(inputPrYr!$B26),"  ")</f>
        <v>Pool Lease-Purchase</v>
      </c>
      <c r="C16" s="165">
        <f>IF(inputPrYr!E26&gt;0,inputPrYr!E26,"  ")</f>
        <v>66684</v>
      </c>
      <c r="D16" s="579">
        <f>IF(inputPrYr!F26&gt;0,(inputPrYr!F26),"  ")</f>
        <v>1.438</v>
      </c>
      <c r="E16" s="165">
        <f>IF(inputPrYr!E26&gt;0,ROUND(+C16*E$40,0),"  ")</f>
        <v>6258</v>
      </c>
      <c r="F16" s="165">
        <f>IF(inputPrYr!E26&gt;0,ROUND(+C16*F$42,0),"  ")</f>
        <v>124</v>
      </c>
      <c r="G16" s="165">
        <f>IF(inputPrYr!E26&gt;0,ROUND(+C16*G$44,0),"  ")</f>
        <v>1109</v>
      </c>
      <c r="H16" s="39"/>
      <c r="I16" s="44"/>
    </row>
    <row r="17" spans="1:9" ht="15.75">
      <c r="A17" s="45"/>
      <c r="B17" s="22" t="str">
        <f>IF((inputPrYr!$B27&gt;" "),(inputPrYr!$B27),"  ")</f>
        <v>  </v>
      </c>
      <c r="C17" s="165" t="str">
        <f>IF(inputPrYr!E27&gt;0,inputPrYr!E27,"  ")</f>
        <v>  </v>
      </c>
      <c r="D17" s="579" t="str">
        <f>IF(inputPrYr!F27&gt;0,(inputPrYr!F27),"  ")</f>
        <v>  </v>
      </c>
      <c r="E17" s="165" t="str">
        <f>IF(inputPrYr!E27&gt;0,ROUND(+C17*E$40,0),"  ")</f>
        <v>  </v>
      </c>
      <c r="F17" s="165" t="str">
        <f>IF(inputPrYr!E27&gt;0,ROUND(+C17*F$42,0),"  ")</f>
        <v>  </v>
      </c>
      <c r="G17" s="165" t="str">
        <f>IF(inputPrYr!E27&gt;0,ROUND(+C17*G$44,0),"  ")</f>
        <v>  </v>
      </c>
      <c r="H17" s="39"/>
      <c r="I17" s="44"/>
    </row>
    <row r="18" spans="1:9" ht="15.75">
      <c r="A18" s="45"/>
      <c r="B18" s="22" t="str">
        <f>IF((inputPrYr!$B28&gt;" "),(inputPrYr!$B28),"  ")</f>
        <v>  </v>
      </c>
      <c r="C18" s="165" t="str">
        <f>IF(inputPrYr!E28&gt;0,inputPrYr!E28,"  ")</f>
        <v>  </v>
      </c>
      <c r="D18" s="579" t="str">
        <f>IF(inputPrYr!F28&gt;0,(inputPrYr!F28),"  ")</f>
        <v>  </v>
      </c>
      <c r="E18" s="165" t="str">
        <f>IF(inputPrYr!E28&gt;0,ROUND(+C18*E$40,0),"  ")</f>
        <v>  </v>
      </c>
      <c r="F18" s="165" t="str">
        <f>IF(inputPrYr!E28&gt;0,ROUND(+C18*F$42,0),"  ")</f>
        <v>  </v>
      </c>
      <c r="G18" s="165" t="str">
        <f>IF(inputPrYr!E28&gt;0,ROUND(+C18*G$44,0),"  ")</f>
        <v>  </v>
      </c>
      <c r="H18" s="39"/>
      <c r="I18" s="44"/>
    </row>
    <row r="19" spans="1:9" ht="15.75">
      <c r="A19" s="45"/>
      <c r="B19" s="22" t="str">
        <f>IF((inputPrYr!$B29&gt;" "),(inputPrYr!$B29),"  ")</f>
        <v>  </v>
      </c>
      <c r="C19" s="165" t="str">
        <f>IF(inputPrYr!E29&gt;0,inputPrYr!E29,"  ")</f>
        <v>  </v>
      </c>
      <c r="D19" s="579" t="str">
        <f>IF(inputPrYr!F29&gt;0,(inputPrYr!F29),"  ")</f>
        <v>  </v>
      </c>
      <c r="E19" s="165" t="str">
        <f>IF(inputPrYr!E29&gt;0,ROUND(+C19*E$40,0),"  ")</f>
        <v>  </v>
      </c>
      <c r="F19" s="165" t="str">
        <f>IF(inputPrYr!E29&gt;0,ROUND(+C19*F$42,0),"  ")</f>
        <v>  </v>
      </c>
      <c r="G19" s="165" t="str">
        <f>IF(inputPrYr!E29&gt;0,ROUND(+C19*G$44,0),"  ")</f>
        <v>  </v>
      </c>
      <c r="H19" s="39"/>
      <c r="I19" s="44"/>
    </row>
    <row r="20" spans="1:9" ht="15.75">
      <c r="A20" s="45"/>
      <c r="B20" s="22" t="str">
        <f>IF((inputPrYr!$B30&gt;" "),(inputPrYr!$B30),"  ")</f>
        <v>  </v>
      </c>
      <c r="C20" s="165" t="str">
        <f>IF(inputPrYr!E30&gt;0,inputPrYr!E30,"  ")</f>
        <v>  </v>
      </c>
      <c r="D20" s="579" t="str">
        <f>IF(inputPrYr!F30&gt;0,(inputPrYr!F30),"  ")</f>
        <v>  </v>
      </c>
      <c r="E20" s="165" t="str">
        <f>IF(inputPrYr!E30&gt;0,ROUND(+C20*E$40,0),"  ")</f>
        <v>  </v>
      </c>
      <c r="F20" s="165" t="str">
        <f>IF(inputPrYr!E30&gt;0,ROUND(+C20*F$42,0),"  ")</f>
        <v>  </v>
      </c>
      <c r="G20" s="165" t="str">
        <f>IF(inputPrYr!E30&gt;0,ROUND(+C20*G$44,0),"  ")</f>
        <v>  </v>
      </c>
      <c r="H20" s="39"/>
      <c r="I20" s="44"/>
    </row>
    <row r="21" spans="1:9" ht="15.75">
      <c r="A21" s="45"/>
      <c r="B21" s="22" t="str">
        <f>IF((inputPrYr!$B31&gt;" "),(inputPrYr!$B31),"  ")</f>
        <v>  </v>
      </c>
      <c r="C21" s="165" t="str">
        <f>IF(inputPrYr!E31&gt;0,inputPrYr!E31,"  ")</f>
        <v>  </v>
      </c>
      <c r="D21" s="579" t="str">
        <f>IF(inputPrYr!F31&gt;0,(inputPrYr!F31),"  ")</f>
        <v>  </v>
      </c>
      <c r="E21" s="165" t="str">
        <f>IF(inputPrYr!E31&gt;0,ROUND(+C21*E$40,0),"  ")</f>
        <v>  </v>
      </c>
      <c r="F21" s="165" t="str">
        <f>IF(inputPrYr!E31&gt;0,ROUND(+C21*F$42,0),"  ")</f>
        <v>  </v>
      </c>
      <c r="G21" s="165" t="str">
        <f>IF(inputPrYr!E31&gt;0,ROUND(+C21*G$44,0),"  ")</f>
        <v>  </v>
      </c>
      <c r="H21" s="39"/>
      <c r="I21" s="44"/>
    </row>
    <row r="22" spans="1:9" ht="15.75">
      <c r="A22" s="45"/>
      <c r="B22" s="22" t="str">
        <f>IF((inputPrYr!$B32&gt;" "),(inputPrYr!$B32),"  ")</f>
        <v>  </v>
      </c>
      <c r="C22" s="165" t="str">
        <f>IF(inputPrYr!E32&gt;0,inputPrYr!E32,"  ")</f>
        <v>  </v>
      </c>
      <c r="D22" s="579" t="str">
        <f>IF(inputPrYr!F32&gt;0,(inputPrYr!F32),"  ")</f>
        <v>  </v>
      </c>
      <c r="E22" s="165" t="str">
        <f>IF(inputPrYr!E32&gt;0,ROUND(+C22*E$40,0),"  ")</f>
        <v>  </v>
      </c>
      <c r="F22" s="165" t="str">
        <f>IF(inputPrYr!E32&gt;0,ROUND(+C22*F$42,0),"  ")</f>
        <v>  </v>
      </c>
      <c r="G22" s="165" t="str">
        <f>IF(inputPrYr!E32&gt;0,ROUND(+C22*G$44,0),"  ")</f>
        <v>  </v>
      </c>
      <c r="H22" s="39"/>
      <c r="I22" s="44"/>
    </row>
    <row r="23" spans="1:9" ht="15.75">
      <c r="A23" s="45"/>
      <c r="B23" s="22" t="str">
        <f>IF((inputPrYr!$B33&gt;" "),(inputPrYr!$B33),"  ")</f>
        <v>  </v>
      </c>
      <c r="C23" s="165" t="str">
        <f>IF(inputPrYr!E33&gt;0,inputPrYr!E33,"  ")</f>
        <v>  </v>
      </c>
      <c r="D23" s="579" t="str">
        <f>IF(inputPrYr!F33&gt;0,(inputPrYr!F33),"  ")</f>
        <v>  </v>
      </c>
      <c r="E23" s="165" t="str">
        <f>IF(inputPrYr!E33&gt;0,ROUND(+C23*E$40,0),"  ")</f>
        <v>  </v>
      </c>
      <c r="F23" s="165" t="str">
        <f>IF(inputPrYr!E33&gt;0,ROUND(+C23*F$42,0),"  ")</f>
        <v>  </v>
      </c>
      <c r="G23" s="165" t="str">
        <f>IF(inputPrYr!E33&gt;0,ROUND(+C23*G$44,0),"  ")</f>
        <v>  </v>
      </c>
      <c r="H23" s="39"/>
      <c r="I23" s="44"/>
    </row>
    <row r="24" spans="1:9" ht="15.75">
      <c r="A24" s="45"/>
      <c r="B24" s="22" t="str">
        <f>IF((inputPrYr!$B34&gt;" "),(inputPrYr!$B34),"  ")</f>
        <v>  </v>
      </c>
      <c r="C24" s="165" t="str">
        <f>IF(inputPrYr!E34&gt;0,inputPrYr!E34,"  ")</f>
        <v>  </v>
      </c>
      <c r="D24" s="579" t="str">
        <f>IF(inputPrYr!F34&gt;0,(inputPrYr!F34),"  ")</f>
        <v>  </v>
      </c>
      <c r="E24" s="165" t="str">
        <f>IF(inputPrYr!E34&gt;0,ROUND(+C24*E$40,0),"  ")</f>
        <v>  </v>
      </c>
      <c r="F24" s="165" t="str">
        <f>IF(inputPrYr!E34&gt;0,ROUND(+C24*F$42,0),"  ")</f>
        <v>  </v>
      </c>
      <c r="G24" s="165" t="str">
        <f>IF(inputPrYr!E34&gt;0,ROUND(+C24*G$44,0),"  ")</f>
        <v>  </v>
      </c>
      <c r="H24" s="39"/>
      <c r="I24" s="44"/>
    </row>
    <row r="25" spans="1:9" ht="15.75">
      <c r="A25" s="45"/>
      <c r="B25" s="22" t="str">
        <f>IF((inputPrYr!$B35&gt;" "),(inputPrYr!$B35),"  ")</f>
        <v>  </v>
      </c>
      <c r="C25" s="165" t="str">
        <f>IF(inputPrYr!E35&gt;0,inputPrYr!E35,"  ")</f>
        <v>  </v>
      </c>
      <c r="D25" s="579" t="str">
        <f>IF(inputPrYr!F35&gt;0,(inputPrYr!F35),"  ")</f>
        <v>  </v>
      </c>
      <c r="E25" s="165" t="str">
        <f>IF(inputPrYr!E35&gt;0,ROUND(+C25*E$40,0),"  ")</f>
        <v>  </v>
      </c>
      <c r="F25" s="165" t="str">
        <f>IF(inputPrYr!E35&gt;0,ROUND(+C25*F$42,0),"  ")</f>
        <v>  </v>
      </c>
      <c r="G25" s="165" t="str">
        <f>IF(inputPrYr!E35&gt;0,ROUND(+C25*G$44,0),"  ")</f>
        <v>  </v>
      </c>
      <c r="H25" s="39"/>
      <c r="I25" s="44"/>
    </row>
    <row r="26" spans="1:9" ht="15.75">
      <c r="A26" s="45"/>
      <c r="B26" s="22" t="str">
        <f>IF((inputPrYr!$B36&gt;" "),(inputPrYr!$B36),"  ")</f>
        <v>  </v>
      </c>
      <c r="C26" s="165" t="str">
        <f>IF(inputPrYr!E36&gt;0,inputPrYr!E36,"  ")</f>
        <v>  </v>
      </c>
      <c r="D26" s="579" t="str">
        <f>IF(inputPrYr!F36&gt;0,(inputPrYr!F36),"  ")</f>
        <v>  </v>
      </c>
      <c r="E26" s="165" t="str">
        <f>IF(inputPrYr!E36&gt;0,ROUND(+C26*E$40,0),"  ")</f>
        <v>  </v>
      </c>
      <c r="F26" s="165" t="str">
        <f>IF(inputPrYr!E36&gt;0,ROUND(+C26*F$42,0),"  ")</f>
        <v>  </v>
      </c>
      <c r="G26" s="165" t="str">
        <f>IF(inputPrYr!E36&gt;0,ROUND(+C26*G$44,0),"  ")</f>
        <v>  </v>
      </c>
      <c r="H26" s="39"/>
      <c r="I26" s="44"/>
    </row>
    <row r="27" spans="1:9" ht="15.75">
      <c r="A27" s="45"/>
      <c r="B27" s="22" t="str">
        <f>IF((inputPrYr!$B37&gt;" "),(inputPrYr!$B37),"  ")</f>
        <v>  </v>
      </c>
      <c r="C27" s="165" t="str">
        <f>IF(inputPrYr!E37&gt;0,inputPrYr!E37,"  ")</f>
        <v>  </v>
      </c>
      <c r="D27" s="579" t="str">
        <f>IF(inputPrYr!F37&gt;0,(inputPrYr!F37),"  ")</f>
        <v>  </v>
      </c>
      <c r="E27" s="165" t="str">
        <f>IF(inputPrYr!E37&gt;0,ROUND(+C27*E$40,0),"  ")</f>
        <v>  </v>
      </c>
      <c r="F27" s="165" t="str">
        <f>IF(inputPrYr!E37&gt;0,ROUND(+C27*F$42,0),"  ")</f>
        <v>  </v>
      </c>
      <c r="G27" s="165" t="str">
        <f>IF(inputPrYr!E37&gt;0,ROUND(+C27*G$44,0),"  ")</f>
        <v>  </v>
      </c>
      <c r="H27" s="39"/>
      <c r="I27" s="44"/>
    </row>
    <row r="28" spans="1:9" ht="15.75">
      <c r="A28" s="45"/>
      <c r="B28" s="22" t="str">
        <f>IF((inputPrYr!$B38&gt;" "),(inputPrYr!$B38),"  ")</f>
        <v>  </v>
      </c>
      <c r="C28" s="165" t="str">
        <f>IF(inputPrYr!E38&gt;0,inputPrYr!E38,"  ")</f>
        <v>  </v>
      </c>
      <c r="D28" s="579" t="str">
        <f>IF(inputPrYr!F38&gt;0,(inputPrYr!F38),"  ")</f>
        <v>  </v>
      </c>
      <c r="E28" s="165" t="str">
        <f>IF(inputPrYr!E38&gt;0,ROUND(+C28*E$40,0),"  ")</f>
        <v>  </v>
      </c>
      <c r="F28" s="165" t="str">
        <f>IF(inputPrYr!E38&gt;0,ROUND(+C28*F$42,0),"  ")</f>
        <v>  </v>
      </c>
      <c r="G28" s="165" t="str">
        <f>IF(inputPrYr!E38&gt;0,ROUND(+C28*G$44,0),"  ")</f>
        <v>  </v>
      </c>
      <c r="H28" s="39"/>
      <c r="I28" s="44"/>
    </row>
    <row r="29" spans="1:9" ht="15.75">
      <c r="A29" s="45"/>
      <c r="B29" s="22" t="str">
        <f>IF((inputPrYr!$B39&gt;" "),(inputPrYr!$B39),"  ")</f>
        <v>  </v>
      </c>
      <c r="C29" s="165" t="str">
        <f>IF(inputPrYr!E39&gt;0,inputPrYr!E39,"  ")</f>
        <v>  </v>
      </c>
      <c r="D29" s="579" t="str">
        <f>IF(inputPrYr!F39&gt;0,(inputPrYr!F39),"  ")</f>
        <v>  </v>
      </c>
      <c r="E29" s="165" t="str">
        <f>IF(inputPrYr!E39&gt;0,ROUND(+C29*E$40,0),"  ")</f>
        <v>  </v>
      </c>
      <c r="F29" s="165" t="str">
        <f>IF(inputPrYr!E39&gt;0,ROUND(+C29*F$42,0),"  ")</f>
        <v>  </v>
      </c>
      <c r="G29" s="165" t="str">
        <f>IF(inputPrYr!E39&gt;0,ROUND(+C29*G$44,0),"  ")</f>
        <v>  </v>
      </c>
      <c r="H29" s="39"/>
      <c r="I29" s="44"/>
    </row>
    <row r="30" spans="1:9" ht="15.75">
      <c r="A30" s="45"/>
      <c r="B30" s="22" t="str">
        <f>IF((inputPrYr!$B40&gt;" "),(inputPrYr!$B40),"  ")</f>
        <v>  </v>
      </c>
      <c r="C30" s="165" t="str">
        <f>IF(inputPrYr!E40&gt;0,inputPrYr!E40,"  ")</f>
        <v>  </v>
      </c>
      <c r="D30" s="579" t="str">
        <f>IF(inputPrYr!F40&gt;0,(inputPrYr!F40),"  ")</f>
        <v>  </v>
      </c>
      <c r="E30" s="165" t="str">
        <f>IF(inputPrYr!E40&gt;0,ROUND(+C30*E$40,0),"  ")</f>
        <v>  </v>
      </c>
      <c r="F30" s="165" t="str">
        <f>IF(inputPrYr!E40&gt;0,ROUND(+C30*F$42,0),"  ")</f>
        <v>  </v>
      </c>
      <c r="G30" s="165" t="str">
        <f>IF(inputPrYr!E40&gt;0,ROUND(+C30*G$44,0),"  ")</f>
        <v>  </v>
      </c>
      <c r="H30" s="39"/>
      <c r="I30" s="44"/>
    </row>
    <row r="31" spans="1:9" ht="16.5" thickBot="1">
      <c r="A31" s="45"/>
      <c r="B31" s="76" t="s">
        <v>145</v>
      </c>
      <c r="C31" s="577">
        <f>SUM(C7:C30)</f>
        <v>4538667</v>
      </c>
      <c r="D31" s="578">
        <f>SUM(D7:D30)</f>
        <v>97.844</v>
      </c>
      <c r="E31" s="577">
        <f>SUM(E7:E30)</f>
        <v>425963</v>
      </c>
      <c r="F31" s="577">
        <f>SUM(F7:F30)</f>
        <v>8457</v>
      </c>
      <c r="G31" s="577">
        <f>SUM(G7:G30)</f>
        <v>75499</v>
      </c>
      <c r="H31" s="44"/>
      <c r="I31" s="44"/>
    </row>
    <row r="32" spans="1:9" ht="16.5" thickTop="1">
      <c r="A32" s="45"/>
      <c r="B32" s="34"/>
      <c r="C32" s="39"/>
      <c r="D32" s="46"/>
      <c r="E32" s="39"/>
      <c r="F32" s="39"/>
      <c r="G32" s="39"/>
      <c r="H32" s="39"/>
      <c r="I32" s="44"/>
    </row>
    <row r="33" spans="1:9" ht="15.75">
      <c r="A33" s="45"/>
      <c r="B33" s="12" t="s">
        <v>146</v>
      </c>
      <c r="C33" s="37"/>
      <c r="D33" s="37"/>
      <c r="E33" s="38">
        <f>(inputOth!E15)</f>
        <v>425963</v>
      </c>
      <c r="F33" s="37"/>
      <c r="G33" s="27"/>
      <c r="H33" s="27"/>
      <c r="I33" s="35"/>
    </row>
    <row r="34" spans="1:9" ht="15.75">
      <c r="A34" s="45"/>
      <c r="B34" s="12"/>
      <c r="C34" s="37"/>
      <c r="D34" s="37"/>
      <c r="E34" s="39"/>
      <c r="F34" s="37"/>
      <c r="G34" s="27"/>
      <c r="H34" s="27"/>
      <c r="I34" s="35"/>
    </row>
    <row r="35" spans="1:9" ht="15.75">
      <c r="A35" s="45"/>
      <c r="B35" s="12" t="s">
        <v>147</v>
      </c>
      <c r="C35" s="27"/>
      <c r="D35" s="27"/>
      <c r="E35" s="27"/>
      <c r="F35" s="38">
        <f>(inputOth!E16)</f>
        <v>8457</v>
      </c>
      <c r="G35" s="27"/>
      <c r="H35" s="27"/>
      <c r="I35" s="35"/>
    </row>
    <row r="36" spans="1:9" ht="15.75">
      <c r="A36" s="45"/>
      <c r="B36" s="12"/>
      <c r="C36" s="27"/>
      <c r="D36" s="27"/>
      <c r="E36" s="27"/>
      <c r="F36" s="39"/>
      <c r="G36" s="27"/>
      <c r="H36" s="27"/>
      <c r="I36" s="35"/>
    </row>
    <row r="37" spans="1:9" ht="15.75">
      <c r="A37" s="45"/>
      <c r="B37" s="12" t="s">
        <v>231</v>
      </c>
      <c r="C37" s="27"/>
      <c r="D37" s="27"/>
      <c r="E37" s="27"/>
      <c r="F37" s="27"/>
      <c r="G37" s="38">
        <f>inputOth!E17</f>
        <v>75499</v>
      </c>
      <c r="H37" s="39"/>
      <c r="I37" s="35"/>
    </row>
    <row r="38" spans="1:9" ht="15.75">
      <c r="A38" s="45"/>
      <c r="B38" s="11"/>
      <c r="C38" s="27"/>
      <c r="D38" s="27"/>
      <c r="E38" s="27"/>
      <c r="F38" s="27"/>
      <c r="G38" s="27"/>
      <c r="H38" s="27"/>
      <c r="I38" s="35"/>
    </row>
    <row r="39" spans="1:9" ht="15.75">
      <c r="A39" s="45"/>
      <c r="B39" s="11"/>
      <c r="C39" s="27"/>
      <c r="D39" s="27"/>
      <c r="E39" s="27"/>
      <c r="F39" s="27"/>
      <c r="G39" s="27"/>
      <c r="H39" s="27"/>
      <c r="I39" s="35"/>
    </row>
    <row r="40" spans="1:9" ht="15.75">
      <c r="A40" s="45"/>
      <c r="B40" s="12" t="s">
        <v>148</v>
      </c>
      <c r="C40" s="27"/>
      <c r="D40" s="27"/>
      <c r="E40" s="40">
        <f>IF(C31=0,0,E33/C31)</f>
        <v>0.09385200544565177</v>
      </c>
      <c r="F40" s="27"/>
      <c r="G40" s="27"/>
      <c r="H40" s="27"/>
      <c r="I40" s="35"/>
    </row>
    <row r="41" spans="1:9" ht="15.75">
      <c r="A41" s="45"/>
      <c r="B41" s="12"/>
      <c r="C41" s="27"/>
      <c r="D41" s="27"/>
      <c r="E41" s="41"/>
      <c r="F41" s="27"/>
      <c r="G41" s="27"/>
      <c r="H41" s="27"/>
      <c r="I41" s="35"/>
    </row>
    <row r="42" spans="1:9" ht="15.75">
      <c r="A42" s="45"/>
      <c r="B42" s="12" t="s">
        <v>275</v>
      </c>
      <c r="C42" s="27"/>
      <c r="D42" s="27"/>
      <c r="E42" s="27"/>
      <c r="F42" s="40">
        <f>IF(C31=0,0,F35/C31)</f>
        <v>0.0018633224248441227</v>
      </c>
      <c r="G42" s="27"/>
      <c r="H42" s="27"/>
      <c r="I42" s="35"/>
    </row>
    <row r="43" spans="1:9" ht="15.75">
      <c r="A43" s="45"/>
      <c r="B43" s="12"/>
      <c r="C43" s="27"/>
      <c r="D43" s="27"/>
      <c r="E43" s="27"/>
      <c r="F43" s="41"/>
      <c r="G43" s="27"/>
      <c r="H43" s="27"/>
      <c r="I43" s="35"/>
    </row>
    <row r="44" spans="1:9" ht="15.75">
      <c r="A44" s="45"/>
      <c r="B44" s="12" t="s">
        <v>274</v>
      </c>
      <c r="C44" s="27"/>
      <c r="D44" s="27"/>
      <c r="E44" s="27"/>
      <c r="F44" s="27"/>
      <c r="G44" s="40">
        <f>IF(C31=0,0,G37/C31)</f>
        <v>0.016634619812381037</v>
      </c>
      <c r="H44" s="41"/>
      <c r="I44" s="35"/>
    </row>
    <row r="45" spans="1:9" ht="15.75">
      <c r="A45" s="45"/>
      <c r="B45" s="25"/>
      <c r="C45" s="35"/>
      <c r="D45" s="35"/>
      <c r="E45" s="35"/>
      <c r="F45" s="35"/>
      <c r="G45" s="35"/>
      <c r="H45" s="35"/>
      <c r="I45" s="35"/>
    </row>
    <row r="46" spans="1:9" ht="15.75">
      <c r="A46" s="45"/>
      <c r="B46" s="25"/>
      <c r="C46" s="35"/>
      <c r="D46" s="35"/>
      <c r="E46" s="35"/>
      <c r="F46" s="35"/>
      <c r="G46" s="35"/>
      <c r="H46" s="35"/>
      <c r="I46" s="35"/>
    </row>
  </sheetData>
  <sheetProtection/>
  <mergeCells count="4">
    <mergeCell ref="C5:C6"/>
    <mergeCell ref="D5:D6"/>
    <mergeCell ref="E5:G5"/>
    <mergeCell ref="B3:G3"/>
  </mergeCells>
  <printOptions/>
  <pageMargins left="1.5" right="0.75" top="0.25" bottom="0.18" header="0" footer="0"/>
  <pageSetup blackAndWhite="1" firstPageNumber="3" useFirstPageNumber="1" fitToHeight="1" fitToWidth="1" horizontalDpi="600" verticalDpi="600" orientation="landscape" scale="85" r:id="rId1"/>
  <headerFooter alignWithMargins="0">
    <oddHeader>&amp;RState of Kansas
County</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2" sqref="F22"/>
    </sheetView>
  </sheetViews>
  <sheetFormatPr defaultColWidth="8.796875" defaultRowHeight="15"/>
  <cols>
    <col min="1" max="1" width="19.09765625" style="116" customWidth="1"/>
    <col min="2" max="2" width="17.796875" style="116" customWidth="1"/>
    <col min="3" max="6" width="12.796875" style="116" customWidth="1"/>
    <col min="7" max="16384" width="8.8984375" style="116" customWidth="1"/>
  </cols>
  <sheetData>
    <row r="1" spans="1:6" ht="15.75">
      <c r="A1" s="198"/>
      <c r="B1" s="60"/>
      <c r="C1" s="60"/>
      <c r="D1" s="60"/>
      <c r="E1" s="205"/>
      <c r="F1" s="60"/>
    </row>
    <row r="2" spans="1:6" ht="15.75">
      <c r="A2" s="117" t="str">
        <f>inputPrYr!C2</f>
        <v>Sheridan County</v>
      </c>
      <c r="B2" s="117"/>
      <c r="C2" s="60"/>
      <c r="D2" s="60"/>
      <c r="E2" s="205"/>
      <c r="F2" s="60">
        <f>inputPrYr!C4</f>
        <v>2015</v>
      </c>
    </row>
    <row r="3" spans="1:6" ht="15.75">
      <c r="A3" s="198"/>
      <c r="B3" s="117"/>
      <c r="C3" s="60"/>
      <c r="D3" s="60"/>
      <c r="E3" s="205"/>
      <c r="F3" s="60"/>
    </row>
    <row r="4" spans="1:6" ht="15.75">
      <c r="A4" s="198"/>
      <c r="B4" s="60"/>
      <c r="C4" s="60"/>
      <c r="D4" s="60"/>
      <c r="E4" s="205"/>
      <c r="F4" s="60"/>
    </row>
    <row r="5" spans="1:6" ht="15" customHeight="1">
      <c r="A5" s="775" t="s">
        <v>264</v>
      </c>
      <c r="B5" s="775"/>
      <c r="C5" s="775"/>
      <c r="D5" s="775"/>
      <c r="E5" s="775"/>
      <c r="F5" s="775"/>
    </row>
    <row r="6" spans="1:6" ht="14.25" customHeight="1">
      <c r="A6" s="199"/>
      <c r="B6" s="206"/>
      <c r="C6" s="206"/>
      <c r="D6" s="206"/>
      <c r="E6" s="206"/>
      <c r="F6" s="206"/>
    </row>
    <row r="7" spans="1:6" ht="15" customHeight="1">
      <c r="A7" s="207" t="s">
        <v>615</v>
      </c>
      <c r="B7" s="207" t="s">
        <v>616</v>
      </c>
      <c r="C7" s="208" t="s">
        <v>183</v>
      </c>
      <c r="D7" s="208" t="s">
        <v>276</v>
      </c>
      <c r="E7" s="208" t="s">
        <v>277</v>
      </c>
      <c r="F7" s="208" t="s">
        <v>302</v>
      </c>
    </row>
    <row r="8" spans="1:6" ht="15" customHeight="1">
      <c r="A8" s="209" t="s">
        <v>617</v>
      </c>
      <c r="B8" s="209" t="s">
        <v>618</v>
      </c>
      <c r="C8" s="210" t="s">
        <v>301</v>
      </c>
      <c r="D8" s="210" t="s">
        <v>301</v>
      </c>
      <c r="E8" s="210" t="s">
        <v>301</v>
      </c>
      <c r="F8" s="210" t="s">
        <v>303</v>
      </c>
    </row>
    <row r="9" spans="1:6" s="196" customFormat="1" ht="15" customHeight="1" thickBot="1">
      <c r="A9" s="211" t="s">
        <v>299</v>
      </c>
      <c r="B9" s="212" t="s">
        <v>300</v>
      </c>
      <c r="C9" s="213">
        <f>F2-2</f>
        <v>2013</v>
      </c>
      <c r="D9" s="213">
        <f>F2-1</f>
        <v>2014</v>
      </c>
      <c r="E9" s="213">
        <f>F2</f>
        <v>2015</v>
      </c>
      <c r="F9" s="212" t="s">
        <v>121</v>
      </c>
    </row>
    <row r="10" spans="1:6" ht="15" customHeight="1" thickTop="1">
      <c r="A10" s="214" t="s">
        <v>122</v>
      </c>
      <c r="B10" s="214" t="s">
        <v>907</v>
      </c>
      <c r="C10" s="215">
        <v>70000</v>
      </c>
      <c r="D10" s="215">
        <v>50000</v>
      </c>
      <c r="E10" s="215">
        <v>50000</v>
      </c>
      <c r="F10" s="214" t="s">
        <v>939</v>
      </c>
    </row>
    <row r="11" spans="1:6" ht="15" customHeight="1">
      <c r="A11" s="84" t="s">
        <v>179</v>
      </c>
      <c r="B11" s="84" t="s">
        <v>910</v>
      </c>
      <c r="C11" s="216">
        <v>410000</v>
      </c>
      <c r="D11" s="216">
        <v>425000</v>
      </c>
      <c r="E11" s="216">
        <v>425000</v>
      </c>
      <c r="F11" s="84" t="s">
        <v>933</v>
      </c>
    </row>
    <row r="12" spans="1:6" ht="15" customHeight="1">
      <c r="A12" s="84" t="s">
        <v>179</v>
      </c>
      <c r="B12" s="84" t="s">
        <v>934</v>
      </c>
      <c r="C12" s="216">
        <v>175000</v>
      </c>
      <c r="D12" s="216">
        <v>175000</v>
      </c>
      <c r="E12" s="216">
        <v>175000</v>
      </c>
      <c r="F12" s="84" t="s">
        <v>935</v>
      </c>
    </row>
    <row r="13" spans="1:6" ht="15" customHeight="1">
      <c r="A13" s="84" t="s">
        <v>890</v>
      </c>
      <c r="B13" s="84" t="s">
        <v>936</v>
      </c>
      <c r="C13" s="216">
        <v>10000</v>
      </c>
      <c r="D13" s="216">
        <v>10000</v>
      </c>
      <c r="E13" s="216">
        <v>10000</v>
      </c>
      <c r="F13" s="84" t="s">
        <v>891</v>
      </c>
    </row>
    <row r="14" spans="1:6" ht="15" customHeight="1">
      <c r="A14" s="84" t="s">
        <v>913</v>
      </c>
      <c r="B14" s="84" t="s">
        <v>122</v>
      </c>
      <c r="C14" s="216">
        <v>14682</v>
      </c>
      <c r="D14" s="216">
        <v>14000</v>
      </c>
      <c r="E14" s="216">
        <v>16500</v>
      </c>
      <c r="F14" s="84" t="s">
        <v>938</v>
      </c>
    </row>
    <row r="15" spans="1:6" ht="15" customHeight="1">
      <c r="A15" s="84" t="s">
        <v>122</v>
      </c>
      <c r="B15" s="84" t="s">
        <v>924</v>
      </c>
      <c r="C15" s="216">
        <v>79801</v>
      </c>
      <c r="D15" s="216"/>
      <c r="E15" s="216"/>
      <c r="F15" s="84" t="s">
        <v>940</v>
      </c>
    </row>
    <row r="16" spans="1:6" ht="15" customHeight="1">
      <c r="A16" s="84" t="s">
        <v>917</v>
      </c>
      <c r="B16" s="84" t="s">
        <v>179</v>
      </c>
      <c r="C16" s="216">
        <v>5016</v>
      </c>
      <c r="D16" s="216"/>
      <c r="E16" s="216"/>
      <c r="F16" s="84" t="s">
        <v>937</v>
      </c>
    </row>
    <row r="17" spans="1:6" ht="15" customHeight="1">
      <c r="A17" s="84" t="s">
        <v>912</v>
      </c>
      <c r="B17" s="84" t="s">
        <v>122</v>
      </c>
      <c r="C17" s="216">
        <v>2971</v>
      </c>
      <c r="D17" s="216"/>
      <c r="E17" s="216"/>
      <c r="F17" s="84" t="s">
        <v>937</v>
      </c>
    </row>
    <row r="18" spans="1:6" ht="15" customHeight="1">
      <c r="A18" s="84" t="s">
        <v>922</v>
      </c>
      <c r="B18" s="84" t="s">
        <v>122</v>
      </c>
      <c r="C18" s="216">
        <v>24468</v>
      </c>
      <c r="D18" s="216"/>
      <c r="E18" s="216"/>
      <c r="F18" s="84" t="s">
        <v>937</v>
      </c>
    </row>
    <row r="19" spans="1:6" ht="15" customHeight="1">
      <c r="A19" s="84" t="s">
        <v>1068</v>
      </c>
      <c r="B19" s="84" t="s">
        <v>1069</v>
      </c>
      <c r="C19" s="216">
        <v>6674</v>
      </c>
      <c r="D19" s="216"/>
      <c r="E19" s="216"/>
      <c r="F19" s="84" t="s">
        <v>937</v>
      </c>
    </row>
    <row r="20" spans="1:6" ht="15" customHeight="1">
      <c r="A20" s="84" t="s">
        <v>122</v>
      </c>
      <c r="B20" s="84" t="s">
        <v>912</v>
      </c>
      <c r="C20" s="216"/>
      <c r="D20" s="216"/>
      <c r="E20" s="216">
        <v>200000</v>
      </c>
      <c r="F20" s="84" t="s">
        <v>1085</v>
      </c>
    </row>
    <row r="21" spans="1:6" ht="15" customHeight="1">
      <c r="A21" s="84" t="s">
        <v>179</v>
      </c>
      <c r="B21" s="84" t="s">
        <v>1087</v>
      </c>
      <c r="C21" s="216"/>
      <c r="D21" s="216"/>
      <c r="E21" s="216">
        <v>25000</v>
      </c>
      <c r="F21" s="84" t="s">
        <v>1085</v>
      </c>
    </row>
    <row r="22" spans="1:6" ht="15" customHeight="1">
      <c r="A22" s="84"/>
      <c r="B22" s="84"/>
      <c r="C22" s="216"/>
      <c r="D22" s="216"/>
      <c r="E22" s="216"/>
      <c r="F22" s="84"/>
    </row>
    <row r="23" spans="1:6" ht="15" customHeight="1">
      <c r="A23" s="84"/>
      <c r="B23" s="84"/>
      <c r="C23" s="216"/>
      <c r="D23" s="216"/>
      <c r="E23" s="216"/>
      <c r="F23" s="84"/>
    </row>
    <row r="24" spans="1:6" ht="15" customHeight="1">
      <c r="A24" s="84"/>
      <c r="B24" s="84"/>
      <c r="C24" s="216"/>
      <c r="D24" s="216"/>
      <c r="E24" s="216"/>
      <c r="F24" s="84"/>
    </row>
    <row r="25" spans="1:6" ht="15" customHeight="1">
      <c r="A25" s="84"/>
      <c r="B25" s="84"/>
      <c r="C25" s="216"/>
      <c r="D25" s="216"/>
      <c r="E25" s="216"/>
      <c r="F25" s="84"/>
    </row>
    <row r="26" spans="1:6" ht="15" customHeight="1">
      <c r="A26" s="84"/>
      <c r="B26" s="84"/>
      <c r="C26" s="216"/>
      <c r="D26" s="216"/>
      <c r="E26" s="216"/>
      <c r="F26" s="84"/>
    </row>
    <row r="27" spans="1:6" ht="15.75">
      <c r="A27" s="110"/>
      <c r="B27" s="217" t="s">
        <v>123</v>
      </c>
      <c r="C27" s="93">
        <f>SUM(C10:C26)</f>
        <v>798612</v>
      </c>
      <c r="D27" s="93">
        <f>SUM(D10:D26)</f>
        <v>674000</v>
      </c>
      <c r="E27" s="93">
        <f>SUM(E10:E26)</f>
        <v>901500</v>
      </c>
      <c r="F27" s="110"/>
    </row>
    <row r="28" spans="1:6" ht="18.75">
      <c r="A28" s="110"/>
      <c r="B28" s="218" t="s">
        <v>613</v>
      </c>
      <c r="C28" s="77"/>
      <c r="D28" s="78">
        <v>14000</v>
      </c>
      <c r="E28" s="78">
        <v>16500</v>
      </c>
      <c r="F28" s="738"/>
    </row>
    <row r="29" spans="1:6" ht="15.75">
      <c r="A29" s="110"/>
      <c r="B29" s="217" t="s">
        <v>304</v>
      </c>
      <c r="C29" s="93">
        <f>C27</f>
        <v>798612</v>
      </c>
      <c r="D29" s="93">
        <f>SUM(D27-D28)</f>
        <v>660000</v>
      </c>
      <c r="E29" s="93">
        <f>SUM(E27-E28)</f>
        <v>885000</v>
      </c>
      <c r="F29" s="110"/>
    </row>
    <row r="30" spans="1:6" ht="15.75">
      <c r="A30" s="110"/>
      <c r="B30" s="110"/>
      <c r="C30" s="110"/>
      <c r="D30" s="110"/>
      <c r="E30" s="110"/>
      <c r="F30" s="110"/>
    </row>
    <row r="31" spans="1:6" ht="15.75">
      <c r="A31" s="110"/>
      <c r="B31" s="110"/>
      <c r="C31" s="110"/>
      <c r="D31" s="110"/>
      <c r="E31" s="110"/>
      <c r="F31" s="110"/>
    </row>
    <row r="32" spans="1:6" ht="15.75">
      <c r="A32" s="394" t="s">
        <v>614</v>
      </c>
      <c r="B32" s="395" t="str">
        <f>CONCATENATE("Adjustments are required only if the transfer is being made in ",D9," and/or ",E9," from a non-budgeted fund.")</f>
        <v>Adjustments are required only if the transfer is being made in 2014 and/or 2015 from a non-budgeted fund.</v>
      </c>
      <c r="C32" s="110"/>
      <c r="D32" s="110"/>
      <c r="E32" s="110"/>
      <c r="F32" s="110"/>
    </row>
  </sheetData>
  <sheetProtection/>
  <mergeCells count="1">
    <mergeCell ref="A5:F5"/>
  </mergeCells>
  <printOptions/>
  <pageMargins left="0.5" right="0.5" top="0.72" bottom="0.23" header="0.5" footer="0"/>
  <pageSetup blackAndWhite="1" fitToHeight="1" fitToWidth="1" horizontalDpi="120" verticalDpi="120" orientation="portrait" scale="85" r:id="rId1"/>
  <headerFooter alignWithMargins="0">
    <oddHeader>&amp;RState of Kansas
County
</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Clerk-3</cp:lastModifiedBy>
  <cp:lastPrinted>2014-07-28T16:26:24Z</cp:lastPrinted>
  <dcterms:created xsi:type="dcterms:W3CDTF">1998-08-26T13:26:11Z</dcterms:created>
  <dcterms:modified xsi:type="dcterms:W3CDTF">2015-01-29T21:37:18Z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